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S:\SEKRETARIAT\upload\rozpocet\Rozpočet města rok 2021\Rozpočet města rok 2021 Nesahat!!!\"/>
    </mc:Choice>
  </mc:AlternateContent>
  <bookViews>
    <workbookView xWindow="-105" yWindow="-105" windowWidth="15465" windowHeight="8010" tabRatio="665" activeTab="7"/>
  </bookViews>
  <sheets>
    <sheet name="Souhrn příjmů a výdajů 2021" sheetId="73" r:id="rId1"/>
    <sheet name="počet zaměstnanců" sheetId="90" state="hidden" r:id="rId2"/>
    <sheet name="Graf_analýza nákladovost na RUD" sheetId="83" state="hidden" r:id="rId3"/>
    <sheet name="graf Tab.mzdy" sheetId="115" state="hidden" r:id="rId4"/>
    <sheet name="Graf P-V 2020" sheetId="114" state="hidden" r:id="rId5"/>
    <sheet name="Příjmy kapitol celkem" sheetId="1" r:id="rId6"/>
    <sheet name="List3" sheetId="121" r:id="rId7"/>
    <sheet name="Výdaje kapitol celkem" sheetId="4" r:id="rId8"/>
    <sheet name="TSÚ" sheetId="75" r:id="rId9"/>
    <sheet name="TSÚ úpr" sheetId="117" state="hidden" r:id="rId10"/>
    <sheet name="RUD" sheetId="111" r:id="rId11"/>
    <sheet name="Odhad RUD koronavirus" sheetId="120" state="hidden" r:id="rId12"/>
    <sheet name="Provozní Cash flow" sheetId="85" state="hidden" r:id="rId13"/>
    <sheet name="List1" sheetId="112" state="hidden" r:id="rId14"/>
    <sheet name="List2" sheetId="116" state="hidden" r:id="rId15"/>
    <sheet name="Nákup a prodej vody" sheetId="119" state="hidden" r:id="rId16"/>
    <sheet name="Investice celkem  2021" sheetId="94" r:id="rId17"/>
    <sheet name="5137-DHIM" sheetId="104" r:id="rId18"/>
    <sheet name="5139-Materiál" sheetId="105" r:id="rId19"/>
    <sheet name="5164-Nájemné" sheetId="106" r:id="rId20"/>
    <sheet name="5169_nákup služeb celkem" sheetId="87" r:id="rId21"/>
    <sheet name="Opravy a udrzování celkem" sheetId="72" r:id="rId22"/>
    <sheet name="5331-Neinv.přísp.org." sheetId="107" r:id="rId23"/>
    <sheet name="Úvěry města" sheetId="103" r:id="rId24"/>
    <sheet name="srovnání " sheetId="91" state="hidden" r:id="rId25"/>
    <sheet name="voda-kalkulace" sheetId="77" state="hidden" r:id="rId26"/>
    <sheet name="Konsolidace " sheetId="76" state="hidden" r:id="rId27"/>
    <sheet name="Čerpání úvěru" sheetId="96" state="hidden" r:id="rId28"/>
    <sheet name="Podkladová tabulka -CF" sheetId="92" state="hidden" r:id="rId29"/>
    <sheet name="úroky a úvěr" sheetId="109" r:id="rId30"/>
    <sheet name="výhled 2020 - 2025" sheetId="98" r:id="rId31"/>
    <sheet name="Zásobník projektů 2016-2020" sheetId="84" r:id="rId32"/>
    <sheet name=" Propočet úroků" sheetId="108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Titles" localSheetId="8">TSÚ!$4:$4</definedName>
    <definedName name="_xlnm.Print_Titles" localSheetId="7">'Výdaje kapitol celkem'!$A:$B,'Výdaje kapitol celkem'!$1:$7</definedName>
    <definedName name="_xlnm.Print_Area" localSheetId="5">'Příjmy kapitol celkem'!$A$2:$M$73</definedName>
  </definedNames>
  <calcPr calcId="152511"/>
</workbook>
</file>

<file path=xl/calcChain.xml><?xml version="1.0" encoding="utf-8"?>
<calcChain xmlns="http://schemas.openxmlformats.org/spreadsheetml/2006/main">
  <c r="K13" i="75" l="1"/>
  <c r="K11" i="75"/>
  <c r="J37" i="103"/>
  <c r="I37" i="103"/>
  <c r="H37" i="103"/>
  <c r="J32" i="103"/>
  <c r="I32" i="103"/>
  <c r="H32" i="103"/>
  <c r="G32" i="103"/>
  <c r="Z48" i="4" l="1"/>
  <c r="Z46" i="4"/>
  <c r="Z42" i="4"/>
  <c r="Z38" i="4"/>
  <c r="M45" i="1" l="1"/>
  <c r="E147" i="111"/>
  <c r="F147" i="111"/>
  <c r="G147" i="111"/>
  <c r="H147" i="111"/>
  <c r="I147" i="111"/>
  <c r="J147" i="111"/>
  <c r="K147" i="111"/>
  <c r="L147" i="111"/>
  <c r="M147" i="111"/>
  <c r="N147" i="111"/>
  <c r="D147" i="111"/>
  <c r="O65" i="111"/>
  <c r="S59" i="111"/>
  <c r="Q59" i="111"/>
  <c r="N59" i="111"/>
  <c r="M59" i="111"/>
  <c r="L59" i="111"/>
  <c r="K59" i="111"/>
  <c r="J59" i="111"/>
  <c r="I59" i="111"/>
  <c r="H59" i="111"/>
  <c r="G59" i="111"/>
  <c r="F59" i="111"/>
  <c r="E59" i="111"/>
  <c r="D59" i="111"/>
  <c r="C59" i="111"/>
  <c r="O58" i="111"/>
  <c r="O57" i="111"/>
  <c r="O56" i="111"/>
  <c r="O55" i="111"/>
  <c r="O54" i="111"/>
  <c r="O53" i="111"/>
  <c r="O59" i="111" l="1"/>
  <c r="P59" i="111" s="1"/>
  <c r="O147" i="111"/>
  <c r="Z45" i="1"/>
  <c r="Y45" i="1"/>
  <c r="X45" i="1"/>
  <c r="W45" i="1"/>
  <c r="V45" i="1"/>
  <c r="U45" i="1"/>
  <c r="T45" i="1"/>
  <c r="S45" i="1"/>
  <c r="R45" i="1"/>
  <c r="Q45" i="1"/>
  <c r="O14" i="1" l="1"/>
  <c r="M38" i="1"/>
  <c r="M7" i="1" l="1"/>
  <c r="I193" i="73" l="1"/>
  <c r="I199" i="73"/>
  <c r="P31" i="75" l="1"/>
  <c r="I56" i="75"/>
  <c r="L65" i="75" l="1"/>
  <c r="C65" i="75" s="1"/>
  <c r="E6" i="75" l="1"/>
  <c r="F6" i="75"/>
  <c r="H6" i="75"/>
  <c r="J6" i="75"/>
  <c r="K6" i="75"/>
  <c r="L6" i="75"/>
  <c r="D6" i="75" l="1"/>
  <c r="C6" i="75" s="1"/>
  <c r="O103" i="75"/>
  <c r="N103" i="75"/>
  <c r="F34" i="84" l="1"/>
  <c r="M35" i="1" l="1"/>
  <c r="D15" i="121" l="1"/>
  <c r="D17" i="121" l="1"/>
  <c r="M15" i="4" l="1"/>
  <c r="M14" i="4"/>
  <c r="M13" i="4"/>
  <c r="M12" i="4"/>
  <c r="M11" i="4"/>
  <c r="M10" i="4"/>
  <c r="M9" i="4"/>
  <c r="M8" i="4"/>
  <c r="AD12" i="4" l="1"/>
  <c r="AD11" i="4"/>
  <c r="AD10" i="4"/>
  <c r="AD9" i="4"/>
  <c r="AD8" i="4"/>
  <c r="S15" i="4"/>
  <c r="S8" i="4"/>
  <c r="R12" i="4"/>
  <c r="R11" i="4"/>
  <c r="R10" i="4"/>
  <c r="R9" i="4"/>
  <c r="R8" i="4"/>
  <c r="P12" i="4"/>
  <c r="P11" i="4"/>
  <c r="P10" i="4"/>
  <c r="P9" i="4"/>
  <c r="R14" i="4"/>
  <c r="AD14" i="4"/>
  <c r="S14" i="4"/>
  <c r="R13" i="4"/>
  <c r="AD13" i="4"/>
  <c r="S13" i="4"/>
  <c r="P13" i="4"/>
  <c r="P8" i="4"/>
  <c r="P14" i="4" l="1"/>
  <c r="I71" i="73"/>
  <c r="I70" i="73"/>
  <c r="I69" i="73"/>
  <c r="I68" i="73"/>
  <c r="CX34" i="4"/>
  <c r="H10" i="121" s="1"/>
  <c r="H124" i="87"/>
  <c r="H123" i="87"/>
  <c r="H122" i="87"/>
  <c r="H121" i="87"/>
  <c r="H126" i="87" l="1"/>
  <c r="AE28" i="4"/>
  <c r="AE21" i="4"/>
  <c r="AE22" i="4"/>
  <c r="AT59" i="4" l="1"/>
  <c r="AT58" i="4"/>
  <c r="O235" i="94" l="1"/>
  <c r="O234" i="94"/>
  <c r="O233" i="94"/>
  <c r="O230" i="94"/>
  <c r="O229" i="94"/>
  <c r="O228" i="94"/>
  <c r="O227" i="94"/>
  <c r="O226" i="94"/>
  <c r="O225" i="94"/>
  <c r="O223" i="94"/>
  <c r="O221" i="94"/>
  <c r="O219" i="94"/>
  <c r="O218" i="94"/>
  <c r="O217" i="94"/>
  <c r="O215" i="94"/>
  <c r="O214" i="94"/>
  <c r="O213" i="94"/>
  <c r="O211" i="94"/>
  <c r="O210" i="94"/>
  <c r="O209" i="94"/>
  <c r="O207" i="94"/>
  <c r="O206" i="94"/>
  <c r="O204" i="94"/>
  <c r="O201" i="94"/>
  <c r="O199" i="94"/>
  <c r="O198" i="94"/>
  <c r="O180" i="94"/>
  <c r="O175" i="94"/>
  <c r="O118" i="94"/>
  <c r="O110" i="94"/>
  <c r="O108" i="94"/>
  <c r="O107" i="94"/>
  <c r="O104" i="94"/>
  <c r="O103" i="94"/>
  <c r="O102" i="94"/>
  <c r="O101" i="94"/>
  <c r="O99" i="94"/>
  <c r="O98" i="94"/>
  <c r="O97" i="94"/>
  <c r="O96" i="94"/>
  <c r="O94" i="94"/>
  <c r="O89" i="94"/>
  <c r="O85" i="94"/>
  <c r="O82" i="94"/>
  <c r="O79" i="94"/>
  <c r="O77" i="94"/>
  <c r="O76" i="94"/>
  <c r="O75" i="94"/>
  <c r="O73" i="94"/>
  <c r="O72" i="94"/>
  <c r="O68" i="94"/>
  <c r="O64" i="94"/>
  <c r="O59" i="94"/>
  <c r="O58" i="94"/>
  <c r="O56" i="94"/>
  <c r="O51" i="94"/>
  <c r="O50" i="94"/>
  <c r="O49" i="94"/>
  <c r="O48" i="94"/>
  <c r="O47" i="94"/>
  <c r="O46" i="94"/>
  <c r="O45" i="94"/>
  <c r="O44" i="94"/>
  <c r="O43" i="94"/>
  <c r="O42" i="94"/>
  <c r="O41" i="94"/>
  <c r="O40" i="94"/>
  <c r="O36" i="94"/>
  <c r="O35" i="94"/>
  <c r="O34" i="94"/>
  <c r="O33" i="94"/>
  <c r="O32" i="94"/>
  <c r="O31" i="94"/>
  <c r="O30" i="94"/>
  <c r="O29" i="94"/>
  <c r="O28" i="94"/>
  <c r="O27" i="94"/>
  <c r="O26" i="94"/>
  <c r="O24" i="94"/>
  <c r="O23" i="94"/>
  <c r="O21" i="94"/>
  <c r="O17" i="94"/>
  <c r="H47" i="106"/>
  <c r="H46" i="106" l="1"/>
  <c r="M196" i="94"/>
  <c r="O196" i="94" s="1"/>
  <c r="M195" i="94"/>
  <c r="O195" i="94" s="1"/>
  <c r="H115" i="72"/>
  <c r="H114" i="72"/>
  <c r="M189" i="94"/>
  <c r="O189" i="94" s="1"/>
  <c r="M188" i="94"/>
  <c r="O188" i="94" s="1"/>
  <c r="M187" i="94"/>
  <c r="O187" i="94" s="1"/>
  <c r="M186" i="94"/>
  <c r="O186" i="94" s="1"/>
  <c r="M185" i="94"/>
  <c r="O185" i="94" s="1"/>
  <c r="M184" i="94"/>
  <c r="O184" i="94" s="1"/>
  <c r="M183" i="94"/>
  <c r="O183" i="94" s="1"/>
  <c r="M182" i="94"/>
  <c r="O182" i="94" s="1"/>
  <c r="M181" i="94"/>
  <c r="O181" i="94" s="1"/>
  <c r="M179" i="94"/>
  <c r="O179" i="94" s="1"/>
  <c r="M178" i="94"/>
  <c r="O178" i="94" s="1"/>
  <c r="H133" i="72"/>
  <c r="H132" i="72"/>
  <c r="M192" i="94"/>
  <c r="O192" i="94" s="1"/>
  <c r="M191" i="94"/>
  <c r="O191" i="94" s="1"/>
  <c r="M232" i="94"/>
  <c r="O232" i="94" s="1"/>
  <c r="H44" i="106"/>
  <c r="H43" i="106"/>
  <c r="H42" i="106"/>
  <c r="H41" i="106"/>
  <c r="H40" i="106"/>
  <c r="H39" i="106"/>
  <c r="H38" i="106"/>
  <c r="H37" i="106"/>
  <c r="H36" i="106"/>
  <c r="H35" i="106"/>
  <c r="M111" i="94"/>
  <c r="O111" i="94" s="1"/>
  <c r="M106" i="94"/>
  <c r="O106" i="94" s="1"/>
  <c r="M93" i="94"/>
  <c r="O93" i="94" s="1"/>
  <c r="M88" i="94"/>
  <c r="O88" i="94" s="1"/>
  <c r="M87" i="94"/>
  <c r="O87" i="94" s="1"/>
  <c r="AQ30" i="4"/>
  <c r="H21" i="106"/>
  <c r="M83" i="94"/>
  <c r="O83" i="94" s="1"/>
  <c r="M84" i="94"/>
  <c r="O84" i="94" s="1"/>
  <c r="M177" i="94"/>
  <c r="O177" i="94" s="1"/>
  <c r="M174" i="94"/>
  <c r="O174" i="94" s="1"/>
  <c r="M173" i="94"/>
  <c r="O173" i="94" s="1"/>
  <c r="H103" i="105"/>
  <c r="H104" i="105"/>
  <c r="H113" i="87"/>
  <c r="H109" i="87"/>
  <c r="M39" i="94"/>
  <c r="O39" i="94" s="1"/>
  <c r="M38" i="94"/>
  <c r="O38" i="94" s="1"/>
  <c r="H168" i="87"/>
  <c r="H167" i="87"/>
  <c r="H166" i="87"/>
  <c r="M205" i="94"/>
  <c r="O205" i="94" s="1"/>
  <c r="M80" i="94"/>
  <c r="O80" i="94" s="1"/>
  <c r="H115" i="105"/>
  <c r="H114" i="105"/>
  <c r="H113" i="105"/>
  <c r="P202" i="94"/>
  <c r="M202" i="94"/>
  <c r="H151" i="87"/>
  <c r="H150" i="87"/>
  <c r="H149" i="87"/>
  <c r="H147" i="87"/>
  <c r="H146" i="87"/>
  <c r="H144" i="87"/>
  <c r="H143" i="87"/>
  <c r="H141" i="87"/>
  <c r="H139" i="87"/>
  <c r="H138" i="87"/>
  <c r="H127" i="87"/>
  <c r="M194" i="94"/>
  <c r="O194" i="94" s="1"/>
  <c r="H95" i="87"/>
  <c r="H94" i="87"/>
  <c r="M71" i="94"/>
  <c r="O71" i="94" s="1"/>
  <c r="M70" i="94"/>
  <c r="O70" i="94" s="1"/>
  <c r="M92" i="94"/>
  <c r="O92" i="94" s="1"/>
  <c r="M91" i="94"/>
  <c r="O91" i="94" s="1"/>
  <c r="H124" i="72"/>
  <c r="H123" i="72"/>
  <c r="H171" i="87"/>
  <c r="H151" i="105"/>
  <c r="H149" i="105"/>
  <c r="H62" i="104"/>
  <c r="H61" i="104"/>
  <c r="H39" i="72"/>
  <c r="H38" i="72"/>
  <c r="H57" i="87"/>
  <c r="H56" i="87"/>
  <c r="H55" i="105"/>
  <c r="H54" i="105"/>
  <c r="H53" i="105"/>
  <c r="H58" i="104"/>
  <c r="H57" i="104"/>
  <c r="H56" i="104"/>
  <c r="H43" i="87"/>
  <c r="H42" i="87"/>
  <c r="H41" i="87"/>
  <c r="H40" i="87"/>
  <c r="H39" i="87"/>
  <c r="H38" i="87"/>
  <c r="H15" i="106"/>
  <c r="H14" i="106"/>
  <c r="H40" i="105"/>
  <c r="H38" i="105"/>
  <c r="H36" i="105"/>
  <c r="H41" i="104"/>
  <c r="H37" i="104"/>
  <c r="H36" i="87"/>
  <c r="H14" i="72"/>
  <c r="H13" i="72"/>
  <c r="H17" i="72"/>
  <c r="H16" i="72"/>
  <c r="H34" i="87"/>
  <c r="H33" i="87"/>
  <c r="H11" i="106"/>
  <c r="H32" i="105"/>
  <c r="H31" i="105"/>
  <c r="H33" i="104"/>
  <c r="H32" i="104"/>
  <c r="H31" i="87"/>
  <c r="H30" i="87"/>
  <c r="H29" i="105"/>
  <c r="H28" i="105"/>
  <c r="H25" i="87"/>
  <c r="H24" i="87"/>
  <c r="H28" i="87"/>
  <c r="H27" i="87"/>
  <c r="H26" i="105"/>
  <c r="H25" i="105"/>
  <c r="H27" i="104"/>
  <c r="H26" i="104"/>
  <c r="H25" i="104"/>
  <c r="H10" i="72"/>
  <c r="H9" i="72"/>
  <c r="H22" i="87"/>
  <c r="H21" i="87"/>
  <c r="H20" i="105"/>
  <c r="H19" i="105"/>
  <c r="H19" i="104"/>
  <c r="H18" i="104"/>
  <c r="H6" i="72"/>
  <c r="H5" i="72"/>
  <c r="H19" i="87"/>
  <c r="H18" i="87"/>
  <c r="H17" i="87"/>
  <c r="H16" i="105"/>
  <c r="H15" i="105"/>
  <c r="H15" i="104"/>
  <c r="H14" i="104"/>
  <c r="H9" i="87"/>
  <c r="H8" i="87"/>
  <c r="H8" i="106"/>
  <c r="H9" i="105"/>
  <c r="H8" i="105"/>
  <c r="H9" i="104"/>
  <c r="H8" i="104"/>
  <c r="M20" i="94"/>
  <c r="O20" i="94" s="1"/>
  <c r="M19" i="94"/>
  <c r="O19" i="94" s="1"/>
  <c r="H25" i="106"/>
  <c r="H24" i="106"/>
  <c r="H130" i="72"/>
  <c r="H129" i="72"/>
  <c r="H128" i="72"/>
  <c r="D131" i="72"/>
  <c r="H111" i="72"/>
  <c r="H110" i="72"/>
  <c r="H120" i="72"/>
  <c r="H119" i="72"/>
  <c r="H107" i="72"/>
  <c r="H106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H91" i="72"/>
  <c r="H89" i="72"/>
  <c r="H88" i="72"/>
  <c r="H87" i="72"/>
  <c r="H86" i="72"/>
  <c r="H78" i="72"/>
  <c r="H77" i="72"/>
  <c r="H76" i="72"/>
  <c r="H75" i="72"/>
  <c r="H84" i="72"/>
  <c r="H83" i="72"/>
  <c r="H81" i="72"/>
  <c r="H80" i="72"/>
  <c r="H67" i="72"/>
  <c r="H66" i="72"/>
  <c r="H65" i="72"/>
  <c r="H64" i="72"/>
  <c r="H63" i="72"/>
  <c r="H72" i="72"/>
  <c r="H71" i="72"/>
  <c r="H59" i="72"/>
  <c r="H58" i="72"/>
  <c r="H126" i="72"/>
  <c r="H125" i="72"/>
  <c r="H55" i="72"/>
  <c r="H54" i="72"/>
  <c r="H52" i="72"/>
  <c r="H51" i="72"/>
  <c r="H50" i="72"/>
  <c r="H48" i="72"/>
  <c r="H47" i="72"/>
  <c r="H45" i="72"/>
  <c r="H44" i="72"/>
  <c r="H42" i="72"/>
  <c r="H41" i="72"/>
  <c r="H37" i="72"/>
  <c r="H36" i="72"/>
  <c r="H29" i="72"/>
  <c r="H28" i="72"/>
  <c r="H27" i="72"/>
  <c r="H26" i="72"/>
  <c r="H33" i="72"/>
  <c r="H32" i="72"/>
  <c r="H31" i="72"/>
  <c r="H24" i="72"/>
  <c r="H23" i="72"/>
  <c r="H22" i="72"/>
  <c r="H21" i="72"/>
  <c r="H20" i="72"/>
  <c r="H19" i="72"/>
  <c r="H7" i="72"/>
  <c r="H154" i="87"/>
  <c r="H153" i="87"/>
  <c r="H119" i="87"/>
  <c r="H118" i="87"/>
  <c r="H116" i="87"/>
  <c r="H115" i="87"/>
  <c r="H112" i="87"/>
  <c r="H111" i="87"/>
  <c r="H110" i="87"/>
  <c r="H107" i="87"/>
  <c r="H106" i="87"/>
  <c r="H104" i="87"/>
  <c r="H103" i="87"/>
  <c r="H92" i="87"/>
  <c r="H91" i="87"/>
  <c r="H90" i="87"/>
  <c r="H101" i="87"/>
  <c r="H100" i="87"/>
  <c r="H98" i="87"/>
  <c r="H97" i="87"/>
  <c r="H85" i="87"/>
  <c r="H84" i="87"/>
  <c r="H88" i="87"/>
  <c r="H87" i="87"/>
  <c r="H82" i="87"/>
  <c r="H81" i="87"/>
  <c r="H174" i="87"/>
  <c r="H173" i="87"/>
  <c r="H79" i="87"/>
  <c r="H78" i="87"/>
  <c r="H77" i="87"/>
  <c r="H76" i="87"/>
  <c r="H73" i="87"/>
  <c r="H72" i="87"/>
  <c r="H71" i="87"/>
  <c r="H70" i="87"/>
  <c r="H68" i="87"/>
  <c r="H66" i="87"/>
  <c r="H64" i="87"/>
  <c r="H62" i="87"/>
  <c r="H60" i="87"/>
  <c r="H59" i="87"/>
  <c r="H55" i="87"/>
  <c r="H54" i="87"/>
  <c r="H49" i="87"/>
  <c r="H48" i="87"/>
  <c r="H52" i="87"/>
  <c r="H51" i="87"/>
  <c r="H46" i="87"/>
  <c r="H45" i="87"/>
  <c r="H16" i="87"/>
  <c r="H15" i="87"/>
  <c r="H6" i="87"/>
  <c r="H5" i="87"/>
  <c r="H34" i="106"/>
  <c r="H22" i="106"/>
  <c r="H19" i="106"/>
  <c r="H18" i="106"/>
  <c r="H6" i="106"/>
  <c r="H5" i="106"/>
  <c r="H62" i="105"/>
  <c r="H61" i="105"/>
  <c r="H60" i="105"/>
  <c r="H70" i="105"/>
  <c r="H69" i="105"/>
  <c r="H52" i="105"/>
  <c r="H51" i="105"/>
  <c r="H46" i="105"/>
  <c r="H45" i="105"/>
  <c r="H43" i="105"/>
  <c r="H42" i="105"/>
  <c r="H21" i="104"/>
  <c r="H47" i="104"/>
  <c r="H46" i="104"/>
  <c r="H44" i="104"/>
  <c r="H43" i="104"/>
  <c r="M67" i="94"/>
  <c r="O67" i="94" s="1"/>
  <c r="M66" i="94"/>
  <c r="O66" i="94" s="1"/>
  <c r="P62" i="94"/>
  <c r="P61" i="94"/>
  <c r="M63" i="94"/>
  <c r="O63" i="94" s="1"/>
  <c r="M62" i="94"/>
  <c r="M61" i="94"/>
  <c r="M55" i="94"/>
  <c r="O55" i="94" s="1"/>
  <c r="M54" i="94"/>
  <c r="O54" i="94" s="1"/>
  <c r="M53" i="94"/>
  <c r="O53" i="94" s="1"/>
  <c r="M13" i="94"/>
  <c r="O13" i="94" s="1"/>
  <c r="M12" i="94"/>
  <c r="O12" i="94" s="1"/>
  <c r="M11" i="94"/>
  <c r="O11" i="94" s="1"/>
  <c r="M10" i="94"/>
  <c r="O10" i="94" s="1"/>
  <c r="M9" i="94"/>
  <c r="O9" i="94" s="1"/>
  <c r="M8" i="94"/>
  <c r="O8" i="94" s="1"/>
  <c r="O62" i="94" l="1"/>
  <c r="O202" i="94"/>
  <c r="O61" i="94"/>
  <c r="H131" i="72"/>
  <c r="H62" i="75"/>
  <c r="I12" i="73" l="1"/>
  <c r="I11" i="73"/>
  <c r="I10" i="73"/>
  <c r="I8" i="73"/>
  <c r="M39" i="1" l="1"/>
  <c r="AJ38" i="4" l="1"/>
  <c r="AJ36" i="4"/>
  <c r="AJ35" i="4"/>
  <c r="AJ34" i="4"/>
  <c r="AJ32" i="4"/>
  <c r="AJ29" i="4"/>
  <c r="AJ28" i="4"/>
  <c r="AJ26" i="4"/>
  <c r="AJ22" i="4"/>
  <c r="DA59" i="4" l="1"/>
  <c r="DA34" i="4"/>
  <c r="J131" i="72" s="1"/>
  <c r="K131" i="72" s="1"/>
  <c r="O51" i="4" l="1"/>
  <c r="O47" i="4"/>
  <c r="O48" i="4"/>
  <c r="AV14" i="4"/>
  <c r="AV13" i="4"/>
  <c r="AV12" i="4"/>
  <c r="AV11" i="4"/>
  <c r="AV10" i="4"/>
  <c r="AV9" i="4"/>
  <c r="AV8" i="4"/>
  <c r="Y14" i="4"/>
  <c r="Y13" i="4"/>
  <c r="Y12" i="4"/>
  <c r="Y11" i="4"/>
  <c r="Y10" i="4"/>
  <c r="Y9" i="4"/>
  <c r="Y8" i="4"/>
  <c r="X14" i="4"/>
  <c r="X13" i="4"/>
  <c r="X12" i="4"/>
  <c r="X11" i="4"/>
  <c r="X10" i="4"/>
  <c r="X9" i="4"/>
  <c r="X8" i="4"/>
  <c r="W14" i="4"/>
  <c r="W13" i="4"/>
  <c r="W12" i="4"/>
  <c r="W11" i="4"/>
  <c r="W10" i="4"/>
  <c r="W9" i="4"/>
  <c r="W8" i="4"/>
  <c r="AJ14" i="4"/>
  <c r="AJ13" i="4"/>
  <c r="AJ12" i="4"/>
  <c r="AJ11" i="4"/>
  <c r="AJ10" i="4"/>
  <c r="AJ9" i="4"/>
  <c r="AJ8" i="4"/>
  <c r="V14" i="4"/>
  <c r="V13" i="4"/>
  <c r="V12" i="4"/>
  <c r="V11" i="4"/>
  <c r="V10" i="4"/>
  <c r="V9" i="4"/>
  <c r="V8" i="4"/>
  <c r="T14" i="4"/>
  <c r="T13" i="4"/>
  <c r="T12" i="4"/>
  <c r="T11" i="4"/>
  <c r="T10" i="4"/>
  <c r="T9" i="4"/>
  <c r="T8" i="4"/>
  <c r="O14" i="4"/>
  <c r="O13" i="4"/>
  <c r="O12" i="4"/>
  <c r="O11" i="4"/>
  <c r="O10" i="4"/>
  <c r="O9" i="4"/>
  <c r="O8" i="4"/>
  <c r="H8" i="4" l="1"/>
  <c r="DJ34" i="4"/>
  <c r="DI34" i="4"/>
  <c r="DI25" i="4"/>
  <c r="DD59" i="4"/>
  <c r="DA30" i="4"/>
  <c r="DF22" i="4"/>
  <c r="DF30" i="4"/>
  <c r="DF33" i="4"/>
  <c r="DE59" i="4"/>
  <c r="DE58" i="4"/>
  <c r="DE33" i="4"/>
  <c r="DE30" i="4"/>
  <c r="DE22" i="4"/>
  <c r="CX59" i="4"/>
  <c r="CZ34" i="4"/>
  <c r="CZ22" i="4"/>
  <c r="CX22" i="4"/>
  <c r="CV58" i="4"/>
  <c r="CV34" i="4"/>
  <c r="CU34" i="4"/>
  <c r="CT34" i="4"/>
  <c r="CR34" i="4"/>
  <c r="CQ34" i="4"/>
  <c r="CO34" i="4"/>
  <c r="CN34" i="4"/>
  <c r="CL34" i="4"/>
  <c r="BO59" i="4"/>
  <c r="BO34" i="4"/>
  <c r="BO33" i="4"/>
  <c r="L64" i="4"/>
  <c r="L33" i="4"/>
  <c r="AW60" i="4" l="1"/>
  <c r="AX38" i="4"/>
  <c r="AW38" i="4"/>
  <c r="AW35" i="4"/>
  <c r="AX35" i="4"/>
  <c r="AX34" i="4"/>
  <c r="AW34" i="4"/>
  <c r="AX28" i="4"/>
  <c r="AW28" i="4"/>
  <c r="AW22" i="4"/>
  <c r="AX22" i="4"/>
  <c r="AX21" i="4"/>
  <c r="AW21" i="4"/>
  <c r="AJ21" i="4"/>
  <c r="AJ19" i="4"/>
  <c r="Z34" i="4"/>
  <c r="Z30" i="4"/>
  <c r="Z22" i="4"/>
  <c r="Z21" i="4"/>
  <c r="Y34" i="4"/>
  <c r="Y27" i="4"/>
  <c r="X46" i="4"/>
  <c r="X38" i="4"/>
  <c r="X37" i="4"/>
  <c r="X36" i="4"/>
  <c r="X35" i="4"/>
  <c r="X34" i="4"/>
  <c r="X32" i="4"/>
  <c r="X30" i="4"/>
  <c r="X28" i="4"/>
  <c r="X27" i="4"/>
  <c r="X22" i="4"/>
  <c r="X21" i="4"/>
  <c r="X20" i="4"/>
  <c r="W36" i="4"/>
  <c r="W34" i="4"/>
  <c r="W22" i="4"/>
  <c r="W20" i="4"/>
  <c r="U34" i="4"/>
  <c r="V46" i="4"/>
  <c r="V45" i="4"/>
  <c r="V42" i="4"/>
  <c r="V38" i="4"/>
  <c r="V37" i="4"/>
  <c r="V36" i="4"/>
  <c r="V35" i="4"/>
  <c r="V34" i="4"/>
  <c r="V32" i="4"/>
  <c r="V28" i="4"/>
  <c r="V26" i="4"/>
  <c r="V22" i="4"/>
  <c r="V21" i="4"/>
  <c r="V20" i="4"/>
  <c r="V19" i="4"/>
  <c r="T46" i="4"/>
  <c r="T42" i="4"/>
  <c r="T38" i="4"/>
  <c r="T37" i="4"/>
  <c r="T36" i="4"/>
  <c r="T35" i="4"/>
  <c r="T34" i="4"/>
  <c r="T32" i="4"/>
  <c r="T28" i="4"/>
  <c r="T26" i="4"/>
  <c r="T22" i="4"/>
  <c r="T21" i="4"/>
  <c r="T19" i="4"/>
  <c r="Q62" i="4"/>
  <c r="P62" i="4"/>
  <c r="Q46" i="4"/>
  <c r="P46" i="4"/>
  <c r="Q45" i="4"/>
  <c r="P45" i="4"/>
  <c r="Q42" i="4"/>
  <c r="P42" i="4"/>
  <c r="Q39" i="4"/>
  <c r="P39" i="4"/>
  <c r="Q38" i="4"/>
  <c r="P38" i="4"/>
  <c r="Q37" i="4"/>
  <c r="P37" i="4"/>
  <c r="Q36" i="4"/>
  <c r="P36" i="4"/>
  <c r="Q35" i="4"/>
  <c r="P35" i="4"/>
  <c r="Q34" i="4"/>
  <c r="P34" i="4"/>
  <c r="Q32" i="4"/>
  <c r="P32" i="4"/>
  <c r="Q31" i="4"/>
  <c r="P31" i="4"/>
  <c r="Q28" i="4"/>
  <c r="P28" i="4"/>
  <c r="Q27" i="4"/>
  <c r="P27" i="4"/>
  <c r="Q26" i="4"/>
  <c r="P26" i="4"/>
  <c r="Q22" i="4"/>
  <c r="P22" i="4"/>
  <c r="Q21" i="4"/>
  <c r="P21" i="4"/>
  <c r="Q20" i="4"/>
  <c r="P20" i="4"/>
  <c r="M42" i="4"/>
  <c r="M38" i="4"/>
  <c r="M37" i="4"/>
  <c r="M34" i="4"/>
  <c r="M32" i="4"/>
  <c r="M30" i="4"/>
  <c r="M28" i="4"/>
  <c r="M26" i="4"/>
  <c r="M22" i="4"/>
  <c r="M21" i="4"/>
  <c r="M20" i="4"/>
  <c r="DA35" i="4" l="1"/>
  <c r="CJ35" i="4"/>
  <c r="CK35" i="4"/>
  <c r="CK34" i="4"/>
  <c r="CJ34" i="4"/>
  <c r="BX47" i="4"/>
  <c r="BX35" i="4"/>
  <c r="BY35" i="4"/>
  <c r="BY34" i="4"/>
  <c r="BX34" i="4"/>
  <c r="BY25" i="4"/>
  <c r="BX25" i="4"/>
  <c r="BT35" i="4"/>
  <c r="G10" i="121" s="1"/>
  <c r="BU35" i="4"/>
  <c r="BU34" i="4"/>
  <c r="BT34" i="4"/>
  <c r="BT30" i="4"/>
  <c r="BU25" i="4"/>
  <c r="BT25" i="4"/>
  <c r="BU21" i="4"/>
  <c r="BT21" i="4"/>
  <c r="BN35" i="4"/>
  <c r="BM35" i="4"/>
  <c r="BN34" i="4"/>
  <c r="BM34" i="4"/>
  <c r="BK35" i="4"/>
  <c r="BK34" i="4"/>
  <c r="BI35" i="4"/>
  <c r="BJ35" i="4"/>
  <c r="BJ34" i="4"/>
  <c r="BI34" i="4"/>
  <c r="BG35" i="4"/>
  <c r="BF35" i="4"/>
  <c r="BG34" i="4"/>
  <c r="BF34" i="4"/>
  <c r="BD35" i="4"/>
  <c r="BC35" i="4"/>
  <c r="BD34" i="4"/>
  <c r="BC34" i="4"/>
  <c r="BD30" i="4"/>
  <c r="AZ35" i="4"/>
  <c r="BA35" i="4"/>
  <c r="BA34" i="4"/>
  <c r="AZ34" i="4"/>
  <c r="AU35" i="4"/>
  <c r="AT35" i="4"/>
  <c r="AU34" i="4"/>
  <c r="AT34" i="4"/>
  <c r="AR35" i="4"/>
  <c r="AQ35" i="4"/>
  <c r="AR34" i="4"/>
  <c r="AQ34" i="4"/>
  <c r="AN59" i="4"/>
  <c r="AN58" i="4"/>
  <c r="AO35" i="4"/>
  <c r="AN35" i="4"/>
  <c r="AO34" i="4"/>
  <c r="AN34" i="4"/>
  <c r="AN23" i="4"/>
  <c r="AO22" i="4"/>
  <c r="AN22" i="4"/>
  <c r="AL35" i="4"/>
  <c r="AL34" i="4"/>
  <c r="AK35" i="4"/>
  <c r="AK34" i="4"/>
  <c r="AF35" i="4"/>
  <c r="AE35" i="4"/>
  <c r="AF34" i="4"/>
  <c r="AE34" i="4"/>
  <c r="AH60" i="4"/>
  <c r="AH59" i="4"/>
  <c r="AH58" i="4"/>
  <c r="AH35" i="4"/>
  <c r="AI35" i="4"/>
  <c r="AI34" i="4"/>
  <c r="AH34" i="4"/>
  <c r="AC35" i="4"/>
  <c r="AB35" i="4"/>
  <c r="AC34" i="4"/>
  <c r="AB34" i="4"/>
  <c r="AC30" i="4"/>
  <c r="AB30" i="4"/>
  <c r="AB22" i="4"/>
  <c r="AC22" i="4"/>
  <c r="AC21" i="4"/>
  <c r="AB21" i="4"/>
  <c r="L34" i="4"/>
  <c r="L30" i="4"/>
  <c r="L29" i="4"/>
  <c r="BC30" i="4" l="1"/>
  <c r="DK59" i="4" l="1"/>
  <c r="DK58" i="4"/>
  <c r="DI59" i="4"/>
  <c r="DI58" i="4"/>
  <c r="CH35" i="4"/>
  <c r="CG35" i="4"/>
  <c r="CD59" i="4"/>
  <c r="CC59" i="4" s="1"/>
  <c r="CD58" i="4"/>
  <c r="CC58" i="4" s="1"/>
  <c r="CB35" i="4"/>
  <c r="CA35" i="4"/>
  <c r="BX59" i="4"/>
  <c r="BX58" i="4"/>
  <c r="DL59" i="4"/>
  <c r="DL58" i="4"/>
  <c r="BT64" i="4"/>
  <c r="BM59" i="4"/>
  <c r="BM58" i="4"/>
  <c r="BI59" i="4"/>
  <c r="BI58" i="4"/>
  <c r="BC59" i="4"/>
  <c r="BC58" i="4"/>
  <c r="AW59" i="4"/>
  <c r="AW58" i="4"/>
  <c r="AT57" i="4"/>
  <c r="AQ59" i="4"/>
  <c r="AQ58" i="4"/>
  <c r="CJ59" i="4"/>
  <c r="CJ58" i="4"/>
  <c r="BV41" i="4"/>
  <c r="BV25" i="4"/>
  <c r="S66" i="4"/>
  <c r="BU22" i="4"/>
  <c r="BT22" i="4"/>
  <c r="BT46" i="4"/>
  <c r="AB59" i="4"/>
  <c r="AB58" i="4"/>
  <c r="BK44" i="4" l="1"/>
  <c r="BF44" i="4"/>
  <c r="AZ44" i="4"/>
  <c r="AW25" i="4"/>
  <c r="AW24" i="4"/>
  <c r="AW23" i="4"/>
  <c r="AT30" i="4"/>
  <c r="AT25" i="4"/>
  <c r="AT24" i="4"/>
  <c r="AT23" i="4"/>
  <c r="AQ50" i="4"/>
  <c r="AQ25" i="4"/>
  <c r="BT23" i="4"/>
  <c r="AJ25" i="4"/>
  <c r="AJ24" i="4"/>
  <c r="AJ23" i="4"/>
  <c r="AL25" i="4"/>
  <c r="AH25" i="4"/>
  <c r="AH24" i="4"/>
  <c r="AH23" i="4"/>
  <c r="AE25" i="4"/>
  <c r="AE24" i="4"/>
  <c r="AE23" i="4"/>
  <c r="AB25" i="4"/>
  <c r="AB24" i="4"/>
  <c r="AB23" i="4"/>
  <c r="X25" i="4"/>
  <c r="X24" i="4"/>
  <c r="X23" i="4"/>
  <c r="P25" i="4"/>
  <c r="P24" i="4"/>
  <c r="P23" i="4"/>
  <c r="N38" i="4"/>
  <c r="N34" i="4"/>
  <c r="N22" i="4"/>
  <c r="N21" i="4"/>
  <c r="N9" i="4"/>
  <c r="L66" i="4"/>
  <c r="L59" i="4"/>
  <c r="L49" i="4"/>
  <c r="L43" i="4"/>
  <c r="I47" i="4"/>
  <c r="L68" i="1" l="1"/>
  <c r="L50" i="1"/>
  <c r="L46" i="1"/>
  <c r="L39" i="1"/>
  <c r="L38" i="1"/>
  <c r="L11" i="1"/>
  <c r="L9" i="1"/>
  <c r="L7" i="1"/>
  <c r="I68" i="1"/>
  <c r="I50" i="1"/>
  <c r="I46" i="1"/>
  <c r="I39" i="1"/>
  <c r="I38" i="1"/>
  <c r="I11" i="1"/>
  <c r="I9" i="1"/>
  <c r="I7" i="1"/>
  <c r="I66" i="1" l="1"/>
  <c r="I73" i="1" s="1"/>
  <c r="L66" i="1"/>
  <c r="L73" i="1" s="1"/>
  <c r="BS23" i="4"/>
  <c r="BS24" i="4"/>
  <c r="S71" i="4"/>
  <c r="S70" i="4"/>
  <c r="S67" i="4"/>
  <c r="S64" i="4"/>
  <c r="S63" i="4"/>
  <c r="S62" i="4"/>
  <c r="S61" i="4"/>
  <c r="S60" i="4"/>
  <c r="S59" i="4"/>
  <c r="S57" i="4"/>
  <c r="S56" i="4"/>
  <c r="S54" i="4"/>
  <c r="S53" i="4"/>
  <c r="S51" i="4"/>
  <c r="S50" i="4"/>
  <c r="S49" i="4"/>
  <c r="S48" i="4"/>
  <c r="S47" i="4"/>
  <c r="S46" i="4"/>
  <c r="S45" i="4"/>
  <c r="S43" i="4"/>
  <c r="S42" i="4"/>
  <c r="S41" i="4"/>
  <c r="S40" i="4"/>
  <c r="S39" i="4"/>
  <c r="S38" i="4"/>
  <c r="S37" i="4"/>
  <c r="S36" i="4"/>
  <c r="S33" i="4"/>
  <c r="S32" i="4"/>
  <c r="S31" i="4"/>
  <c r="S30" i="4"/>
  <c r="S29" i="4"/>
  <c r="S28" i="4"/>
  <c r="S27" i="4"/>
  <c r="S26" i="4"/>
  <c r="S24" i="4"/>
  <c r="S23" i="4"/>
  <c r="S21" i="4"/>
  <c r="S20" i="4"/>
  <c r="S19" i="4"/>
  <c r="DH25" i="4"/>
  <c r="DH34" i="4"/>
  <c r="DJ52" i="4"/>
  <c r="DJ72" i="4"/>
  <c r="DJ69" i="4"/>
  <c r="DJ16" i="4"/>
  <c r="DI72" i="4"/>
  <c r="DI69" i="4"/>
  <c r="DI52" i="4"/>
  <c r="DI16" i="4"/>
  <c r="DI55" i="4" l="1"/>
  <c r="DI74" i="4" s="1"/>
  <c r="DJ55" i="4"/>
  <c r="DJ74" i="4" s="1"/>
  <c r="AF18" i="85"/>
  <c r="AF16" i="85"/>
  <c r="AF15" i="85"/>
  <c r="AF14" i="85"/>
  <c r="AF8" i="85"/>
  <c r="AF7" i="85"/>
  <c r="AE35" i="85"/>
  <c r="AE10" i="85"/>
  <c r="AD13" i="85"/>
  <c r="AA35" i="85" l="1"/>
  <c r="G137" i="72" l="1"/>
  <c r="G117" i="72"/>
  <c r="G136" i="72" s="1"/>
  <c r="H193" i="73"/>
  <c r="H150" i="73"/>
  <c r="H181" i="73" s="1"/>
  <c r="H148" i="73"/>
  <c r="H145" i="73"/>
  <c r="H144" i="73"/>
  <c r="H142" i="73"/>
  <c r="H141" i="73"/>
  <c r="H140" i="73"/>
  <c r="H139" i="73"/>
  <c r="H138" i="73"/>
  <c r="H137" i="73"/>
  <c r="H136" i="73"/>
  <c r="H135" i="73"/>
  <c r="H133" i="73"/>
  <c r="H132" i="73"/>
  <c r="H131" i="73"/>
  <c r="H130" i="73"/>
  <c r="H129" i="73"/>
  <c r="H128" i="73"/>
  <c r="H127" i="73"/>
  <c r="H126" i="73"/>
  <c r="H125" i="73"/>
  <c r="H124" i="73"/>
  <c r="H123" i="73"/>
  <c r="H122" i="73"/>
  <c r="H121" i="73"/>
  <c r="H120" i="73"/>
  <c r="H119" i="73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H105" i="73"/>
  <c r="H104" i="73"/>
  <c r="H103" i="73"/>
  <c r="H102" i="73"/>
  <c r="H101" i="73"/>
  <c r="H100" i="73"/>
  <c r="H99" i="73"/>
  <c r="H98" i="73"/>
  <c r="H97" i="73"/>
  <c r="H94" i="73"/>
  <c r="H93" i="73"/>
  <c r="H92" i="73"/>
  <c r="H91" i="73"/>
  <c r="H90" i="73"/>
  <c r="H89" i="73"/>
  <c r="H88" i="73"/>
  <c r="H87" i="73"/>
  <c r="H83" i="73"/>
  <c r="H78" i="73"/>
  <c r="H77" i="73"/>
  <c r="H76" i="73"/>
  <c r="H169" i="73" s="1"/>
  <c r="H168" i="73" s="1"/>
  <c r="H72" i="73"/>
  <c r="H67" i="73"/>
  <c r="H66" i="73"/>
  <c r="H65" i="73"/>
  <c r="H64" i="73"/>
  <c r="H63" i="73"/>
  <c r="H59" i="73"/>
  <c r="H58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3" i="73"/>
  <c r="H32" i="73"/>
  <c r="H31" i="73"/>
  <c r="H30" i="73"/>
  <c r="H29" i="73"/>
  <c r="H28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3" i="73"/>
  <c r="H12" i="73"/>
  <c r="H11" i="73"/>
  <c r="H9" i="73"/>
  <c r="H8" i="73"/>
  <c r="H7" i="73"/>
  <c r="H147" i="73" l="1"/>
  <c r="H57" i="73"/>
  <c r="H180" i="73"/>
  <c r="H179" i="73" s="1"/>
  <c r="H75" i="73"/>
  <c r="H6" i="73"/>
  <c r="H175" i="73" s="1"/>
  <c r="H27" i="73"/>
  <c r="H176" i="73" s="1"/>
  <c r="H62" i="73"/>
  <c r="H177" i="73" s="1"/>
  <c r="H96" i="73"/>
  <c r="H86" i="73"/>
  <c r="H134" i="73"/>
  <c r="H165" i="73" s="1"/>
  <c r="H161" i="73"/>
  <c r="E13" i="103"/>
  <c r="H85" i="73" l="1"/>
  <c r="H184" i="73" s="1"/>
  <c r="H185" i="73" s="1"/>
  <c r="H158" i="73"/>
  <c r="H164" i="73"/>
  <c r="H190" i="73" s="1"/>
  <c r="H157" i="73"/>
  <c r="H80" i="73"/>
  <c r="H81" i="73" s="1"/>
  <c r="H191" i="73"/>
  <c r="H174" i="73"/>
  <c r="H172" i="73" s="1"/>
  <c r="F37" i="103"/>
  <c r="G37" i="103" s="1"/>
  <c r="B30" i="103"/>
  <c r="F28" i="103"/>
  <c r="U22" i="103"/>
  <c r="H20" i="103"/>
  <c r="Y20" i="103"/>
  <c r="Z13" i="103"/>
  <c r="Y13" i="103"/>
  <c r="X13" i="103"/>
  <c r="W13" i="103"/>
  <c r="T20" i="103"/>
  <c r="G20" i="103"/>
  <c r="F21" i="103"/>
  <c r="F22" i="103"/>
  <c r="F29" i="103" s="1"/>
  <c r="G29" i="103" s="1"/>
  <c r="H29" i="103" s="1"/>
  <c r="I29" i="103" s="1"/>
  <c r="J29" i="103" s="1"/>
  <c r="K29" i="103" s="1"/>
  <c r="L29" i="103" s="1"/>
  <c r="M29" i="103" s="1"/>
  <c r="N29" i="103" s="1"/>
  <c r="O29" i="103" s="1"/>
  <c r="P29" i="103" s="1"/>
  <c r="Q29" i="103" s="1"/>
  <c r="R29" i="103" s="1"/>
  <c r="S29" i="103" s="1"/>
  <c r="T29" i="103" s="1"/>
  <c r="U29" i="103" s="1"/>
  <c r="V29" i="103" s="1"/>
  <c r="W29" i="103" s="1"/>
  <c r="X29" i="103" s="1"/>
  <c r="Y29" i="103" s="1"/>
  <c r="Z29" i="103" s="1"/>
  <c r="E26" i="103"/>
  <c r="C25" i="103"/>
  <c r="C30" i="103" s="1"/>
  <c r="B23" i="103"/>
  <c r="C23" i="103"/>
  <c r="H159" i="73" l="1"/>
  <c r="H162" i="73" s="1"/>
  <c r="H166" i="73" s="1"/>
  <c r="G28" i="103"/>
  <c r="H28" i="103" s="1"/>
  <c r="I28" i="103" s="1"/>
  <c r="J28" i="103" s="1"/>
  <c r="K28" i="103" s="1"/>
  <c r="L28" i="103" s="1"/>
  <c r="M28" i="103" s="1"/>
  <c r="N28" i="103" s="1"/>
  <c r="O28" i="103" s="1"/>
  <c r="P28" i="103" s="1"/>
  <c r="Q28" i="103" s="1"/>
  <c r="R28" i="103" s="1"/>
  <c r="S28" i="103" s="1"/>
  <c r="T28" i="103" s="1"/>
  <c r="U28" i="103" s="1"/>
  <c r="V28" i="103" s="1"/>
  <c r="W28" i="103" s="1"/>
  <c r="X28" i="103" s="1"/>
  <c r="H152" i="73"/>
  <c r="H153" i="73" s="1"/>
  <c r="H189" i="73"/>
  <c r="I146" i="111"/>
  <c r="J146" i="111"/>
  <c r="K146" i="111"/>
  <c r="L146" i="111"/>
  <c r="M146" i="111"/>
  <c r="N146" i="111"/>
  <c r="D146" i="111"/>
  <c r="E146" i="111"/>
  <c r="F146" i="111"/>
  <c r="C147" i="111"/>
  <c r="C146" i="111"/>
  <c r="N148" i="111" l="1"/>
  <c r="F148" i="111"/>
  <c r="E148" i="111"/>
  <c r="D148" i="111"/>
  <c r="M148" i="111"/>
  <c r="L148" i="111"/>
  <c r="J148" i="111"/>
  <c r="K148" i="111"/>
  <c r="W30" i="103"/>
  <c r="C148" i="111"/>
  <c r="H154" i="73"/>
  <c r="I148" i="111"/>
  <c r="Y28" i="103"/>
  <c r="X30" i="103"/>
  <c r="Z28" i="103" l="1"/>
  <c r="Z30" i="103" s="1"/>
  <c r="Y30" i="103"/>
  <c r="H146" i="111" l="1"/>
  <c r="H148" i="111" l="1"/>
  <c r="X16" i="85"/>
  <c r="W17" i="85"/>
  <c r="S16" i="85"/>
  <c r="R16" i="85"/>
  <c r="AB16" i="85" l="1"/>
  <c r="AB14" i="85"/>
  <c r="AB8" i="85"/>
  <c r="AB7" i="85"/>
  <c r="H71" i="111" l="1"/>
  <c r="K6" i="117" l="1"/>
  <c r="M46" i="1" l="1"/>
  <c r="M50" i="1"/>
  <c r="I7" i="73" l="1"/>
  <c r="P105" i="94" l="1"/>
  <c r="I105" i="94"/>
  <c r="M105" i="94" l="1"/>
  <c r="O105" i="94" s="1"/>
  <c r="I78" i="73"/>
  <c r="W23" i="103" l="1"/>
  <c r="X23" i="103" l="1"/>
  <c r="BF6" i="85"/>
  <c r="BF8" i="85"/>
  <c r="BF14" i="85"/>
  <c r="BG15" i="85"/>
  <c r="BF16" i="85"/>
  <c r="BG16" i="85"/>
  <c r="BF17" i="85"/>
  <c r="BF52" i="85"/>
  <c r="AK35" i="85"/>
  <c r="Z23" i="103" l="1"/>
  <c r="Y23" i="103"/>
  <c r="I220" i="94" l="1"/>
  <c r="DF72" i="4"/>
  <c r="T220" i="94"/>
  <c r="DF16" i="4"/>
  <c r="DF52" i="4"/>
  <c r="DF55" i="4" l="1"/>
  <c r="M220" i="94"/>
  <c r="BG14" i="85"/>
  <c r="AM52" i="85"/>
  <c r="AQ52" i="85"/>
  <c r="AX52" i="85"/>
  <c r="BB52" i="85"/>
  <c r="AZ28" i="85"/>
  <c r="BF7" i="85"/>
  <c r="U220" i="94" l="1"/>
  <c r="G146" i="111"/>
  <c r="P72" i="111" l="1"/>
  <c r="F7" i="120" l="1"/>
  <c r="F4" i="120"/>
  <c r="D4" i="120"/>
  <c r="D7" i="120"/>
  <c r="C4" i="120"/>
  <c r="C7" i="120"/>
  <c r="G4" i="120" l="1"/>
  <c r="I9" i="73"/>
  <c r="F9" i="120"/>
  <c r="D9" i="120"/>
  <c r="H8" i="120"/>
  <c r="I8" i="120" s="1"/>
  <c r="G8" i="120"/>
  <c r="E8" i="120"/>
  <c r="E7" i="120"/>
  <c r="H7" i="120"/>
  <c r="I7" i="120" s="1"/>
  <c r="H6" i="120"/>
  <c r="I6" i="120" s="1"/>
  <c r="G6" i="120"/>
  <c r="E6" i="120"/>
  <c r="H5" i="120"/>
  <c r="I5" i="120" s="1"/>
  <c r="G5" i="120"/>
  <c r="E5" i="120"/>
  <c r="H4" i="120"/>
  <c r="E4" i="120"/>
  <c r="I4" i="120" l="1"/>
  <c r="H9" i="120"/>
  <c r="E9" i="120"/>
  <c r="I9" i="120"/>
  <c r="C9" i="120"/>
  <c r="G7" i="120"/>
  <c r="G9" i="120" s="1"/>
  <c r="G10" i="120" s="1"/>
  <c r="E10" i="120" l="1"/>
  <c r="I10" i="120"/>
  <c r="BE13" i="85"/>
  <c r="AZ13" i="85"/>
  <c r="BF21" i="85"/>
  <c r="BH6" i="85" l="1"/>
  <c r="AW20" i="85" l="1"/>
  <c r="BF46" i="85"/>
  <c r="V18" i="85"/>
  <c r="U18" i="85"/>
  <c r="T16" i="85"/>
  <c r="Q18" i="85"/>
  <c r="O18" i="85"/>
  <c r="N16" i="85"/>
  <c r="M17" i="85"/>
  <c r="K18" i="85"/>
  <c r="J18" i="85"/>
  <c r="I18" i="85"/>
  <c r="U35" i="85"/>
  <c r="Q50" i="85"/>
  <c r="Q35" i="85"/>
  <c r="Q28" i="85"/>
  <c r="AW17" i="85" l="1"/>
  <c r="AV13" i="85"/>
  <c r="AR13" i="85"/>
  <c r="AM13" i="85"/>
  <c r="AI13" i="85"/>
  <c r="S27" i="85"/>
  <c r="R8" i="85"/>
  <c r="AS45" i="85"/>
  <c r="V16" i="85"/>
  <c r="U10" i="85"/>
  <c r="T7" i="85" l="1"/>
  <c r="D55" i="117" l="1"/>
  <c r="D54" i="117"/>
  <c r="P55" i="117"/>
  <c r="O55" i="117"/>
  <c r="N55" i="117"/>
  <c r="P54" i="117"/>
  <c r="O54" i="117"/>
  <c r="N54" i="117"/>
  <c r="K55" i="117"/>
  <c r="J55" i="117"/>
  <c r="I55" i="117"/>
  <c r="H55" i="117"/>
  <c r="G55" i="117"/>
  <c r="K54" i="117"/>
  <c r="J54" i="117"/>
  <c r="I54" i="117"/>
  <c r="H54" i="117"/>
  <c r="G54" i="117"/>
  <c r="F55" i="117"/>
  <c r="F54" i="117"/>
  <c r="F56" i="117" s="1"/>
  <c r="O103" i="119" l="1"/>
  <c r="N103" i="119"/>
  <c r="M103" i="119"/>
  <c r="L103" i="119"/>
  <c r="K103" i="119"/>
  <c r="J103" i="119"/>
  <c r="I103" i="119"/>
  <c r="H103" i="119"/>
  <c r="G103" i="119"/>
  <c r="F103" i="119"/>
  <c r="E103" i="119"/>
  <c r="D103" i="119"/>
  <c r="P101" i="119"/>
  <c r="D97" i="119"/>
  <c r="O95" i="119"/>
  <c r="O97" i="119" s="1"/>
  <c r="N95" i="119"/>
  <c r="N97" i="119" s="1"/>
  <c r="M95" i="119"/>
  <c r="M97" i="119" s="1"/>
  <c r="L95" i="119"/>
  <c r="L97" i="119" s="1"/>
  <c r="K95" i="119"/>
  <c r="K97" i="119" s="1"/>
  <c r="J95" i="119"/>
  <c r="J97" i="119" s="1"/>
  <c r="I95" i="119"/>
  <c r="I97" i="119" s="1"/>
  <c r="H95" i="119"/>
  <c r="H97" i="119" s="1"/>
  <c r="G95" i="119"/>
  <c r="F95" i="119"/>
  <c r="F97" i="119" s="1"/>
  <c r="E95" i="119"/>
  <c r="E97" i="119" s="1"/>
  <c r="D94" i="119"/>
  <c r="O92" i="119"/>
  <c r="O94" i="119" s="1"/>
  <c r="N92" i="119"/>
  <c r="N94" i="119" s="1"/>
  <c r="M92" i="119"/>
  <c r="M94" i="119" s="1"/>
  <c r="L92" i="119"/>
  <c r="L94" i="119" s="1"/>
  <c r="K92" i="119"/>
  <c r="K94" i="119" s="1"/>
  <c r="J92" i="119"/>
  <c r="J94" i="119" s="1"/>
  <c r="I92" i="119"/>
  <c r="I94" i="119" s="1"/>
  <c r="H92" i="119"/>
  <c r="H94" i="119" s="1"/>
  <c r="G92" i="119"/>
  <c r="F92" i="119"/>
  <c r="F94" i="119" s="1"/>
  <c r="E92" i="119"/>
  <c r="E94" i="119" s="1"/>
  <c r="D91" i="119"/>
  <c r="O89" i="119"/>
  <c r="O91" i="119" s="1"/>
  <c r="N89" i="119"/>
  <c r="N91" i="119" s="1"/>
  <c r="M89" i="119"/>
  <c r="M91" i="119" s="1"/>
  <c r="L89" i="119"/>
  <c r="L91" i="119" s="1"/>
  <c r="K89" i="119"/>
  <c r="K91" i="119" s="1"/>
  <c r="J89" i="119"/>
  <c r="J91" i="119" s="1"/>
  <c r="I89" i="119"/>
  <c r="I91" i="119" s="1"/>
  <c r="H89" i="119"/>
  <c r="H91" i="119" s="1"/>
  <c r="G89" i="119"/>
  <c r="F89" i="119"/>
  <c r="F91" i="119" s="1"/>
  <c r="E89" i="119"/>
  <c r="E91" i="119" s="1"/>
  <c r="O86" i="119"/>
  <c r="O88" i="119" s="1"/>
  <c r="N86" i="119"/>
  <c r="N88" i="119" s="1"/>
  <c r="N114" i="119" s="1"/>
  <c r="M86" i="119"/>
  <c r="M88" i="119" s="1"/>
  <c r="M114" i="119" s="1"/>
  <c r="L86" i="119"/>
  <c r="L88" i="119" s="1"/>
  <c r="L114" i="119" s="1"/>
  <c r="K86" i="119"/>
  <c r="K88" i="119" s="1"/>
  <c r="K114" i="119" s="1"/>
  <c r="J86" i="119"/>
  <c r="J88" i="119" s="1"/>
  <c r="J114" i="119" s="1"/>
  <c r="I86" i="119"/>
  <c r="I88" i="119" s="1"/>
  <c r="I114" i="119" s="1"/>
  <c r="H86" i="119"/>
  <c r="H88" i="119" s="1"/>
  <c r="H114" i="119" s="1"/>
  <c r="G86" i="119"/>
  <c r="G88" i="119" s="1"/>
  <c r="G114" i="119" s="1"/>
  <c r="F86" i="119"/>
  <c r="F88" i="119" s="1"/>
  <c r="F114" i="119" s="1"/>
  <c r="E86" i="119"/>
  <c r="E88" i="119" s="1"/>
  <c r="E114" i="119" s="1"/>
  <c r="D86" i="119"/>
  <c r="D88" i="119" s="1"/>
  <c r="D114" i="119" s="1"/>
  <c r="O81" i="119"/>
  <c r="N81" i="119"/>
  <c r="M81" i="119"/>
  <c r="L81" i="119"/>
  <c r="K81" i="119"/>
  <c r="J81" i="119"/>
  <c r="I81" i="119"/>
  <c r="H81" i="119"/>
  <c r="G81" i="119"/>
  <c r="F81" i="119"/>
  <c r="E79" i="119"/>
  <c r="E81" i="119" s="1"/>
  <c r="D79" i="119"/>
  <c r="D81" i="119" s="1"/>
  <c r="O77" i="119"/>
  <c r="N77" i="119"/>
  <c r="M77" i="119"/>
  <c r="L77" i="119"/>
  <c r="K77" i="119"/>
  <c r="J77" i="119"/>
  <c r="I77" i="119"/>
  <c r="H77" i="119"/>
  <c r="G77" i="119"/>
  <c r="F77" i="119"/>
  <c r="O75" i="119"/>
  <c r="N75" i="119"/>
  <c r="M75" i="119"/>
  <c r="L75" i="119"/>
  <c r="K75" i="119"/>
  <c r="J75" i="119"/>
  <c r="I75" i="119"/>
  <c r="H75" i="119"/>
  <c r="G75" i="119"/>
  <c r="F75" i="119"/>
  <c r="E75" i="119"/>
  <c r="D75" i="119"/>
  <c r="P73" i="119"/>
  <c r="AC69" i="119"/>
  <c r="G68" i="119"/>
  <c r="T67" i="119"/>
  <c r="E66" i="119"/>
  <c r="D66" i="119"/>
  <c r="D68" i="119" s="1"/>
  <c r="O64" i="119"/>
  <c r="O66" i="119" s="1"/>
  <c r="N64" i="119"/>
  <c r="N66" i="119" s="1"/>
  <c r="M64" i="119"/>
  <c r="M66" i="119" s="1"/>
  <c r="L64" i="119"/>
  <c r="L66" i="119" s="1"/>
  <c r="L68" i="119" s="1"/>
  <c r="K64" i="119"/>
  <c r="K66" i="119" s="1"/>
  <c r="K68" i="119" s="1"/>
  <c r="J64" i="119"/>
  <c r="J66" i="119" s="1"/>
  <c r="I64" i="119"/>
  <c r="I66" i="119" s="1"/>
  <c r="H64" i="119"/>
  <c r="H66" i="119" s="1"/>
  <c r="G64" i="119"/>
  <c r="F64" i="119"/>
  <c r="F66" i="119" s="1"/>
  <c r="G63" i="119"/>
  <c r="E61" i="119"/>
  <c r="E63" i="119" s="1"/>
  <c r="D61" i="119"/>
  <c r="D63" i="119" s="1"/>
  <c r="O59" i="119"/>
  <c r="O61" i="119" s="1"/>
  <c r="O63" i="119" s="1"/>
  <c r="N59" i="119"/>
  <c r="N61" i="119" s="1"/>
  <c r="N63" i="119" s="1"/>
  <c r="M59" i="119"/>
  <c r="M61" i="119" s="1"/>
  <c r="M63" i="119" s="1"/>
  <c r="L59" i="119"/>
  <c r="L61" i="119" s="1"/>
  <c r="L63" i="119" s="1"/>
  <c r="K59" i="119"/>
  <c r="K61" i="119" s="1"/>
  <c r="J59" i="119"/>
  <c r="J61" i="119" s="1"/>
  <c r="J63" i="119" s="1"/>
  <c r="I59" i="119"/>
  <c r="I61" i="119" s="1"/>
  <c r="I63" i="119" s="1"/>
  <c r="H59" i="119"/>
  <c r="H61" i="119" s="1"/>
  <c r="H63" i="119" s="1"/>
  <c r="G59" i="119"/>
  <c r="F59" i="119"/>
  <c r="F61" i="119" s="1"/>
  <c r="F63" i="119" s="1"/>
  <c r="G58" i="119"/>
  <c r="AE56" i="119"/>
  <c r="E56" i="119"/>
  <c r="E58" i="119" s="1"/>
  <c r="D56" i="119"/>
  <c r="D58" i="119" s="1"/>
  <c r="O54" i="119"/>
  <c r="O56" i="119" s="1"/>
  <c r="O58" i="119" s="1"/>
  <c r="N54" i="119"/>
  <c r="N56" i="119" s="1"/>
  <c r="N58" i="119" s="1"/>
  <c r="M54" i="119"/>
  <c r="M56" i="119" s="1"/>
  <c r="M58" i="119" s="1"/>
  <c r="L54" i="119"/>
  <c r="L56" i="119" s="1"/>
  <c r="L58" i="119" s="1"/>
  <c r="K54" i="119"/>
  <c r="K56" i="119" s="1"/>
  <c r="K58" i="119" s="1"/>
  <c r="J54" i="119"/>
  <c r="J56" i="119" s="1"/>
  <c r="J58" i="119" s="1"/>
  <c r="I54" i="119"/>
  <c r="I56" i="119" s="1"/>
  <c r="I58" i="119" s="1"/>
  <c r="H54" i="119"/>
  <c r="H56" i="119" s="1"/>
  <c r="H58" i="119" s="1"/>
  <c r="G54" i="119"/>
  <c r="F54" i="119"/>
  <c r="F56" i="119" s="1"/>
  <c r="F58" i="119" s="1"/>
  <c r="G53" i="119"/>
  <c r="AE51" i="119"/>
  <c r="E51" i="119"/>
  <c r="E53" i="119" s="1"/>
  <c r="D51" i="119"/>
  <c r="D53" i="119" s="1"/>
  <c r="O49" i="119"/>
  <c r="O51" i="119" s="1"/>
  <c r="O53" i="119" s="1"/>
  <c r="N49" i="119"/>
  <c r="N51" i="119" s="1"/>
  <c r="N53" i="119" s="1"/>
  <c r="M49" i="119"/>
  <c r="M51" i="119" s="1"/>
  <c r="M53" i="119" s="1"/>
  <c r="L49" i="119"/>
  <c r="L51" i="119" s="1"/>
  <c r="L53" i="119" s="1"/>
  <c r="K49" i="119"/>
  <c r="K51" i="119" s="1"/>
  <c r="K53" i="119" s="1"/>
  <c r="J49" i="119"/>
  <c r="J51" i="119" s="1"/>
  <c r="J53" i="119" s="1"/>
  <c r="I49" i="119"/>
  <c r="I51" i="119" s="1"/>
  <c r="I53" i="119" s="1"/>
  <c r="H49" i="119"/>
  <c r="H51" i="119" s="1"/>
  <c r="H53" i="119" s="1"/>
  <c r="G49" i="119"/>
  <c r="F49" i="119"/>
  <c r="F51" i="119" s="1"/>
  <c r="F53" i="119" s="1"/>
  <c r="G48" i="119"/>
  <c r="AE46" i="119"/>
  <c r="E46" i="119"/>
  <c r="D46" i="119"/>
  <c r="D48" i="119" s="1"/>
  <c r="O44" i="119"/>
  <c r="O46" i="119" s="1"/>
  <c r="N44" i="119"/>
  <c r="N46" i="119" s="1"/>
  <c r="M44" i="119"/>
  <c r="M46" i="119" s="1"/>
  <c r="M48" i="119" s="1"/>
  <c r="L44" i="119"/>
  <c r="L46" i="119" s="1"/>
  <c r="L48" i="119" s="1"/>
  <c r="K44" i="119"/>
  <c r="K46" i="119" s="1"/>
  <c r="K48" i="119" s="1"/>
  <c r="J44" i="119"/>
  <c r="J46" i="119" s="1"/>
  <c r="I44" i="119"/>
  <c r="I46" i="119" s="1"/>
  <c r="H44" i="119"/>
  <c r="H46" i="119" s="1"/>
  <c r="G44" i="119"/>
  <c r="F44" i="119"/>
  <c r="F46" i="119" s="1"/>
  <c r="G43" i="119"/>
  <c r="O41" i="119"/>
  <c r="O43" i="119" s="1"/>
  <c r="N41" i="119"/>
  <c r="N43" i="119" s="1"/>
  <c r="M41" i="119"/>
  <c r="M43" i="119" s="1"/>
  <c r="L41" i="119"/>
  <c r="L43" i="119" s="1"/>
  <c r="K41" i="119"/>
  <c r="K43" i="119" s="1"/>
  <c r="J41" i="119"/>
  <c r="J43" i="119" s="1"/>
  <c r="I41" i="119"/>
  <c r="I43" i="119" s="1"/>
  <c r="H41" i="119"/>
  <c r="H43" i="119" s="1"/>
  <c r="F41" i="119"/>
  <c r="F43" i="119" s="1"/>
  <c r="E41" i="119"/>
  <c r="E43" i="119" s="1"/>
  <c r="G38" i="119"/>
  <c r="O36" i="119"/>
  <c r="O38" i="119" s="1"/>
  <c r="N36" i="119"/>
  <c r="N38" i="119" s="1"/>
  <c r="M36" i="119"/>
  <c r="M38" i="119" s="1"/>
  <c r="L36" i="119"/>
  <c r="L38" i="119" s="1"/>
  <c r="K36" i="119"/>
  <c r="K38" i="119" s="1"/>
  <c r="J36" i="119"/>
  <c r="J38" i="119" s="1"/>
  <c r="I36" i="119"/>
  <c r="I38" i="119" s="1"/>
  <c r="H36" i="119"/>
  <c r="H38" i="119" s="1"/>
  <c r="F36" i="119"/>
  <c r="F38" i="119" s="1"/>
  <c r="E36" i="119"/>
  <c r="E38" i="119" s="1"/>
  <c r="G33" i="119"/>
  <c r="F31" i="119"/>
  <c r="F33" i="119" s="1"/>
  <c r="E31" i="119"/>
  <c r="E33" i="119" s="1"/>
  <c r="D31" i="119"/>
  <c r="D33" i="119" s="1"/>
  <c r="O29" i="119"/>
  <c r="O31" i="119" s="1"/>
  <c r="O33" i="119" s="1"/>
  <c r="N29" i="119"/>
  <c r="N31" i="119" s="1"/>
  <c r="N33" i="119" s="1"/>
  <c r="M29" i="119"/>
  <c r="M31" i="119" s="1"/>
  <c r="M33" i="119" s="1"/>
  <c r="L29" i="119"/>
  <c r="L31" i="119" s="1"/>
  <c r="L33" i="119" s="1"/>
  <c r="K29" i="119"/>
  <c r="K31" i="119" s="1"/>
  <c r="J29" i="119"/>
  <c r="J31" i="119" s="1"/>
  <c r="J33" i="119" s="1"/>
  <c r="I29" i="119"/>
  <c r="I31" i="119" s="1"/>
  <c r="I33" i="119" s="1"/>
  <c r="H29" i="119"/>
  <c r="H31" i="119" s="1"/>
  <c r="H33" i="119" s="1"/>
  <c r="G29" i="119"/>
  <c r="O26" i="119"/>
  <c r="N26" i="119"/>
  <c r="N28" i="119" s="1"/>
  <c r="M26" i="119"/>
  <c r="M28" i="119" s="1"/>
  <c r="L26" i="119"/>
  <c r="L28" i="119" s="1"/>
  <c r="K26" i="119"/>
  <c r="K28" i="119" s="1"/>
  <c r="J26" i="119"/>
  <c r="I26" i="119"/>
  <c r="H26" i="119"/>
  <c r="G26" i="119"/>
  <c r="G69" i="119" s="1"/>
  <c r="F26" i="119"/>
  <c r="F28" i="119" s="1"/>
  <c r="E26" i="119"/>
  <c r="E28" i="119" s="1"/>
  <c r="D26" i="119"/>
  <c r="D28" i="119" s="1"/>
  <c r="G23" i="119"/>
  <c r="E21" i="119"/>
  <c r="E23" i="119" s="1"/>
  <c r="R23" i="119" s="1"/>
  <c r="D21" i="119"/>
  <c r="D23" i="119" s="1"/>
  <c r="Q23" i="119" s="1"/>
  <c r="O19" i="119"/>
  <c r="O21" i="119" s="1"/>
  <c r="O23" i="119" s="1"/>
  <c r="N19" i="119"/>
  <c r="N21" i="119" s="1"/>
  <c r="N23" i="119" s="1"/>
  <c r="M19" i="119"/>
  <c r="M21" i="119" s="1"/>
  <c r="M23" i="119" s="1"/>
  <c r="L19" i="119"/>
  <c r="L21" i="119" s="1"/>
  <c r="L23" i="119" s="1"/>
  <c r="K19" i="119"/>
  <c r="K21" i="119" s="1"/>
  <c r="K23" i="119" s="1"/>
  <c r="J19" i="119"/>
  <c r="J21" i="119" s="1"/>
  <c r="J23" i="119" s="1"/>
  <c r="I19" i="119"/>
  <c r="I21" i="119" s="1"/>
  <c r="I23" i="119" s="1"/>
  <c r="H19" i="119"/>
  <c r="H21" i="119" s="1"/>
  <c r="H23" i="119" s="1"/>
  <c r="G19" i="119"/>
  <c r="F19" i="119"/>
  <c r="F21" i="119" s="1"/>
  <c r="F23" i="119" s="1"/>
  <c r="S23" i="119" s="1"/>
  <c r="G17" i="119"/>
  <c r="F15" i="119"/>
  <c r="F17" i="119" s="1"/>
  <c r="E15" i="119"/>
  <c r="E17" i="119" s="1"/>
  <c r="D15" i="119"/>
  <c r="O13" i="119"/>
  <c r="O15" i="119" s="1"/>
  <c r="N13" i="119"/>
  <c r="N15" i="119" s="1"/>
  <c r="M13" i="119"/>
  <c r="M15" i="119" s="1"/>
  <c r="M17" i="119" s="1"/>
  <c r="L13" i="119"/>
  <c r="L15" i="119" s="1"/>
  <c r="K13" i="119"/>
  <c r="K15" i="119" s="1"/>
  <c r="J13" i="119"/>
  <c r="J15" i="119" s="1"/>
  <c r="I13" i="119"/>
  <c r="I15" i="119" s="1"/>
  <c r="H13" i="119"/>
  <c r="H15" i="119" s="1"/>
  <c r="G13" i="119"/>
  <c r="G12" i="119"/>
  <c r="F10" i="119"/>
  <c r="F12" i="119" s="1"/>
  <c r="E10" i="119"/>
  <c r="E12" i="119" s="1"/>
  <c r="D10" i="119"/>
  <c r="D12" i="119" s="1"/>
  <c r="O8" i="119"/>
  <c r="O10" i="119" s="1"/>
  <c r="O12" i="119" s="1"/>
  <c r="N8" i="119"/>
  <c r="N10" i="119" s="1"/>
  <c r="N12" i="119" s="1"/>
  <c r="M8" i="119"/>
  <c r="M10" i="119" s="1"/>
  <c r="M12" i="119" s="1"/>
  <c r="L8" i="119"/>
  <c r="L10" i="119" s="1"/>
  <c r="L12" i="119" s="1"/>
  <c r="K8" i="119"/>
  <c r="K10" i="119" s="1"/>
  <c r="K12" i="119" s="1"/>
  <c r="J8" i="119"/>
  <c r="J10" i="119" s="1"/>
  <c r="J12" i="119" s="1"/>
  <c r="I8" i="119"/>
  <c r="I10" i="119" s="1"/>
  <c r="I12" i="119" s="1"/>
  <c r="H8" i="119"/>
  <c r="H10" i="119" s="1"/>
  <c r="H12" i="119" s="1"/>
  <c r="G8" i="119"/>
  <c r="O7" i="119"/>
  <c r="L7" i="119"/>
  <c r="N5" i="119"/>
  <c r="N7" i="119" s="1"/>
  <c r="N109" i="119" s="1"/>
  <c r="M5" i="119"/>
  <c r="M7" i="119" s="1"/>
  <c r="K5" i="119"/>
  <c r="K7" i="119" s="1"/>
  <c r="J5" i="119"/>
  <c r="J7" i="119" s="1"/>
  <c r="I5" i="119"/>
  <c r="I7" i="119" s="1"/>
  <c r="H5" i="119"/>
  <c r="H7" i="119" s="1"/>
  <c r="G5" i="119"/>
  <c r="G7" i="119" s="1"/>
  <c r="F5" i="119"/>
  <c r="F7" i="119" s="1"/>
  <c r="E5" i="119"/>
  <c r="E7" i="119" s="1"/>
  <c r="D5" i="119"/>
  <c r="D7" i="119" s="1"/>
  <c r="F6" i="117"/>
  <c r="H6" i="117"/>
  <c r="K120" i="117"/>
  <c r="K57" i="117"/>
  <c r="D56" i="117"/>
  <c r="I109" i="119" l="1"/>
  <c r="H109" i="119"/>
  <c r="G109" i="119"/>
  <c r="D18" i="119"/>
  <c r="Y43" i="119"/>
  <c r="J109" i="119"/>
  <c r="P79" i="119"/>
  <c r="W42" i="119"/>
  <c r="T68" i="119"/>
  <c r="D109" i="119"/>
  <c r="M109" i="119"/>
  <c r="E69" i="119"/>
  <c r="E109" i="119"/>
  <c r="R67" i="119"/>
  <c r="AG62" i="119"/>
  <c r="F109" i="119"/>
  <c r="P5" i="119"/>
  <c r="Z43" i="119"/>
  <c r="S42" i="119"/>
  <c r="AA42" i="119"/>
  <c r="E48" i="119"/>
  <c r="V67" i="119"/>
  <c r="I48" i="119"/>
  <c r="R43" i="119"/>
  <c r="N17" i="119"/>
  <c r="N18" i="119"/>
  <c r="X42" i="119"/>
  <c r="K33" i="119"/>
  <c r="X43" i="119" s="1"/>
  <c r="Y68" i="119"/>
  <c r="L113" i="119"/>
  <c r="L115" i="119" s="1"/>
  <c r="L109" i="119"/>
  <c r="O17" i="119"/>
  <c r="O18" i="119"/>
  <c r="AC23" i="119"/>
  <c r="AB42" i="119"/>
  <c r="Q43" i="119"/>
  <c r="J48" i="119"/>
  <c r="W67" i="119"/>
  <c r="K109" i="119"/>
  <c r="M69" i="119"/>
  <c r="H18" i="119"/>
  <c r="H17" i="119"/>
  <c r="U42" i="119"/>
  <c r="S43" i="119"/>
  <c r="F69" i="119"/>
  <c r="F68" i="119"/>
  <c r="N69" i="119"/>
  <c r="N68" i="119"/>
  <c r="K18" i="119"/>
  <c r="K17" i="119"/>
  <c r="L17" i="119"/>
  <c r="L110" i="119" s="1"/>
  <c r="L18" i="119"/>
  <c r="I18" i="119"/>
  <c r="I17" i="119"/>
  <c r="V42" i="119"/>
  <c r="AA43" i="119"/>
  <c r="F48" i="119"/>
  <c r="S67" i="119"/>
  <c r="N48" i="119"/>
  <c r="AA67" i="119"/>
  <c r="O69" i="119"/>
  <c r="O68" i="119"/>
  <c r="J18" i="119"/>
  <c r="J17" i="119"/>
  <c r="O48" i="119"/>
  <c r="AB67" i="119"/>
  <c r="H69" i="119"/>
  <c r="H68" i="119"/>
  <c r="U67" i="119"/>
  <c r="H48" i="119"/>
  <c r="Q68" i="119"/>
  <c r="D113" i="119"/>
  <c r="D115" i="119" s="1"/>
  <c r="I69" i="119"/>
  <c r="I68" i="119"/>
  <c r="P91" i="119"/>
  <c r="P94" i="119"/>
  <c r="P97" i="119"/>
  <c r="K69" i="119"/>
  <c r="K63" i="119"/>
  <c r="X68" i="119" s="1"/>
  <c r="J69" i="119"/>
  <c r="J68" i="119"/>
  <c r="L69" i="119"/>
  <c r="E18" i="119"/>
  <c r="M18" i="119"/>
  <c r="P21" i="119"/>
  <c r="G28" i="119"/>
  <c r="O28" i="119"/>
  <c r="AB43" i="119" s="1"/>
  <c r="Q42" i="119"/>
  <c r="Y42" i="119"/>
  <c r="E68" i="119"/>
  <c r="R68" i="119" s="1"/>
  <c r="M68" i="119"/>
  <c r="Z68" i="119" s="1"/>
  <c r="D69" i="119"/>
  <c r="P10" i="119"/>
  <c r="F18" i="119"/>
  <c r="H28" i="119"/>
  <c r="U43" i="119" s="1"/>
  <c r="R42" i="119"/>
  <c r="Z42" i="119"/>
  <c r="X67" i="119"/>
  <c r="P15" i="119"/>
  <c r="G18" i="119"/>
  <c r="I28" i="119"/>
  <c r="V43" i="119" s="1"/>
  <c r="Q67" i="119"/>
  <c r="Y67" i="119"/>
  <c r="G113" i="119"/>
  <c r="G115" i="119" s="1"/>
  <c r="D17" i="119"/>
  <c r="D110" i="119" s="1"/>
  <c r="J28" i="119"/>
  <c r="W43" i="119" s="1"/>
  <c r="T42" i="119"/>
  <c r="Z67" i="119"/>
  <c r="P86" i="119"/>
  <c r="L111" i="119" l="1"/>
  <c r="F110" i="119"/>
  <c r="F111" i="119" s="1"/>
  <c r="M113" i="119"/>
  <c r="M115" i="119" s="1"/>
  <c r="H110" i="119"/>
  <c r="H111" i="119" s="1"/>
  <c r="E110" i="119"/>
  <c r="E111" i="119" s="1"/>
  <c r="I110" i="119"/>
  <c r="I111" i="119" s="1"/>
  <c r="O110" i="119"/>
  <c r="O114" i="119" s="1"/>
  <c r="AB68" i="119"/>
  <c r="J110" i="119"/>
  <c r="J111" i="119" s="1"/>
  <c r="K110" i="119"/>
  <c r="K111" i="119" s="1"/>
  <c r="M110" i="119"/>
  <c r="M111" i="119" s="1"/>
  <c r="K113" i="119"/>
  <c r="K115" i="119" s="1"/>
  <c r="H113" i="119"/>
  <c r="H115" i="119" s="1"/>
  <c r="U68" i="119"/>
  <c r="J113" i="119"/>
  <c r="J115" i="119" s="1"/>
  <c r="W68" i="119"/>
  <c r="AC67" i="119"/>
  <c r="D111" i="119"/>
  <c r="S68" i="119"/>
  <c r="F113" i="119"/>
  <c r="F115" i="119" s="1"/>
  <c r="O109" i="119"/>
  <c r="E113" i="119"/>
  <c r="E115" i="119" s="1"/>
  <c r="AC42" i="119"/>
  <c r="AA68" i="119"/>
  <c r="N113" i="119"/>
  <c r="N115" i="119" s="1"/>
  <c r="N110" i="119"/>
  <c r="N111" i="119" s="1"/>
  <c r="AC8" i="119"/>
  <c r="G110" i="119"/>
  <c r="G111" i="119" s="1"/>
  <c r="T43" i="119"/>
  <c r="AC43" i="119" s="1"/>
  <c r="I113" i="119"/>
  <c r="I115" i="119" s="1"/>
  <c r="V68" i="119"/>
  <c r="AC68" i="119" l="1"/>
  <c r="P110" i="119"/>
  <c r="O113" i="119"/>
  <c r="O115" i="119" s="1"/>
  <c r="P109" i="119"/>
  <c r="Q109" i="119" s="1"/>
  <c r="P114" i="119"/>
  <c r="O111" i="119"/>
  <c r="P113" i="119" l="1"/>
  <c r="Q113" i="119" s="1"/>
  <c r="P111" i="119"/>
  <c r="Q110" i="119"/>
  <c r="P115" i="119" l="1"/>
  <c r="L139" i="117"/>
  <c r="E139" i="117"/>
  <c r="D139" i="117"/>
  <c r="L137" i="117"/>
  <c r="E137" i="117"/>
  <c r="C137" i="117" s="1"/>
  <c r="P136" i="117"/>
  <c r="O136" i="117"/>
  <c r="N136" i="117"/>
  <c r="M136" i="117"/>
  <c r="K136" i="117"/>
  <c r="J136" i="117"/>
  <c r="I136" i="117"/>
  <c r="H136" i="117"/>
  <c r="G136" i="117"/>
  <c r="F136" i="117"/>
  <c r="D136" i="117"/>
  <c r="P135" i="117"/>
  <c r="N135" i="117"/>
  <c r="M135" i="117"/>
  <c r="J135" i="117"/>
  <c r="I135" i="117"/>
  <c r="H135" i="117"/>
  <c r="G135" i="117"/>
  <c r="F135" i="117"/>
  <c r="P134" i="117"/>
  <c r="O134" i="117"/>
  <c r="M134" i="117"/>
  <c r="I134" i="117"/>
  <c r="G134" i="117"/>
  <c r="F134" i="117"/>
  <c r="D134" i="117"/>
  <c r="P133" i="117"/>
  <c r="O133" i="117"/>
  <c r="N133" i="117"/>
  <c r="M133" i="117"/>
  <c r="K133" i="117"/>
  <c r="J133" i="117"/>
  <c r="I133" i="117"/>
  <c r="H133" i="117"/>
  <c r="G133" i="117"/>
  <c r="F133" i="117"/>
  <c r="D133" i="117"/>
  <c r="M132" i="117"/>
  <c r="L132" i="117"/>
  <c r="E132" i="117"/>
  <c r="P131" i="117"/>
  <c r="O131" i="117"/>
  <c r="N131" i="117"/>
  <c r="M131" i="117"/>
  <c r="K131" i="117"/>
  <c r="J131" i="117"/>
  <c r="I131" i="117"/>
  <c r="H131" i="117"/>
  <c r="G131" i="117"/>
  <c r="F131" i="117"/>
  <c r="D131" i="117"/>
  <c r="P130" i="117"/>
  <c r="O130" i="117"/>
  <c r="N130" i="117"/>
  <c r="M130" i="117"/>
  <c r="K130" i="117"/>
  <c r="J130" i="117"/>
  <c r="I130" i="117"/>
  <c r="H130" i="117"/>
  <c r="G130" i="117"/>
  <c r="F130" i="117"/>
  <c r="P129" i="117"/>
  <c r="O129" i="117"/>
  <c r="N129" i="117"/>
  <c r="L129" i="117" s="1"/>
  <c r="M129" i="117"/>
  <c r="K129" i="117"/>
  <c r="J129" i="117"/>
  <c r="I129" i="117"/>
  <c r="H129" i="117"/>
  <c r="G129" i="117"/>
  <c r="F129" i="117"/>
  <c r="M128" i="117"/>
  <c r="L128" i="117"/>
  <c r="K128" i="117"/>
  <c r="J128" i="117"/>
  <c r="I128" i="117"/>
  <c r="H128" i="117"/>
  <c r="H124" i="117" s="1"/>
  <c r="G128" i="117"/>
  <c r="G124" i="117" s="1"/>
  <c r="F128" i="117"/>
  <c r="F124" i="117" s="1"/>
  <c r="D128" i="117"/>
  <c r="M127" i="117"/>
  <c r="L127" i="117"/>
  <c r="E127" i="117"/>
  <c r="D127" i="117"/>
  <c r="M126" i="117"/>
  <c r="L126" i="117"/>
  <c r="E126" i="117"/>
  <c r="O125" i="117"/>
  <c r="L125" i="117" s="1"/>
  <c r="M125" i="117"/>
  <c r="E125" i="117"/>
  <c r="D125" i="117"/>
  <c r="P124" i="117"/>
  <c r="N124" i="117"/>
  <c r="J124" i="117"/>
  <c r="I124" i="117"/>
  <c r="P123" i="117"/>
  <c r="O123" i="117"/>
  <c r="N123" i="117"/>
  <c r="M123" i="117"/>
  <c r="J123" i="117"/>
  <c r="I123" i="117"/>
  <c r="H123" i="117"/>
  <c r="G123" i="117"/>
  <c r="F123" i="117"/>
  <c r="D123" i="117"/>
  <c r="P122" i="117"/>
  <c r="O122" i="117"/>
  <c r="N122" i="117"/>
  <c r="M122" i="117"/>
  <c r="K122" i="117"/>
  <c r="J122" i="117"/>
  <c r="I122" i="117"/>
  <c r="H122" i="117"/>
  <c r="G122" i="117"/>
  <c r="F122" i="117"/>
  <c r="D122" i="117"/>
  <c r="P121" i="117"/>
  <c r="N121" i="117"/>
  <c r="M121" i="117"/>
  <c r="K121" i="117"/>
  <c r="J121" i="117"/>
  <c r="I121" i="117"/>
  <c r="H121" i="117"/>
  <c r="G121" i="117"/>
  <c r="F121" i="117"/>
  <c r="D121" i="117"/>
  <c r="P120" i="117"/>
  <c r="N120" i="117"/>
  <c r="L120" i="117" s="1"/>
  <c r="M120" i="117"/>
  <c r="E120" i="117"/>
  <c r="P119" i="117"/>
  <c r="O119" i="117"/>
  <c r="N119" i="117"/>
  <c r="M119" i="117"/>
  <c r="K119" i="117"/>
  <c r="J119" i="117"/>
  <c r="I119" i="117"/>
  <c r="H119" i="117"/>
  <c r="G119" i="117"/>
  <c r="F119" i="117"/>
  <c r="P118" i="117"/>
  <c r="O118" i="117"/>
  <c r="N118" i="117"/>
  <c r="M118" i="117"/>
  <c r="K118" i="117"/>
  <c r="J118" i="117"/>
  <c r="I118" i="117"/>
  <c r="H118" i="117"/>
  <c r="G118" i="117"/>
  <c r="F118" i="117"/>
  <c r="D118" i="117"/>
  <c r="P117" i="117"/>
  <c r="O117" i="117"/>
  <c r="N117" i="117"/>
  <c r="M117" i="117"/>
  <c r="E117" i="117"/>
  <c r="D117" i="117"/>
  <c r="P116" i="117"/>
  <c r="O116" i="117"/>
  <c r="N116" i="117"/>
  <c r="L116" i="117" s="1"/>
  <c r="M116" i="117"/>
  <c r="K116" i="117"/>
  <c r="J116" i="117"/>
  <c r="I116" i="117"/>
  <c r="H116" i="117"/>
  <c r="G116" i="117"/>
  <c r="F116" i="117"/>
  <c r="D116" i="117"/>
  <c r="P115" i="117"/>
  <c r="O115" i="117"/>
  <c r="N115" i="117"/>
  <c r="M115" i="117"/>
  <c r="E115" i="117"/>
  <c r="D115" i="117"/>
  <c r="P114" i="117"/>
  <c r="O114" i="117"/>
  <c r="N114" i="117"/>
  <c r="M114" i="117"/>
  <c r="J114" i="117"/>
  <c r="I114" i="117"/>
  <c r="H114" i="117"/>
  <c r="G114" i="117"/>
  <c r="F114" i="117"/>
  <c r="D114" i="117"/>
  <c r="P113" i="117"/>
  <c r="N113" i="117"/>
  <c r="M113" i="117"/>
  <c r="J113" i="117"/>
  <c r="I113" i="117"/>
  <c r="G113" i="117"/>
  <c r="F113" i="117"/>
  <c r="D113" i="117"/>
  <c r="P112" i="117"/>
  <c r="O112" i="117"/>
  <c r="N112" i="117"/>
  <c r="M112" i="117"/>
  <c r="J112" i="117"/>
  <c r="G112" i="117"/>
  <c r="F112" i="117"/>
  <c r="D112" i="117"/>
  <c r="P111" i="117"/>
  <c r="O111" i="117"/>
  <c r="N111" i="117"/>
  <c r="M111" i="117"/>
  <c r="K111" i="117"/>
  <c r="J111" i="117"/>
  <c r="I111" i="117"/>
  <c r="H111" i="117"/>
  <c r="G111" i="117"/>
  <c r="F111" i="117"/>
  <c r="D111" i="117"/>
  <c r="P110" i="117"/>
  <c r="O110" i="117"/>
  <c r="N110" i="117"/>
  <c r="M110" i="117"/>
  <c r="K110" i="117"/>
  <c r="J110" i="117"/>
  <c r="H110" i="117"/>
  <c r="G110" i="117"/>
  <c r="F110" i="117"/>
  <c r="D110" i="117"/>
  <c r="P109" i="117"/>
  <c r="O109" i="117"/>
  <c r="M109" i="117"/>
  <c r="E109" i="117"/>
  <c r="D109" i="117"/>
  <c r="P108" i="117"/>
  <c r="L108" i="117" s="1"/>
  <c r="M108" i="117"/>
  <c r="J108" i="117"/>
  <c r="I108" i="117"/>
  <c r="H108" i="117"/>
  <c r="G108" i="117"/>
  <c r="F108" i="117"/>
  <c r="D108" i="117"/>
  <c r="P107" i="117"/>
  <c r="O107" i="117"/>
  <c r="N107" i="117"/>
  <c r="M107" i="117"/>
  <c r="K107" i="117"/>
  <c r="J107" i="117"/>
  <c r="H107" i="117"/>
  <c r="G107" i="117"/>
  <c r="F107" i="117"/>
  <c r="D107" i="117"/>
  <c r="L105" i="117"/>
  <c r="E105" i="117"/>
  <c r="L104" i="117"/>
  <c r="E104" i="117"/>
  <c r="L103" i="117"/>
  <c r="E103" i="117"/>
  <c r="L102" i="117"/>
  <c r="E102" i="117"/>
  <c r="L101" i="117"/>
  <c r="E101" i="117"/>
  <c r="L100" i="117"/>
  <c r="E100" i="117"/>
  <c r="L99" i="117"/>
  <c r="E99" i="117"/>
  <c r="L98" i="117"/>
  <c r="E98" i="117"/>
  <c r="L97" i="117"/>
  <c r="E97" i="117"/>
  <c r="L96" i="117"/>
  <c r="E96" i="117"/>
  <c r="L95" i="117"/>
  <c r="E95" i="117"/>
  <c r="L94" i="117"/>
  <c r="E94" i="117"/>
  <c r="L93" i="117"/>
  <c r="E93" i="117"/>
  <c r="L92" i="117"/>
  <c r="E92" i="117"/>
  <c r="L91" i="117"/>
  <c r="E91" i="117"/>
  <c r="L90" i="117"/>
  <c r="E90" i="117"/>
  <c r="L89" i="117"/>
  <c r="E89" i="117"/>
  <c r="L88" i="117"/>
  <c r="E88" i="117"/>
  <c r="L87" i="117"/>
  <c r="E87" i="117"/>
  <c r="L86" i="117"/>
  <c r="E86" i="117"/>
  <c r="L85" i="117"/>
  <c r="E85" i="117"/>
  <c r="L84" i="117"/>
  <c r="E84" i="117"/>
  <c r="L83" i="117"/>
  <c r="E83" i="117"/>
  <c r="L82" i="117"/>
  <c r="E82" i="117"/>
  <c r="C82" i="117" s="1"/>
  <c r="L81" i="117"/>
  <c r="E81" i="117"/>
  <c r="L80" i="117"/>
  <c r="E80" i="117"/>
  <c r="L79" i="117"/>
  <c r="E79" i="117"/>
  <c r="C79" i="117" s="1"/>
  <c r="L78" i="117"/>
  <c r="E78" i="117"/>
  <c r="C78" i="117" s="1"/>
  <c r="L77" i="117"/>
  <c r="E77" i="117"/>
  <c r="L76" i="117"/>
  <c r="E76" i="117"/>
  <c r="L75" i="117"/>
  <c r="E75" i="117"/>
  <c r="L74" i="117"/>
  <c r="E74" i="117"/>
  <c r="L73" i="117"/>
  <c r="E73" i="117"/>
  <c r="L72" i="117"/>
  <c r="E72" i="117"/>
  <c r="L71" i="117"/>
  <c r="E71" i="117"/>
  <c r="P70" i="117"/>
  <c r="O70" i="117"/>
  <c r="N70" i="117"/>
  <c r="M70" i="117"/>
  <c r="K70" i="117"/>
  <c r="J70" i="117"/>
  <c r="I70" i="117"/>
  <c r="H70" i="117"/>
  <c r="G70" i="117"/>
  <c r="F70" i="117"/>
  <c r="D70" i="117"/>
  <c r="L69" i="117"/>
  <c r="E69" i="117"/>
  <c r="L68" i="117"/>
  <c r="E68" i="117"/>
  <c r="L67" i="117"/>
  <c r="E67" i="117"/>
  <c r="L66" i="117"/>
  <c r="E66" i="117"/>
  <c r="L65" i="117"/>
  <c r="E65" i="117"/>
  <c r="L64" i="117"/>
  <c r="E64" i="117"/>
  <c r="L63" i="117"/>
  <c r="E63" i="117"/>
  <c r="L62" i="117"/>
  <c r="C62" i="117" s="1"/>
  <c r="E62" i="117"/>
  <c r="L61" i="117"/>
  <c r="E61" i="117"/>
  <c r="L60" i="117"/>
  <c r="E60" i="117"/>
  <c r="P59" i="117"/>
  <c r="O59" i="117"/>
  <c r="N59" i="117"/>
  <c r="M59" i="117"/>
  <c r="K59" i="117"/>
  <c r="J59" i="117"/>
  <c r="I59" i="117"/>
  <c r="H59" i="117"/>
  <c r="G59" i="117"/>
  <c r="F59" i="117"/>
  <c r="D59" i="117"/>
  <c r="L57" i="117"/>
  <c r="E57" i="117"/>
  <c r="N56" i="117"/>
  <c r="M58" i="117"/>
  <c r="K56" i="117"/>
  <c r="K58" i="117" s="1"/>
  <c r="L53" i="117"/>
  <c r="E53" i="117"/>
  <c r="P52" i="117"/>
  <c r="O52" i="117"/>
  <c r="N52" i="117"/>
  <c r="G52" i="117"/>
  <c r="F52" i="117"/>
  <c r="F58" i="117" s="1"/>
  <c r="D52" i="117"/>
  <c r="D58" i="117" s="1"/>
  <c r="L51" i="117"/>
  <c r="E51" i="117"/>
  <c r="P50" i="117"/>
  <c r="L50" i="117" s="1"/>
  <c r="J50" i="117"/>
  <c r="I50" i="117"/>
  <c r="H50" i="117"/>
  <c r="G50" i="117"/>
  <c r="L49" i="117"/>
  <c r="L46" i="117"/>
  <c r="E46" i="117"/>
  <c r="L45" i="117"/>
  <c r="E45" i="117"/>
  <c r="L44" i="117"/>
  <c r="E44" i="117"/>
  <c r="E43" i="117"/>
  <c r="C43" i="117" s="1"/>
  <c r="E42" i="117"/>
  <c r="C42" i="117" s="1"/>
  <c r="E41" i="117"/>
  <c r="C41" i="117" s="1"/>
  <c r="E40" i="117"/>
  <c r="C40" i="117" s="1"/>
  <c r="L39" i="117"/>
  <c r="E39" i="117"/>
  <c r="P38" i="117"/>
  <c r="O38" i="117"/>
  <c r="N38" i="117"/>
  <c r="M38" i="117"/>
  <c r="K38" i="117"/>
  <c r="J38" i="117"/>
  <c r="I38" i="117"/>
  <c r="G38" i="117"/>
  <c r="F38" i="117"/>
  <c r="D38" i="117"/>
  <c r="L37" i="117"/>
  <c r="E37" i="117"/>
  <c r="L36" i="117"/>
  <c r="E36" i="117"/>
  <c r="E35" i="117"/>
  <c r="N34" i="117"/>
  <c r="L34" i="117" s="1"/>
  <c r="E34" i="117"/>
  <c r="L33" i="117"/>
  <c r="E33" i="117"/>
  <c r="L32" i="117"/>
  <c r="E32" i="117"/>
  <c r="P31" i="117"/>
  <c r="M31" i="117"/>
  <c r="K31" i="117"/>
  <c r="J31" i="117"/>
  <c r="I31" i="117"/>
  <c r="H31" i="117"/>
  <c r="G31" i="117"/>
  <c r="F31" i="117"/>
  <c r="D31" i="117"/>
  <c r="L30" i="117"/>
  <c r="E30" i="117"/>
  <c r="P29" i="117"/>
  <c r="O29" i="117"/>
  <c r="N29" i="117"/>
  <c r="M29" i="117"/>
  <c r="K29" i="117"/>
  <c r="J29" i="117"/>
  <c r="I29" i="117"/>
  <c r="G29" i="117"/>
  <c r="F29" i="117"/>
  <c r="D29" i="117"/>
  <c r="L28" i="117"/>
  <c r="L27" i="117"/>
  <c r="E27" i="117"/>
  <c r="L26" i="117"/>
  <c r="L25" i="117"/>
  <c r="L24" i="117"/>
  <c r="L23" i="117"/>
  <c r="L22" i="117"/>
  <c r="L21" i="117"/>
  <c r="L20" i="117"/>
  <c r="L19" i="117"/>
  <c r="L18" i="117"/>
  <c r="L17" i="117"/>
  <c r="L16" i="117"/>
  <c r="P15" i="117"/>
  <c r="O15" i="117"/>
  <c r="N15" i="117"/>
  <c r="M15" i="117"/>
  <c r="J15" i="117"/>
  <c r="D15" i="117"/>
  <c r="L14" i="117"/>
  <c r="E14" i="117"/>
  <c r="L13" i="117"/>
  <c r="E13" i="117"/>
  <c r="L12" i="117"/>
  <c r="E12" i="117"/>
  <c r="L11" i="117"/>
  <c r="E11" i="117"/>
  <c r="L10" i="117"/>
  <c r="E10" i="117"/>
  <c r="L9" i="117"/>
  <c r="E9" i="117"/>
  <c r="L8" i="117"/>
  <c r="E8" i="117"/>
  <c r="P7" i="117"/>
  <c r="P5" i="117" s="1"/>
  <c r="O7" i="117"/>
  <c r="N7" i="117"/>
  <c r="M7" i="117"/>
  <c r="K7" i="117"/>
  <c r="J7" i="117"/>
  <c r="I7" i="117"/>
  <c r="H7" i="117"/>
  <c r="G7" i="117"/>
  <c r="F7" i="117"/>
  <c r="D7" i="117"/>
  <c r="D5" i="117" s="1"/>
  <c r="L6" i="117"/>
  <c r="J6" i="117"/>
  <c r="C65" i="117" l="1"/>
  <c r="L134" i="117"/>
  <c r="C37" i="117"/>
  <c r="E52" i="117"/>
  <c r="N5" i="117"/>
  <c r="C51" i="117"/>
  <c r="C63" i="117"/>
  <c r="K106" i="117"/>
  <c r="L110" i="117"/>
  <c r="C86" i="117"/>
  <c r="D47" i="117"/>
  <c r="L107" i="117"/>
  <c r="C36" i="117"/>
  <c r="C99" i="117"/>
  <c r="E50" i="117"/>
  <c r="C50" i="117" s="1"/>
  <c r="C34" i="117"/>
  <c r="C14" i="117"/>
  <c r="C102" i="117"/>
  <c r="C39" i="117"/>
  <c r="C45" i="117"/>
  <c r="C77" i="117"/>
  <c r="C93" i="117"/>
  <c r="L109" i="117"/>
  <c r="C109" i="117" s="1"/>
  <c r="E112" i="117"/>
  <c r="E113" i="117"/>
  <c r="L135" i="117"/>
  <c r="C33" i="117"/>
  <c r="L122" i="117"/>
  <c r="J5" i="117"/>
  <c r="C91" i="117"/>
  <c r="E114" i="117"/>
  <c r="D124" i="117"/>
  <c r="L7" i="117"/>
  <c r="C103" i="117"/>
  <c r="C72" i="117"/>
  <c r="C76" i="117"/>
  <c r="C100" i="117"/>
  <c r="C104" i="117"/>
  <c r="L114" i="117"/>
  <c r="C61" i="117"/>
  <c r="E108" i="117"/>
  <c r="L113" i="117"/>
  <c r="E134" i="117"/>
  <c r="O5" i="117"/>
  <c r="L52" i="117"/>
  <c r="C69" i="117"/>
  <c r="E110" i="117"/>
  <c r="L117" i="117"/>
  <c r="C117" i="117" s="1"/>
  <c r="E29" i="117"/>
  <c r="I106" i="117"/>
  <c r="I138" i="117" s="1"/>
  <c r="E130" i="117"/>
  <c r="E133" i="117"/>
  <c r="L133" i="117"/>
  <c r="C53" i="117"/>
  <c r="E128" i="117"/>
  <c r="E124" i="117" s="1"/>
  <c r="E59" i="117"/>
  <c r="D106" i="117"/>
  <c r="E118" i="117"/>
  <c r="M124" i="117"/>
  <c r="L136" i="117"/>
  <c r="C8" i="117"/>
  <c r="C12" i="117"/>
  <c r="C27" i="117"/>
  <c r="C44" i="117"/>
  <c r="C68" i="117"/>
  <c r="E107" i="117"/>
  <c r="C107" i="117" s="1"/>
  <c r="E6" i="117"/>
  <c r="C6" i="117" s="1"/>
  <c r="L15" i="117"/>
  <c r="L29" i="117"/>
  <c r="G56" i="117"/>
  <c r="G58" i="117" s="1"/>
  <c r="L115" i="117"/>
  <c r="C115" i="117" s="1"/>
  <c r="L119" i="117"/>
  <c r="H106" i="117"/>
  <c r="H138" i="117" s="1"/>
  <c r="L130" i="117"/>
  <c r="C130" i="117" s="1"/>
  <c r="E135" i="117"/>
  <c r="C9" i="117"/>
  <c r="C13" i="117"/>
  <c r="L38" i="117"/>
  <c r="L59" i="117"/>
  <c r="C92" i="117"/>
  <c r="E119" i="117"/>
  <c r="E121" i="117"/>
  <c r="E129" i="117"/>
  <c r="C129" i="117" s="1"/>
  <c r="G106" i="117"/>
  <c r="L131" i="117"/>
  <c r="C52" i="117"/>
  <c r="C10" i="117"/>
  <c r="C30" i="117"/>
  <c r="C29" i="117" s="1"/>
  <c r="C46" i="117"/>
  <c r="C81" i="117"/>
  <c r="E116" i="117"/>
  <c r="L123" i="117"/>
  <c r="E131" i="117"/>
  <c r="E7" i="117"/>
  <c r="C90" i="117"/>
  <c r="J106" i="117"/>
  <c r="J138" i="117" s="1"/>
  <c r="M106" i="117"/>
  <c r="M138" i="117" s="1"/>
  <c r="M140" i="117" s="1"/>
  <c r="M142" i="117" s="1"/>
  <c r="K124" i="117"/>
  <c r="E136" i="117"/>
  <c r="E38" i="117"/>
  <c r="C64" i="117"/>
  <c r="C94" i="117"/>
  <c r="C98" i="117"/>
  <c r="C101" i="117"/>
  <c r="L111" i="117"/>
  <c r="E123" i="117"/>
  <c r="E31" i="117"/>
  <c r="E111" i="117"/>
  <c r="O106" i="117"/>
  <c r="L112" i="117"/>
  <c r="L118" i="117"/>
  <c r="C118" i="117" s="1"/>
  <c r="L121" i="117"/>
  <c r="C121" i="117" s="1"/>
  <c r="E122" i="117"/>
  <c r="C122" i="117" s="1"/>
  <c r="O124" i="117"/>
  <c r="C11" i="117"/>
  <c r="N58" i="117"/>
  <c r="C67" i="117"/>
  <c r="C85" i="117"/>
  <c r="C89" i="117"/>
  <c r="C95" i="117"/>
  <c r="J47" i="117"/>
  <c r="C74" i="117"/>
  <c r="F106" i="117"/>
  <c r="M5" i="117"/>
  <c r="M47" i="117" s="1"/>
  <c r="C75" i="117"/>
  <c r="P106" i="117"/>
  <c r="P138" i="117" s="1"/>
  <c r="H56" i="117"/>
  <c r="C87" i="117"/>
  <c r="N106" i="117"/>
  <c r="N138" i="117" s="1"/>
  <c r="C139" i="117"/>
  <c r="P47" i="117"/>
  <c r="C32" i="117"/>
  <c r="J56" i="117"/>
  <c r="J58" i="117" s="1"/>
  <c r="C66" i="117"/>
  <c r="C80" i="117"/>
  <c r="C88" i="117"/>
  <c r="C134" i="117"/>
  <c r="C132" i="117"/>
  <c r="C127" i="117"/>
  <c r="C126" i="117"/>
  <c r="C125" i="117"/>
  <c r="C105" i="117"/>
  <c r="C97" i="117"/>
  <c r="C120" i="117"/>
  <c r="C96" i="117"/>
  <c r="C84" i="117"/>
  <c r="L70" i="117"/>
  <c r="C83" i="117"/>
  <c r="E70" i="117"/>
  <c r="C73" i="117"/>
  <c r="G138" i="117"/>
  <c r="C108" i="117"/>
  <c r="C71" i="117"/>
  <c r="C60" i="117"/>
  <c r="F138" i="117"/>
  <c r="C57" i="117"/>
  <c r="I56" i="117"/>
  <c r="C133" i="117" l="1"/>
  <c r="K138" i="117"/>
  <c r="K140" i="117" s="1"/>
  <c r="K142" i="117" s="1"/>
  <c r="C110" i="117"/>
  <c r="D138" i="117"/>
  <c r="D140" i="117" s="1"/>
  <c r="D142" i="117" s="1"/>
  <c r="D143" i="117" s="1"/>
  <c r="L5" i="117"/>
  <c r="C119" i="117"/>
  <c r="C113" i="117"/>
  <c r="C135" i="117"/>
  <c r="C38" i="117"/>
  <c r="C112" i="117"/>
  <c r="C59" i="117"/>
  <c r="C111" i="117"/>
  <c r="C114" i="117"/>
  <c r="M143" i="117"/>
  <c r="O138" i="117"/>
  <c r="C123" i="117"/>
  <c r="C136" i="117"/>
  <c r="J140" i="117"/>
  <c r="J142" i="117" s="1"/>
  <c r="J143" i="117" s="1"/>
  <c r="C128" i="117"/>
  <c r="C131" i="117"/>
  <c r="E106" i="117"/>
  <c r="E138" i="117" s="1"/>
  <c r="L106" i="117"/>
  <c r="P56" i="117"/>
  <c r="P58" i="117" s="1"/>
  <c r="P140" i="117" s="1"/>
  <c r="P142" i="117" s="1"/>
  <c r="P143" i="117" s="1"/>
  <c r="L124" i="117"/>
  <c r="O56" i="117"/>
  <c r="O58" i="117" s="1"/>
  <c r="C116" i="117"/>
  <c r="C7" i="117"/>
  <c r="N140" i="117"/>
  <c r="N142" i="117" s="1"/>
  <c r="L54" i="117"/>
  <c r="C70" i="117"/>
  <c r="H58" i="117"/>
  <c r="H140" i="117" s="1"/>
  <c r="H142" i="117" s="1"/>
  <c r="L55" i="117"/>
  <c r="C124" i="117"/>
  <c r="G140" i="117"/>
  <c r="G142" i="117" s="1"/>
  <c r="I58" i="117"/>
  <c r="I140" i="117" s="1"/>
  <c r="I142" i="117" s="1"/>
  <c r="C106" i="117" l="1"/>
  <c r="C138" i="117" s="1"/>
  <c r="L138" i="117"/>
  <c r="O140" i="117"/>
  <c r="O142" i="117" s="1"/>
  <c r="L56" i="117"/>
  <c r="L58" i="117" s="1"/>
  <c r="L140" i="117" s="1"/>
  <c r="L142" i="117" s="1"/>
  <c r="I6" i="105" l="1"/>
  <c r="I5" i="105"/>
  <c r="H28" i="117" l="1"/>
  <c r="E28" i="117" s="1"/>
  <c r="C28" i="117" s="1"/>
  <c r="H26" i="117" l="1"/>
  <c r="E26" i="117" s="1"/>
  <c r="C26" i="117" s="1"/>
  <c r="H159" i="87"/>
  <c r="D159" i="87"/>
  <c r="H15" i="117" l="1"/>
  <c r="H5" i="117" s="1"/>
  <c r="H47" i="117" s="1"/>
  <c r="H143" i="117" s="1"/>
  <c r="BE11" i="85"/>
  <c r="BH54" i="85"/>
  <c r="BH53" i="85"/>
  <c r="BH52" i="85"/>
  <c r="BH50" i="85"/>
  <c r="BH49" i="85"/>
  <c r="BH48" i="85"/>
  <c r="BH47" i="85"/>
  <c r="BH46" i="85"/>
  <c r="BH45" i="85"/>
  <c r="BH44" i="85"/>
  <c r="BH43" i="85"/>
  <c r="BH42" i="85"/>
  <c r="BH41" i="85"/>
  <c r="BH40" i="85"/>
  <c r="BH39" i="85"/>
  <c r="BH38" i="85"/>
  <c r="BH37" i="85"/>
  <c r="BH36" i="85"/>
  <c r="BH35" i="85"/>
  <c r="BH34" i="85"/>
  <c r="BH33" i="85"/>
  <c r="BH32" i="85"/>
  <c r="BH31" i="85"/>
  <c r="BH30" i="85"/>
  <c r="BH29" i="85"/>
  <c r="BH28" i="85"/>
  <c r="BH27" i="85"/>
  <c r="BH25" i="85"/>
  <c r="BH24" i="85"/>
  <c r="BH22" i="85"/>
  <c r="BH21" i="85"/>
  <c r="BH20" i="85"/>
  <c r="BH18" i="85"/>
  <c r="BH17" i="85"/>
  <c r="BH15" i="85"/>
  <c r="BH14" i="85"/>
  <c r="BH13" i="85"/>
  <c r="BH10" i="85"/>
  <c r="BH8" i="85"/>
  <c r="BH7" i="85"/>
  <c r="BG11" i="85"/>
  <c r="BD11" i="85"/>
  <c r="BC11" i="85"/>
  <c r="BB11" i="85"/>
  <c r="BA11" i="85"/>
  <c r="AZ11" i="85"/>
  <c r="AY11" i="85"/>
  <c r="AX11" i="85"/>
  <c r="AW11" i="85"/>
  <c r="AV11" i="85"/>
  <c r="AU11" i="85"/>
  <c r="AT11" i="85"/>
  <c r="AS11" i="85"/>
  <c r="AR11" i="85"/>
  <c r="AQ11" i="85"/>
  <c r="AP11" i="85"/>
  <c r="AO11" i="85"/>
  <c r="AN11" i="85"/>
  <c r="AM11" i="85"/>
  <c r="AL11" i="85"/>
  <c r="AK11" i="85"/>
  <c r="AJ11" i="85"/>
  <c r="AI11" i="85"/>
  <c r="AH11" i="85"/>
  <c r="AG11" i="85"/>
  <c r="AF11" i="85"/>
  <c r="AE11" i="85"/>
  <c r="AD11" i="85"/>
  <c r="AC11" i="85"/>
  <c r="AB11" i="85"/>
  <c r="AA11" i="85"/>
  <c r="Z11" i="85"/>
  <c r="Y11" i="85"/>
  <c r="X11" i="85"/>
  <c r="W11" i="85"/>
  <c r="V11" i="85"/>
  <c r="U11" i="85"/>
  <c r="T11" i="85"/>
  <c r="S11" i="85"/>
  <c r="R11" i="85"/>
  <c r="Q11" i="85"/>
  <c r="P11" i="85"/>
  <c r="O11" i="85"/>
  <c r="N11" i="85"/>
  <c r="M11" i="85"/>
  <c r="L11" i="85"/>
  <c r="K11" i="85"/>
  <c r="J11" i="85"/>
  <c r="I11" i="85"/>
  <c r="G11" i="85"/>
  <c r="K16" i="85"/>
  <c r="J16" i="85" l="1"/>
  <c r="I16" i="85"/>
  <c r="H9" i="85"/>
  <c r="BH9" i="85" l="1"/>
  <c r="H11" i="85"/>
  <c r="BH16" i="85"/>
  <c r="J159" i="87"/>
  <c r="K159" i="87" s="1"/>
  <c r="C81" i="111" l="1"/>
  <c r="S34" i="111"/>
  <c r="S33" i="111"/>
  <c r="S32" i="111"/>
  <c r="S31" i="111"/>
  <c r="S30" i="111"/>
  <c r="S29" i="111"/>
  <c r="BG55" i="85" l="1"/>
  <c r="BG26" i="85"/>
  <c r="BG12" i="85"/>
  <c r="BF11" i="85" l="1"/>
  <c r="BH11" i="85"/>
  <c r="E25" i="73" l="1"/>
  <c r="E23" i="73"/>
  <c r="E24" i="73"/>
  <c r="D122" i="72"/>
  <c r="D117" i="72"/>
  <c r="D127" i="72"/>
  <c r="D135" i="72"/>
  <c r="D53" i="72"/>
  <c r="D40" i="72"/>
  <c r="D15" i="72"/>
  <c r="D12" i="72"/>
  <c r="D8" i="72"/>
  <c r="D175" i="87"/>
  <c r="D170" i="87"/>
  <c r="D162" i="87"/>
  <c r="D130" i="87"/>
  <c r="D126" i="87"/>
  <c r="D75" i="87"/>
  <c r="D14" i="87"/>
  <c r="D10" i="87"/>
  <c r="D21" i="105"/>
  <c r="D18" i="105"/>
  <c r="D14" i="105"/>
  <c r="D10" i="105"/>
  <c r="D152" i="105"/>
  <c r="D56" i="105"/>
  <c r="D27" i="105"/>
  <c r="D32" i="87" l="1"/>
  <c r="D156" i="87"/>
  <c r="D25" i="72"/>
  <c r="D30" i="72"/>
  <c r="F66" i="1"/>
  <c r="D20" i="87"/>
  <c r="D157" i="105"/>
  <c r="D24" i="104"/>
  <c r="H24" i="104"/>
  <c r="D180" i="87" l="1"/>
  <c r="D136" i="72"/>
  <c r="D60" i="104" l="1"/>
  <c r="E169" i="73" l="1"/>
  <c r="DM52" i="4" l="1"/>
  <c r="DL52" i="4"/>
  <c r="DK52" i="4"/>
  <c r="DG52" i="4"/>
  <c r="DE52" i="4"/>
  <c r="DD52" i="4"/>
  <c r="DC52" i="4"/>
  <c r="DB52" i="4"/>
  <c r="R52" i="4"/>
  <c r="J52" i="4"/>
  <c r="K72" i="4"/>
  <c r="K69" i="4"/>
  <c r="I208" i="94" l="1"/>
  <c r="I231" i="94" l="1"/>
  <c r="Q23" i="115"/>
  <c r="P23" i="115"/>
  <c r="O23" i="115"/>
  <c r="N23" i="115"/>
  <c r="M23" i="115"/>
  <c r="L23" i="115"/>
  <c r="K23" i="115"/>
  <c r="J23" i="115"/>
  <c r="I23" i="115"/>
  <c r="H23" i="115"/>
  <c r="G23" i="115"/>
  <c r="F23" i="115"/>
  <c r="E23" i="115"/>
  <c r="D23" i="115"/>
  <c r="C23" i="115"/>
  <c r="L24" i="115" l="1"/>
  <c r="F24" i="115"/>
  <c r="J24" i="115"/>
  <c r="N24" i="115"/>
  <c r="G24" i="115"/>
  <c r="K24" i="115"/>
  <c r="O24" i="115"/>
  <c r="D24" i="115"/>
  <c r="P24" i="115"/>
  <c r="I24" i="115"/>
  <c r="M24" i="115"/>
  <c r="H24" i="115"/>
  <c r="E24" i="115"/>
  <c r="Q24" i="115"/>
  <c r="F164" i="98" l="1"/>
  <c r="G34" i="98"/>
  <c r="H34" i="98" s="1"/>
  <c r="I34" i="98" s="1"/>
  <c r="G35" i="98"/>
  <c r="H35" i="98" s="1"/>
  <c r="I35" i="98" s="1"/>
  <c r="F35" i="98"/>
  <c r="F34" i="98"/>
  <c r="D199" i="98"/>
  <c r="E199" i="98"/>
  <c r="D116" i="98"/>
  <c r="D115" i="98"/>
  <c r="D114" i="98"/>
  <c r="D109" i="98"/>
  <c r="D103" i="98"/>
  <c r="D98" i="98"/>
  <c r="E85" i="98"/>
  <c r="D85" i="98"/>
  <c r="D70" i="98"/>
  <c r="D39" i="98"/>
  <c r="D27" i="98"/>
  <c r="D26" i="98"/>
  <c r="D24" i="98"/>
  <c r="D23" i="98"/>
  <c r="D22" i="98"/>
  <c r="D20" i="98"/>
  <c r="D18" i="98"/>
  <c r="D19" i="98"/>
  <c r="D15" i="98"/>
  <c r="D16" i="98"/>
  <c r="D113" i="98" l="1"/>
  <c r="E141" i="73"/>
  <c r="DN56" i="4"/>
  <c r="F26" i="85" l="1"/>
  <c r="F55" i="85"/>
  <c r="E11" i="85"/>
  <c r="D12" i="85"/>
  <c r="F12" i="85"/>
  <c r="E12" i="85"/>
  <c r="E26" i="85"/>
  <c r="F11" i="85"/>
  <c r="D64" i="104" l="1"/>
  <c r="D55" i="104" l="1"/>
  <c r="H55" i="104"/>
  <c r="D20" i="104" l="1"/>
  <c r="D65" i="104" s="1"/>
  <c r="T40" i="1"/>
  <c r="U40" i="1"/>
  <c r="V40" i="1"/>
  <c r="S40" i="1"/>
  <c r="I58" i="73"/>
  <c r="I59" i="73"/>
  <c r="I50" i="73"/>
  <c r="I49" i="73"/>
  <c r="D63" i="98"/>
  <c r="I42" i="73"/>
  <c r="I39" i="73"/>
  <c r="E75" i="73"/>
  <c r="D50" i="98"/>
  <c r="D48" i="98"/>
  <c r="D47" i="98"/>
  <c r="I35" i="73"/>
  <c r="E35" i="73"/>
  <c r="D46" i="98" s="1"/>
  <c r="D45" i="98"/>
  <c r="D40" i="98"/>
  <c r="D35" i="73"/>
  <c r="E55" i="73"/>
  <c r="D81" i="98" s="1"/>
  <c r="E59" i="73"/>
  <c r="D84" i="98" s="1"/>
  <c r="E54" i="73"/>
  <c r="D80" i="98" s="1"/>
  <c r="E53" i="73"/>
  <c r="D75" i="98" s="1"/>
  <c r="E52" i="73"/>
  <c r="D73" i="98" s="1"/>
  <c r="E50" i="73"/>
  <c r="D68" i="98" s="1"/>
  <c r="E49" i="73"/>
  <c r="D65" i="98" s="1"/>
  <c r="E48" i="73"/>
  <c r="D64" i="98" s="1"/>
  <c r="E47" i="73"/>
  <c r="D61" i="98" s="1"/>
  <c r="E46" i="73"/>
  <c r="D59" i="98" s="1"/>
  <c r="E45" i="73"/>
  <c r="D58" i="98" s="1"/>
  <c r="E44" i="73"/>
  <c r="D57" i="98" s="1"/>
  <c r="E43" i="73"/>
  <c r="D56" i="98" s="1"/>
  <c r="E42" i="73"/>
  <c r="D55" i="98" s="1"/>
  <c r="E41" i="73"/>
  <c r="D53" i="98" s="1"/>
  <c r="E40" i="73"/>
  <c r="D52" i="98" s="1"/>
  <c r="E39" i="73"/>
  <c r="D51" i="98" s="1"/>
  <c r="E38" i="73"/>
  <c r="D44" i="98" s="1"/>
  <c r="E37" i="73"/>
  <c r="D42" i="98" s="1"/>
  <c r="E36" i="73"/>
  <c r="D41" i="98" s="1"/>
  <c r="E65" i="73"/>
  <c r="D91" i="98" s="1"/>
  <c r="E64" i="73"/>
  <c r="D90" i="98" s="1"/>
  <c r="E33" i="73"/>
  <c r="D37" i="98" s="1"/>
  <c r="E32" i="73"/>
  <c r="D36" i="98" s="1"/>
  <c r="E18" i="73"/>
  <c r="D17" i="98" s="1"/>
  <c r="E139" i="73"/>
  <c r="E150" i="73"/>
  <c r="D200" i="98" s="1"/>
  <c r="E132" i="73"/>
  <c r="D162" i="98" s="1"/>
  <c r="E131" i="73"/>
  <c r="D161" i="98" s="1"/>
  <c r="E130" i="73"/>
  <c r="D160" i="98" s="1"/>
  <c r="E129" i="73"/>
  <c r="D159" i="98" s="1"/>
  <c r="E128" i="73"/>
  <c r="D158" i="98" s="1"/>
  <c r="E127" i="73"/>
  <c r="D157" i="98" s="1"/>
  <c r="E126" i="73"/>
  <c r="D156" i="98" s="1"/>
  <c r="E125" i="73"/>
  <c r="D155" i="98" s="1"/>
  <c r="E124" i="73"/>
  <c r="D154" i="98" s="1"/>
  <c r="E123" i="73"/>
  <c r="D153" i="98" s="1"/>
  <c r="E122" i="73"/>
  <c r="D152" i="98" s="1"/>
  <c r="E121" i="73"/>
  <c r="D151" i="98" s="1"/>
  <c r="E118" i="73"/>
  <c r="D150" i="98" s="1"/>
  <c r="E117" i="73"/>
  <c r="D149" i="98" s="1"/>
  <c r="E116" i="73"/>
  <c r="D148" i="98" s="1"/>
  <c r="E115" i="73"/>
  <c r="D147" i="98" s="1"/>
  <c r="E114" i="73"/>
  <c r="D146" i="98" s="1"/>
  <c r="E113" i="73"/>
  <c r="D145" i="98" s="1"/>
  <c r="E112" i="73"/>
  <c r="D144" i="98" s="1"/>
  <c r="E111" i="73"/>
  <c r="D143" i="98" s="1"/>
  <c r="E110" i="73"/>
  <c r="D142" i="98" s="1"/>
  <c r="E109" i="73"/>
  <c r="D141" i="98" s="1"/>
  <c r="E108" i="73"/>
  <c r="D140" i="98" s="1"/>
  <c r="E107" i="73"/>
  <c r="D139" i="98" s="1"/>
  <c r="E106" i="73"/>
  <c r="D138" i="98" s="1"/>
  <c r="E105" i="73"/>
  <c r="D137" i="98" s="1"/>
  <c r="E104" i="73"/>
  <c r="D136" i="98" s="1"/>
  <c r="E103" i="73"/>
  <c r="D135" i="98" s="1"/>
  <c r="E102" i="73"/>
  <c r="D134" i="98" s="1"/>
  <c r="E101" i="73"/>
  <c r="D133" i="98" s="1"/>
  <c r="E100" i="73"/>
  <c r="D132" i="98" s="1"/>
  <c r="E99" i="73"/>
  <c r="D131" i="98" s="1"/>
  <c r="E91" i="73"/>
  <c r="D126" i="98" s="1"/>
  <c r="E90" i="73"/>
  <c r="D125" i="98" s="1"/>
  <c r="E89" i="73"/>
  <c r="D124" i="98" s="1"/>
  <c r="E87" i="73"/>
  <c r="D122" i="98" s="1"/>
  <c r="M68" i="1"/>
  <c r="D76" i="98"/>
  <c r="D43" i="98"/>
  <c r="E31" i="73"/>
  <c r="D35" i="98" s="1"/>
  <c r="E30" i="73"/>
  <c r="D34" i="98" s="1"/>
  <c r="E58" i="73"/>
  <c r="E63" i="73"/>
  <c r="D89" i="98" s="1"/>
  <c r="D88" i="98"/>
  <c r="E22" i="73"/>
  <c r="D21" i="98" s="1"/>
  <c r="E13" i="73"/>
  <c r="D11" i="98" s="1"/>
  <c r="E14" i="73"/>
  <c r="D13" i="98" s="1"/>
  <c r="E12" i="73"/>
  <c r="D10" i="98" s="1"/>
  <c r="D9" i="98"/>
  <c r="E9" i="73"/>
  <c r="D8" i="98" s="1"/>
  <c r="D7" i="98"/>
  <c r="E7" i="73"/>
  <c r="D6" i="98" s="1"/>
  <c r="E47" i="98" l="1"/>
  <c r="E84" i="98"/>
  <c r="E45" i="98"/>
  <c r="E48" i="98"/>
  <c r="E83" i="98"/>
  <c r="E50" i="98"/>
  <c r="E63" i="98"/>
  <c r="E55" i="98"/>
  <c r="E46" i="98"/>
  <c r="F46" i="98" s="1"/>
  <c r="G46" i="98" s="1"/>
  <c r="H46" i="98" s="1"/>
  <c r="I46" i="98" s="1"/>
  <c r="E39" i="98"/>
  <c r="E51" i="98"/>
  <c r="E65" i="98"/>
  <c r="E40" i="98"/>
  <c r="E76" i="98"/>
  <c r="E43" i="98"/>
  <c r="E68" i="98"/>
  <c r="E27" i="73"/>
  <c r="S41" i="1"/>
  <c r="D86" i="98"/>
  <c r="D82" i="98"/>
  <c r="I57" i="73"/>
  <c r="E57" i="73"/>
  <c r="F68" i="1"/>
  <c r="E62" i="73"/>
  <c r="E144" i="73"/>
  <c r="E140" i="73"/>
  <c r="BI24" i="85" l="1"/>
  <c r="C6" i="114"/>
  <c r="D212" i="98"/>
  <c r="E138" i="73"/>
  <c r="E142" i="73"/>
  <c r="E137" i="73" l="1"/>
  <c r="E136" i="73" l="1"/>
  <c r="E172" i="73" l="1"/>
  <c r="E10" i="98" l="1"/>
  <c r="F10" i="98" s="1"/>
  <c r="G10" i="98" s="1"/>
  <c r="H10" i="98" s="1"/>
  <c r="I10" i="98" s="1"/>
  <c r="S71" i="111"/>
  <c r="Q7" i="1" l="1"/>
  <c r="L27" i="75"/>
  <c r="L28" i="75"/>
  <c r="J156" i="87" l="1"/>
  <c r="CT52" i="4"/>
  <c r="CU52" i="4"/>
  <c r="CQ52" i="4"/>
  <c r="CR52" i="4"/>
  <c r="CL52" i="4"/>
  <c r="CN52" i="4"/>
  <c r="CO52" i="4"/>
  <c r="H130" i="87" l="1"/>
  <c r="CX52" i="4"/>
  <c r="BO52" i="4"/>
  <c r="I71" i="75"/>
  <c r="D49" i="106" l="1"/>
  <c r="H29" i="106"/>
  <c r="I52" i="94" l="1"/>
  <c r="I200" i="94"/>
  <c r="I119" i="94"/>
  <c r="I112" i="94"/>
  <c r="I81" i="94"/>
  <c r="I65" i="94"/>
  <c r="I60" i="94"/>
  <c r="I236" i="94"/>
  <c r="I224" i="94"/>
  <c r="I197" i="94"/>
  <c r="I193" i="94"/>
  <c r="I109" i="94"/>
  <c r="I100" i="94"/>
  <c r="I37" i="94"/>
  <c r="I18" i="94"/>
  <c r="I86" i="94" l="1"/>
  <c r="I74" i="94"/>
  <c r="I57" i="94"/>
  <c r="I14" i="94"/>
  <c r="I176" i="94"/>
  <c r="I90" i="94"/>
  <c r="I95" i="94"/>
  <c r="I22" i="94"/>
  <c r="E134" i="73" l="1"/>
  <c r="D164" i="98" s="1"/>
  <c r="D52" i="4"/>
  <c r="D72" i="4"/>
  <c r="I67" i="73" l="1"/>
  <c r="E103" i="98" l="1"/>
  <c r="L47" i="111"/>
  <c r="M47" i="111"/>
  <c r="N47" i="111"/>
  <c r="I71" i="111"/>
  <c r="J71" i="111"/>
  <c r="K71" i="111"/>
  <c r="L71" i="111"/>
  <c r="M71" i="111"/>
  <c r="N71" i="111"/>
  <c r="I190" i="94"/>
  <c r="I237" i="94" s="1"/>
  <c r="M73" i="111" l="1"/>
  <c r="L73" i="111"/>
  <c r="N73" i="111"/>
  <c r="Z52" i="4" l="1"/>
  <c r="M22" i="94" l="1"/>
  <c r="H85" i="72" l="1"/>
  <c r="H64" i="105"/>
  <c r="M190" i="94" l="1"/>
  <c r="H114" i="87"/>
  <c r="P38" i="75"/>
  <c r="O38" i="75"/>
  <c r="N38" i="75"/>
  <c r="M38" i="75"/>
  <c r="K38" i="75"/>
  <c r="J38" i="75"/>
  <c r="I38" i="75"/>
  <c r="H38" i="75"/>
  <c r="G38" i="75"/>
  <c r="M31" i="75"/>
  <c r="K31" i="75"/>
  <c r="J31" i="75"/>
  <c r="I31" i="75"/>
  <c r="H31" i="75"/>
  <c r="G31" i="75"/>
  <c r="F31" i="75"/>
  <c r="D31" i="75"/>
  <c r="E140" i="75"/>
  <c r="E138" i="75"/>
  <c r="E106" i="75"/>
  <c r="E105" i="75"/>
  <c r="E104" i="75"/>
  <c r="E103" i="75"/>
  <c r="E102" i="75"/>
  <c r="E101" i="75"/>
  <c r="E100" i="75"/>
  <c r="E99" i="75"/>
  <c r="E98" i="75"/>
  <c r="E97" i="75"/>
  <c r="E96" i="75"/>
  <c r="E95" i="75"/>
  <c r="E94" i="75"/>
  <c r="E93" i="75"/>
  <c r="E92" i="75"/>
  <c r="E91" i="75"/>
  <c r="E90" i="75"/>
  <c r="E89" i="75"/>
  <c r="E88" i="75"/>
  <c r="E87" i="75"/>
  <c r="E86" i="75"/>
  <c r="E85" i="75"/>
  <c r="E84" i="75"/>
  <c r="E83" i="75"/>
  <c r="E82" i="75"/>
  <c r="E81" i="75"/>
  <c r="E80" i="75"/>
  <c r="E79" i="75"/>
  <c r="E78" i="75"/>
  <c r="E77" i="75"/>
  <c r="E76" i="75"/>
  <c r="E75" i="75"/>
  <c r="E74" i="75"/>
  <c r="E73" i="75"/>
  <c r="E72" i="75"/>
  <c r="E70" i="75"/>
  <c r="E69" i="75"/>
  <c r="E68" i="75"/>
  <c r="E67" i="75"/>
  <c r="E66" i="75"/>
  <c r="E64" i="75"/>
  <c r="E63" i="75"/>
  <c r="E62" i="75"/>
  <c r="E61" i="75"/>
  <c r="E60" i="75"/>
  <c r="E53" i="75"/>
  <c r="E51" i="75"/>
  <c r="E46" i="75"/>
  <c r="E45" i="75"/>
  <c r="E44" i="75"/>
  <c r="E43" i="75"/>
  <c r="E42" i="75"/>
  <c r="E41" i="75"/>
  <c r="E40" i="75"/>
  <c r="E39" i="75"/>
  <c r="E37" i="75"/>
  <c r="E36" i="75"/>
  <c r="E35" i="75"/>
  <c r="E34" i="75"/>
  <c r="E33" i="75"/>
  <c r="E32" i="75"/>
  <c r="E30" i="75"/>
  <c r="E14" i="75"/>
  <c r="E13" i="75"/>
  <c r="E12" i="75"/>
  <c r="E11" i="75"/>
  <c r="E10" i="75"/>
  <c r="E9" i="75"/>
  <c r="E8" i="75"/>
  <c r="E31" i="75" l="1"/>
  <c r="E71" i="75"/>
  <c r="E59" i="75"/>
  <c r="E7" i="75"/>
  <c r="D140" i="75" l="1"/>
  <c r="L138" i="75"/>
  <c r="C138" i="75" s="1"/>
  <c r="P137" i="75"/>
  <c r="O137" i="75"/>
  <c r="N137" i="75"/>
  <c r="M137" i="75"/>
  <c r="K137" i="75"/>
  <c r="J137" i="75"/>
  <c r="I137" i="75"/>
  <c r="H137" i="75"/>
  <c r="G137" i="75"/>
  <c r="F137" i="75"/>
  <c r="D137" i="75"/>
  <c r="P136" i="75"/>
  <c r="N136" i="75"/>
  <c r="M136" i="75"/>
  <c r="K136" i="75"/>
  <c r="J136" i="75"/>
  <c r="I136" i="75"/>
  <c r="H136" i="75"/>
  <c r="G136" i="75"/>
  <c r="F136" i="75"/>
  <c r="D136" i="75"/>
  <c r="P135" i="75"/>
  <c r="O135" i="75"/>
  <c r="N135" i="75"/>
  <c r="M135" i="75"/>
  <c r="K135" i="75"/>
  <c r="J135" i="75"/>
  <c r="I135" i="75"/>
  <c r="H135" i="75"/>
  <c r="G135" i="75"/>
  <c r="F135" i="75"/>
  <c r="D135" i="75"/>
  <c r="P134" i="75"/>
  <c r="O134" i="75"/>
  <c r="N134" i="75"/>
  <c r="M134" i="75"/>
  <c r="K134" i="75"/>
  <c r="J134" i="75"/>
  <c r="I134" i="75"/>
  <c r="H134" i="75"/>
  <c r="G134" i="75"/>
  <c r="F134" i="75"/>
  <c r="D134" i="75"/>
  <c r="P133" i="75"/>
  <c r="M133" i="75"/>
  <c r="E133" i="75"/>
  <c r="P132" i="75"/>
  <c r="O132" i="75"/>
  <c r="N132" i="75"/>
  <c r="M132" i="75"/>
  <c r="K132" i="75"/>
  <c r="J132" i="75"/>
  <c r="I132" i="75"/>
  <c r="H132" i="75"/>
  <c r="G132" i="75"/>
  <c r="F132" i="75"/>
  <c r="D132" i="75"/>
  <c r="P131" i="75"/>
  <c r="O131" i="75"/>
  <c r="N131" i="75"/>
  <c r="M131" i="75"/>
  <c r="K131" i="75"/>
  <c r="J131" i="75"/>
  <c r="I131" i="75"/>
  <c r="H131" i="75"/>
  <c r="G131" i="75"/>
  <c r="F131" i="75"/>
  <c r="D131" i="75"/>
  <c r="P130" i="75"/>
  <c r="O130" i="75"/>
  <c r="N130" i="75"/>
  <c r="M130" i="75"/>
  <c r="K130" i="75"/>
  <c r="J130" i="75"/>
  <c r="I130" i="75"/>
  <c r="H130" i="75"/>
  <c r="G130" i="75"/>
  <c r="F130" i="75"/>
  <c r="D130" i="75"/>
  <c r="P129" i="75"/>
  <c r="M129" i="75"/>
  <c r="K129" i="75"/>
  <c r="J129" i="75"/>
  <c r="I129" i="75"/>
  <c r="H129" i="75"/>
  <c r="G129" i="75"/>
  <c r="F129" i="75"/>
  <c r="D129" i="75"/>
  <c r="N128" i="75"/>
  <c r="M128" i="75"/>
  <c r="D128" i="75"/>
  <c r="P127" i="75"/>
  <c r="O127" i="75"/>
  <c r="N127" i="75"/>
  <c r="M127" i="75"/>
  <c r="D127" i="75"/>
  <c r="P126" i="75"/>
  <c r="O126" i="75"/>
  <c r="N126" i="75"/>
  <c r="M126" i="75"/>
  <c r="D126" i="75"/>
  <c r="P124" i="75"/>
  <c r="O124" i="75"/>
  <c r="N124" i="75"/>
  <c r="M124" i="75"/>
  <c r="J124" i="75"/>
  <c r="I124" i="75"/>
  <c r="H124" i="75"/>
  <c r="G124" i="75"/>
  <c r="F124" i="75"/>
  <c r="D124" i="75"/>
  <c r="P123" i="75"/>
  <c r="O123" i="75"/>
  <c r="N123" i="75"/>
  <c r="M123" i="75"/>
  <c r="K123" i="75"/>
  <c r="J123" i="75"/>
  <c r="I123" i="75"/>
  <c r="H123" i="75"/>
  <c r="G123" i="75"/>
  <c r="F123" i="75"/>
  <c r="D123" i="75"/>
  <c r="P122" i="75"/>
  <c r="O122" i="75"/>
  <c r="N122" i="75"/>
  <c r="M122" i="75"/>
  <c r="K122" i="75"/>
  <c r="J122" i="75"/>
  <c r="I122" i="75"/>
  <c r="H122" i="75"/>
  <c r="G122" i="75"/>
  <c r="F122" i="75"/>
  <c r="D122" i="75"/>
  <c r="P121" i="75"/>
  <c r="N121" i="75"/>
  <c r="M121" i="75"/>
  <c r="P120" i="75"/>
  <c r="O120" i="75"/>
  <c r="N120" i="75"/>
  <c r="M120" i="75"/>
  <c r="K120" i="75"/>
  <c r="J120" i="75"/>
  <c r="I120" i="75"/>
  <c r="H120" i="75"/>
  <c r="G120" i="75"/>
  <c r="F120" i="75"/>
  <c r="P119" i="75"/>
  <c r="O119" i="75"/>
  <c r="N119" i="75"/>
  <c r="M119" i="75"/>
  <c r="K119" i="75"/>
  <c r="J119" i="75"/>
  <c r="I119" i="75"/>
  <c r="H119" i="75"/>
  <c r="G119" i="75"/>
  <c r="F119" i="75"/>
  <c r="D119" i="75"/>
  <c r="P118" i="75"/>
  <c r="O118" i="75"/>
  <c r="N118" i="75"/>
  <c r="M118" i="75"/>
  <c r="D118" i="75"/>
  <c r="P117" i="75"/>
  <c r="O117" i="75"/>
  <c r="N117" i="75"/>
  <c r="M117" i="75"/>
  <c r="K117" i="75"/>
  <c r="J117" i="75"/>
  <c r="I117" i="75"/>
  <c r="H117" i="75"/>
  <c r="G117" i="75"/>
  <c r="F117" i="75"/>
  <c r="D117" i="75"/>
  <c r="P116" i="75"/>
  <c r="O116" i="75"/>
  <c r="N116" i="75"/>
  <c r="M116" i="75"/>
  <c r="D116" i="75"/>
  <c r="P115" i="75"/>
  <c r="O115" i="75"/>
  <c r="N115" i="75"/>
  <c r="M115" i="75"/>
  <c r="J115" i="75"/>
  <c r="I115" i="75"/>
  <c r="H115" i="75"/>
  <c r="G115" i="75"/>
  <c r="F115" i="75"/>
  <c r="D115" i="75"/>
  <c r="P114" i="75"/>
  <c r="N114" i="75"/>
  <c r="M114" i="75"/>
  <c r="J114" i="75"/>
  <c r="I114" i="75"/>
  <c r="G114" i="75"/>
  <c r="F114" i="75"/>
  <c r="D114" i="75"/>
  <c r="P113" i="75"/>
  <c r="O113" i="75"/>
  <c r="N113" i="75"/>
  <c r="M113" i="75"/>
  <c r="K113" i="75"/>
  <c r="J113" i="75"/>
  <c r="H113" i="75"/>
  <c r="G113" i="75"/>
  <c r="F113" i="75"/>
  <c r="D113" i="75"/>
  <c r="P112" i="75"/>
  <c r="O112" i="75"/>
  <c r="N112" i="75"/>
  <c r="M112" i="75"/>
  <c r="K112" i="75"/>
  <c r="J112" i="75"/>
  <c r="I112" i="75"/>
  <c r="H112" i="75"/>
  <c r="G112" i="75"/>
  <c r="F112" i="75"/>
  <c r="D112" i="75"/>
  <c r="P111" i="75"/>
  <c r="O111" i="75"/>
  <c r="N111" i="75"/>
  <c r="M111" i="75"/>
  <c r="K111" i="75"/>
  <c r="J111" i="75"/>
  <c r="H111" i="75"/>
  <c r="G111" i="75"/>
  <c r="F111" i="75"/>
  <c r="D111" i="75"/>
  <c r="P110" i="75"/>
  <c r="O110" i="75"/>
  <c r="N110" i="75"/>
  <c r="M110" i="75"/>
  <c r="D110" i="75"/>
  <c r="P109" i="75"/>
  <c r="O109" i="75"/>
  <c r="N109" i="75"/>
  <c r="K109" i="75"/>
  <c r="J109" i="75"/>
  <c r="I109" i="75"/>
  <c r="H109" i="75"/>
  <c r="G109" i="75"/>
  <c r="F109" i="75"/>
  <c r="D109" i="75"/>
  <c r="P108" i="75"/>
  <c r="O108" i="75"/>
  <c r="N108" i="75"/>
  <c r="M108" i="75"/>
  <c r="K108" i="75"/>
  <c r="J108" i="75"/>
  <c r="H108" i="75"/>
  <c r="G108" i="75"/>
  <c r="F108" i="75"/>
  <c r="D108" i="75"/>
  <c r="L96" i="75"/>
  <c r="C96" i="75" s="1"/>
  <c r="L83" i="75"/>
  <c r="C83" i="75" s="1"/>
  <c r="L84" i="75"/>
  <c r="C84" i="75" s="1"/>
  <c r="L85" i="75"/>
  <c r="C85" i="75" s="1"/>
  <c r="L86" i="75"/>
  <c r="C86" i="75" s="1"/>
  <c r="L87" i="75"/>
  <c r="C87" i="75" s="1"/>
  <c r="L88" i="75"/>
  <c r="C88" i="75" s="1"/>
  <c r="L89" i="75"/>
  <c r="C89" i="75" s="1"/>
  <c r="L90" i="75"/>
  <c r="C90" i="75" s="1"/>
  <c r="L91" i="75"/>
  <c r="C91" i="75" s="1"/>
  <c r="L92" i="75"/>
  <c r="C92" i="75" s="1"/>
  <c r="L93" i="75"/>
  <c r="C93" i="75" s="1"/>
  <c r="L94" i="75"/>
  <c r="C94" i="75" s="1"/>
  <c r="J59" i="75"/>
  <c r="D58" i="75"/>
  <c r="K34" i="112"/>
  <c r="K126" i="112" s="1"/>
  <c r="C43" i="75"/>
  <c r="C42" i="75"/>
  <c r="C41" i="75"/>
  <c r="C40" i="75"/>
  <c r="N34" i="75"/>
  <c r="L34" i="75" s="1"/>
  <c r="J7" i="75"/>
  <c r="J71" i="75"/>
  <c r="J29" i="75"/>
  <c r="J15" i="75"/>
  <c r="L25" i="75"/>
  <c r="L26" i="75"/>
  <c r="L24" i="75"/>
  <c r="L23" i="75"/>
  <c r="L22" i="75"/>
  <c r="L21" i="75"/>
  <c r="L20" i="75"/>
  <c r="L19" i="75"/>
  <c r="L18" i="75"/>
  <c r="L140" i="75"/>
  <c r="L106" i="75"/>
  <c r="C106" i="75" s="1"/>
  <c r="L105" i="75"/>
  <c r="C105" i="75" s="1"/>
  <c r="L104" i="75"/>
  <c r="C104" i="75" s="1"/>
  <c r="L102" i="75"/>
  <c r="C102" i="75" s="1"/>
  <c r="L101" i="75"/>
  <c r="C101" i="75" s="1"/>
  <c r="L100" i="75"/>
  <c r="C100" i="75" s="1"/>
  <c r="L99" i="75"/>
  <c r="C99" i="75" s="1"/>
  <c r="L98" i="75"/>
  <c r="C98" i="75" s="1"/>
  <c r="L97" i="75"/>
  <c r="C97" i="75" s="1"/>
  <c r="L95" i="75"/>
  <c r="C95" i="75" s="1"/>
  <c r="L82" i="75"/>
  <c r="C82" i="75" s="1"/>
  <c r="L81" i="75"/>
  <c r="C81" i="75" s="1"/>
  <c r="L80" i="75"/>
  <c r="C80" i="75" s="1"/>
  <c r="L79" i="75"/>
  <c r="C79" i="75" s="1"/>
  <c r="L78" i="75"/>
  <c r="C78" i="75" s="1"/>
  <c r="L77" i="75"/>
  <c r="C77" i="75" s="1"/>
  <c r="L76" i="75"/>
  <c r="C76" i="75" s="1"/>
  <c r="L75" i="75"/>
  <c r="C75" i="75" s="1"/>
  <c r="L74" i="75"/>
  <c r="C74" i="75" s="1"/>
  <c r="L73" i="75"/>
  <c r="C73" i="75" s="1"/>
  <c r="L72" i="75"/>
  <c r="C72" i="75" s="1"/>
  <c r="L70" i="75"/>
  <c r="C70" i="75" s="1"/>
  <c r="L69" i="75"/>
  <c r="C69" i="75" s="1"/>
  <c r="L68" i="75"/>
  <c r="C68" i="75" s="1"/>
  <c r="L67" i="75"/>
  <c r="C67" i="75" s="1"/>
  <c r="L66" i="75"/>
  <c r="C66" i="75" s="1"/>
  <c r="L64" i="75"/>
  <c r="C64" i="75" s="1"/>
  <c r="L63" i="75"/>
  <c r="C63" i="75" s="1"/>
  <c r="L62" i="75"/>
  <c r="C62" i="75" s="1"/>
  <c r="L61" i="75"/>
  <c r="C61" i="75" s="1"/>
  <c r="L60" i="75"/>
  <c r="C60" i="75" s="1"/>
  <c r="L53" i="75"/>
  <c r="C53" i="75" s="1"/>
  <c r="L51" i="75"/>
  <c r="C51" i="75" s="1"/>
  <c r="L46" i="75"/>
  <c r="L45" i="75"/>
  <c r="L44" i="75"/>
  <c r="L39" i="75"/>
  <c r="L37" i="75"/>
  <c r="L36" i="75"/>
  <c r="L30" i="75"/>
  <c r="L17" i="75"/>
  <c r="L16" i="75"/>
  <c r="L14" i="75"/>
  <c r="L13" i="75"/>
  <c r="L12" i="75"/>
  <c r="L11" i="75"/>
  <c r="L10" i="75"/>
  <c r="L9" i="75"/>
  <c r="L8" i="75"/>
  <c r="M71" i="75"/>
  <c r="I59" i="75"/>
  <c r="M59" i="75"/>
  <c r="M29" i="75"/>
  <c r="M15" i="75"/>
  <c r="M7" i="75"/>
  <c r="I29" i="75"/>
  <c r="I7" i="75"/>
  <c r="AI122" i="112"/>
  <c r="AH122" i="112"/>
  <c r="AG122" i="112"/>
  <c r="N122" i="112"/>
  <c r="M122" i="112"/>
  <c r="L122" i="112"/>
  <c r="AI121" i="112"/>
  <c r="AH121" i="112"/>
  <c r="AG121" i="112"/>
  <c r="N121" i="112"/>
  <c r="M121" i="112"/>
  <c r="L121" i="112"/>
  <c r="AI120" i="112"/>
  <c r="AH120" i="112"/>
  <c r="AG120" i="112"/>
  <c r="N120" i="112"/>
  <c r="M120" i="112"/>
  <c r="L120" i="112"/>
  <c r="AI119" i="112"/>
  <c r="AH119" i="112"/>
  <c r="AG119" i="112"/>
  <c r="N119" i="112"/>
  <c r="M119" i="112"/>
  <c r="L119" i="112"/>
  <c r="AI118" i="112"/>
  <c r="AH118" i="112"/>
  <c r="AG118" i="112"/>
  <c r="N118" i="112"/>
  <c r="M118" i="112"/>
  <c r="L118" i="112"/>
  <c r="AI117" i="112"/>
  <c r="AH117" i="112"/>
  <c r="AG117" i="112"/>
  <c r="N117" i="112"/>
  <c r="M117" i="112"/>
  <c r="L117" i="112"/>
  <c r="AI116" i="112"/>
  <c r="AH116" i="112"/>
  <c r="AG116" i="112"/>
  <c r="N116" i="112"/>
  <c r="M116" i="112"/>
  <c r="L116" i="112"/>
  <c r="AI115" i="112"/>
  <c r="AH115" i="112"/>
  <c r="AG115" i="112"/>
  <c r="N115" i="112"/>
  <c r="M115" i="112"/>
  <c r="L115" i="112"/>
  <c r="AI114" i="112"/>
  <c r="AH114" i="112"/>
  <c r="AG114" i="112"/>
  <c r="N114" i="112"/>
  <c r="M114" i="112"/>
  <c r="L114" i="112"/>
  <c r="AI113" i="112"/>
  <c r="AH113" i="112"/>
  <c r="AG113" i="112"/>
  <c r="N113" i="112"/>
  <c r="M113" i="112"/>
  <c r="L113" i="112"/>
  <c r="AI112" i="112"/>
  <c r="AH112" i="112"/>
  <c r="AG112" i="112"/>
  <c r="N112" i="112"/>
  <c r="M112" i="112"/>
  <c r="L112" i="112"/>
  <c r="AI111" i="112"/>
  <c r="AH111" i="112"/>
  <c r="AG111" i="112"/>
  <c r="N111" i="112"/>
  <c r="M111" i="112"/>
  <c r="L111" i="112"/>
  <c r="AI110" i="112"/>
  <c r="AH110" i="112"/>
  <c r="AG110" i="112"/>
  <c r="N110" i="112"/>
  <c r="M110" i="112"/>
  <c r="L110" i="112"/>
  <c r="AI109" i="112"/>
  <c r="AH109" i="112"/>
  <c r="AG109" i="112"/>
  <c r="N109" i="112"/>
  <c r="M109" i="112"/>
  <c r="L109" i="112"/>
  <c r="AU108" i="112"/>
  <c r="AT108" i="112"/>
  <c r="AS108" i="112"/>
  <c r="AR108" i="112"/>
  <c r="AQ108" i="112"/>
  <c r="AP108" i="112"/>
  <c r="AO108" i="112"/>
  <c r="AN108" i="112"/>
  <c r="AM108" i="112"/>
  <c r="AL108" i="112"/>
  <c r="AK108" i="112"/>
  <c r="AJ108" i="112"/>
  <c r="AF108" i="112"/>
  <c r="AE108" i="112"/>
  <c r="AD108" i="112"/>
  <c r="AC108" i="112"/>
  <c r="AB108" i="112"/>
  <c r="AA108" i="112"/>
  <c r="Z108" i="112"/>
  <c r="Y108" i="112"/>
  <c r="X108" i="112"/>
  <c r="W108" i="112"/>
  <c r="V108" i="112"/>
  <c r="U108" i="112"/>
  <c r="T108" i="112"/>
  <c r="S108" i="112"/>
  <c r="R108" i="112"/>
  <c r="Q108" i="112"/>
  <c r="P108" i="112"/>
  <c r="O108" i="112"/>
  <c r="K108" i="112"/>
  <c r="J108" i="112"/>
  <c r="I108" i="112"/>
  <c r="AI107" i="112"/>
  <c r="AH107" i="112"/>
  <c r="AG107" i="112"/>
  <c r="N107" i="112"/>
  <c r="M107" i="112"/>
  <c r="L107" i="112"/>
  <c r="AI106" i="112"/>
  <c r="AH106" i="112"/>
  <c r="AG106" i="112"/>
  <c r="N106" i="112"/>
  <c r="M106" i="112"/>
  <c r="L106" i="112"/>
  <c r="AH105" i="112"/>
  <c r="AG105" i="112"/>
  <c r="N105" i="112"/>
  <c r="G105" i="112" s="1"/>
  <c r="M105" i="112"/>
  <c r="L105" i="112"/>
  <c r="AI104" i="112"/>
  <c r="AH104" i="112"/>
  <c r="AG104" i="112"/>
  <c r="N104" i="112"/>
  <c r="M104" i="112"/>
  <c r="L104" i="112"/>
  <c r="AI103" i="112"/>
  <c r="AH103" i="112"/>
  <c r="AG103" i="112"/>
  <c r="N103" i="112"/>
  <c r="M103" i="112"/>
  <c r="L103" i="112"/>
  <c r="AI102" i="112"/>
  <c r="AH102" i="112"/>
  <c r="AG102" i="112"/>
  <c r="N102" i="112"/>
  <c r="M102" i="112"/>
  <c r="L102" i="112"/>
  <c r="AI101" i="112"/>
  <c r="AH101" i="112"/>
  <c r="AG101" i="112"/>
  <c r="N101" i="112"/>
  <c r="M101" i="112"/>
  <c r="L101" i="112"/>
  <c r="AI100" i="112"/>
  <c r="AH100" i="112"/>
  <c r="AG100" i="112"/>
  <c r="N100" i="112"/>
  <c r="M100" i="112"/>
  <c r="L100" i="112"/>
  <c r="AI99" i="112"/>
  <c r="AH99" i="112"/>
  <c r="AG99" i="112"/>
  <c r="N99" i="112"/>
  <c r="M99" i="112"/>
  <c r="L99" i="112"/>
  <c r="AI98" i="112"/>
  <c r="AH98" i="112"/>
  <c r="AG98" i="112"/>
  <c r="N98" i="112"/>
  <c r="M98" i="112"/>
  <c r="L98" i="112"/>
  <c r="AI97" i="112"/>
  <c r="AH97" i="112"/>
  <c r="E97" i="112" s="1"/>
  <c r="AG97" i="112"/>
  <c r="N97" i="112"/>
  <c r="M97" i="112"/>
  <c r="L97" i="112"/>
  <c r="AI96" i="112"/>
  <c r="AH96" i="112"/>
  <c r="AG96" i="112"/>
  <c r="N96" i="112"/>
  <c r="M96" i="112"/>
  <c r="L96" i="112"/>
  <c r="AI95" i="112"/>
  <c r="AH95" i="112"/>
  <c r="AG95" i="112"/>
  <c r="N95" i="112"/>
  <c r="M95" i="112"/>
  <c r="L95" i="112"/>
  <c r="AI94" i="112"/>
  <c r="AH94" i="112"/>
  <c r="AG94" i="112"/>
  <c r="N94" i="112"/>
  <c r="M94" i="112"/>
  <c r="L94" i="112"/>
  <c r="AI93" i="112"/>
  <c r="AH93" i="112"/>
  <c r="AG93" i="112"/>
  <c r="N93" i="112"/>
  <c r="M93" i="112"/>
  <c r="L93" i="112"/>
  <c r="AI92" i="112"/>
  <c r="AH92" i="112"/>
  <c r="AG92" i="112"/>
  <c r="N92" i="112"/>
  <c r="M92" i="112"/>
  <c r="L92" i="112"/>
  <c r="AI91" i="112"/>
  <c r="AH91" i="112"/>
  <c r="AG91" i="112"/>
  <c r="N91" i="112"/>
  <c r="M91" i="112"/>
  <c r="L91" i="112"/>
  <c r="AU90" i="112"/>
  <c r="AT90" i="112"/>
  <c r="AS90" i="112"/>
  <c r="AR90" i="112"/>
  <c r="AQ90" i="112"/>
  <c r="AP90" i="112"/>
  <c r="AO90" i="112"/>
  <c r="AN90" i="112"/>
  <c r="AM90" i="112"/>
  <c r="AL90" i="112"/>
  <c r="AK90" i="112"/>
  <c r="AJ90" i="112"/>
  <c r="AF90" i="112"/>
  <c r="AE90" i="112"/>
  <c r="AD90" i="112"/>
  <c r="AC90" i="112"/>
  <c r="AB90" i="112"/>
  <c r="AA90" i="112"/>
  <c r="Z90" i="112"/>
  <c r="Y90" i="112"/>
  <c r="X90" i="112"/>
  <c r="W90" i="112"/>
  <c r="V90" i="112"/>
  <c r="U90" i="112"/>
  <c r="T90" i="112"/>
  <c r="S90" i="112"/>
  <c r="R90" i="112"/>
  <c r="Q90" i="112"/>
  <c r="P90" i="112"/>
  <c r="O90" i="112"/>
  <c r="K90" i="112"/>
  <c r="J90" i="112"/>
  <c r="I90" i="112"/>
  <c r="AI89" i="112"/>
  <c r="AH89" i="112"/>
  <c r="AG89" i="112"/>
  <c r="N89" i="112"/>
  <c r="M89" i="112"/>
  <c r="L89" i="112"/>
  <c r="AI88" i="112"/>
  <c r="AH88" i="112"/>
  <c r="AG88" i="112"/>
  <c r="N88" i="112"/>
  <c r="M88" i="112"/>
  <c r="L88" i="112"/>
  <c r="AI87" i="112"/>
  <c r="G87" i="112" s="1"/>
  <c r="AH87" i="112"/>
  <c r="AG87" i="112"/>
  <c r="M87" i="112"/>
  <c r="L87" i="112"/>
  <c r="AI86" i="112"/>
  <c r="AH86" i="112"/>
  <c r="AG86" i="112"/>
  <c r="N86" i="112"/>
  <c r="M86" i="112"/>
  <c r="L86" i="112"/>
  <c r="AI85" i="112"/>
  <c r="AH85" i="112"/>
  <c r="AG85" i="112"/>
  <c r="N85" i="112"/>
  <c r="M85" i="112"/>
  <c r="L85" i="112"/>
  <c r="AI84" i="112"/>
  <c r="AH84" i="112"/>
  <c r="AG84" i="112"/>
  <c r="N84" i="112"/>
  <c r="M84" i="112"/>
  <c r="L84" i="112"/>
  <c r="AI83" i="112"/>
  <c r="AH83" i="112"/>
  <c r="AG83" i="112"/>
  <c r="N83" i="112"/>
  <c r="M83" i="112"/>
  <c r="L83" i="112"/>
  <c r="AI82" i="112"/>
  <c r="AH82" i="112"/>
  <c r="AG82" i="112"/>
  <c r="N82" i="112"/>
  <c r="M82" i="112"/>
  <c r="L82" i="112"/>
  <c r="AI81" i="112"/>
  <c r="AH81" i="112"/>
  <c r="AG81" i="112"/>
  <c r="N81" i="112"/>
  <c r="M81" i="112"/>
  <c r="L81" i="112"/>
  <c r="AI80" i="112"/>
  <c r="AH80" i="112"/>
  <c r="AG80" i="112"/>
  <c r="N80" i="112"/>
  <c r="M80" i="112"/>
  <c r="L80" i="112"/>
  <c r="AI79" i="112"/>
  <c r="AH79" i="112"/>
  <c r="AG79" i="112"/>
  <c r="N79" i="112"/>
  <c r="M79" i="112"/>
  <c r="L79" i="112"/>
  <c r="AI78" i="112"/>
  <c r="AH78" i="112"/>
  <c r="AG78" i="112"/>
  <c r="N78" i="112"/>
  <c r="G78" i="112" s="1"/>
  <c r="M78" i="112"/>
  <c r="L78" i="112"/>
  <c r="AI77" i="112"/>
  <c r="AH77" i="112"/>
  <c r="AG77" i="112"/>
  <c r="N77" i="112"/>
  <c r="M77" i="112"/>
  <c r="L77" i="112"/>
  <c r="AI76" i="112"/>
  <c r="AH76" i="112"/>
  <c r="AG76" i="112"/>
  <c r="N76" i="112"/>
  <c r="M76" i="112"/>
  <c r="L76" i="112"/>
  <c r="AI75" i="112"/>
  <c r="AH75" i="112"/>
  <c r="AG75" i="112"/>
  <c r="N75" i="112"/>
  <c r="M75" i="112"/>
  <c r="L75" i="112"/>
  <c r="AI74" i="112"/>
  <c r="AH74" i="112"/>
  <c r="AG74" i="112"/>
  <c r="N74" i="112"/>
  <c r="G74" i="112" s="1"/>
  <c r="M74" i="112"/>
  <c r="L74" i="112"/>
  <c r="AI73" i="112"/>
  <c r="AH73" i="112"/>
  <c r="AG73" i="112"/>
  <c r="N73" i="112"/>
  <c r="M73" i="112"/>
  <c r="L73" i="112"/>
  <c r="AI72" i="112"/>
  <c r="AH72" i="112"/>
  <c r="AG72" i="112"/>
  <c r="N72" i="112"/>
  <c r="M72" i="112"/>
  <c r="L72" i="112"/>
  <c r="AI71" i="112"/>
  <c r="AH71" i="112"/>
  <c r="AG71" i="112"/>
  <c r="N71" i="112"/>
  <c r="M71" i="112"/>
  <c r="L71" i="112"/>
  <c r="AI70" i="112"/>
  <c r="AH70" i="112"/>
  <c r="AG70" i="112"/>
  <c r="N70" i="112"/>
  <c r="G70" i="112" s="1"/>
  <c r="M70" i="112"/>
  <c r="L70" i="112"/>
  <c r="AI69" i="112"/>
  <c r="AH69" i="112"/>
  <c r="AG69" i="112"/>
  <c r="N69" i="112"/>
  <c r="M69" i="112"/>
  <c r="L69" i="112"/>
  <c r="AI68" i="112"/>
  <c r="AH68" i="112"/>
  <c r="AG68" i="112"/>
  <c r="N68" i="112"/>
  <c r="M68" i="112"/>
  <c r="L68" i="112"/>
  <c r="AI67" i="112"/>
  <c r="AH67" i="112"/>
  <c r="AG67" i="112"/>
  <c r="N67" i="112"/>
  <c r="M67" i="112"/>
  <c r="L67" i="112"/>
  <c r="AI66" i="112"/>
  <c r="AH66" i="112"/>
  <c r="AG66" i="112"/>
  <c r="N66" i="112"/>
  <c r="M66" i="112"/>
  <c r="L66" i="112"/>
  <c r="AI65" i="112"/>
  <c r="AH65" i="112"/>
  <c r="AG65" i="112"/>
  <c r="N65" i="112"/>
  <c r="M65" i="112"/>
  <c r="L65" i="112"/>
  <c r="AI64" i="112"/>
  <c r="AH64" i="112"/>
  <c r="AG64" i="112"/>
  <c r="N64" i="112"/>
  <c r="M64" i="112"/>
  <c r="L64" i="112"/>
  <c r="AI63" i="112"/>
  <c r="AH63" i="112"/>
  <c r="AG63" i="112"/>
  <c r="N63" i="112"/>
  <c r="M63" i="112"/>
  <c r="L63" i="112"/>
  <c r="AI62" i="112"/>
  <c r="AH62" i="112"/>
  <c r="AG62" i="112"/>
  <c r="N62" i="112"/>
  <c r="G62" i="112" s="1"/>
  <c r="M62" i="112"/>
  <c r="L62" i="112"/>
  <c r="AI61" i="112"/>
  <c r="G61" i="112" s="1"/>
  <c r="AH61" i="112"/>
  <c r="AG61" i="112"/>
  <c r="M61" i="112"/>
  <c r="L61" i="112"/>
  <c r="AI60" i="112"/>
  <c r="AH60" i="112"/>
  <c r="AG60" i="112"/>
  <c r="N60" i="112"/>
  <c r="M60" i="112"/>
  <c r="L60" i="112"/>
  <c r="AI59" i="112"/>
  <c r="AH59" i="112"/>
  <c r="AG59" i="112"/>
  <c r="N59" i="112"/>
  <c r="M59" i="112"/>
  <c r="L59" i="112"/>
  <c r="AI58" i="112"/>
  <c r="AH58" i="112"/>
  <c r="AG58" i="112"/>
  <c r="N58" i="112"/>
  <c r="M58" i="112"/>
  <c r="L58" i="112"/>
  <c r="AI57" i="112"/>
  <c r="AH57" i="112"/>
  <c r="AG57" i="112"/>
  <c r="N57" i="112"/>
  <c r="M57" i="112"/>
  <c r="L57" i="112"/>
  <c r="AI56" i="112"/>
  <c r="G56" i="112" s="1"/>
  <c r="AH56" i="112"/>
  <c r="AG56" i="112"/>
  <c r="M56" i="112"/>
  <c r="L56" i="112"/>
  <c r="AU55" i="112"/>
  <c r="AT55" i="112"/>
  <c r="AS55" i="112"/>
  <c r="AR55" i="112"/>
  <c r="AQ55" i="112"/>
  <c r="AP55" i="112"/>
  <c r="AO55" i="112"/>
  <c r="AN55" i="112"/>
  <c r="AM55" i="112"/>
  <c r="AL55" i="112"/>
  <c r="AK55" i="112"/>
  <c r="AJ55" i="112"/>
  <c r="AF55" i="112"/>
  <c r="AE55" i="112"/>
  <c r="AD55" i="112"/>
  <c r="AC55" i="112"/>
  <c r="AB55" i="112"/>
  <c r="AA55" i="112"/>
  <c r="Z55" i="112"/>
  <c r="Y55" i="112"/>
  <c r="X55" i="112"/>
  <c r="W55" i="112"/>
  <c r="V55" i="112"/>
  <c r="U55" i="112"/>
  <c r="T55" i="112"/>
  <c r="S55" i="112"/>
  <c r="R55" i="112"/>
  <c r="Q55" i="112"/>
  <c r="P55" i="112"/>
  <c r="O55" i="112"/>
  <c r="K55" i="112"/>
  <c r="J55" i="112"/>
  <c r="I55" i="112"/>
  <c r="AI54" i="112"/>
  <c r="AH54" i="112"/>
  <c r="AG54" i="112"/>
  <c r="N54" i="112"/>
  <c r="M54" i="112"/>
  <c r="L54" i="112"/>
  <c r="AI53" i="112"/>
  <c r="AH53" i="112"/>
  <c r="AG53" i="112"/>
  <c r="N53" i="112"/>
  <c r="M53" i="112"/>
  <c r="L53" i="112"/>
  <c r="AI52" i="112"/>
  <c r="AH52" i="112"/>
  <c r="AG52" i="112"/>
  <c r="N52" i="112"/>
  <c r="M52" i="112"/>
  <c r="L52" i="112"/>
  <c r="AI51" i="112"/>
  <c r="AH51" i="112"/>
  <c r="AG51" i="112"/>
  <c r="N51" i="112"/>
  <c r="M51" i="112"/>
  <c r="L51" i="112"/>
  <c r="AI50" i="112"/>
  <c r="AH50" i="112"/>
  <c r="AG50" i="112"/>
  <c r="N50" i="112"/>
  <c r="M50" i="112"/>
  <c r="L50" i="112"/>
  <c r="AI49" i="112"/>
  <c r="AH49" i="112"/>
  <c r="AG49" i="112"/>
  <c r="N49" i="112"/>
  <c r="M49" i="112"/>
  <c r="L49" i="112"/>
  <c r="AI48" i="112"/>
  <c r="AH48" i="112"/>
  <c r="AG48" i="112"/>
  <c r="N48" i="112"/>
  <c r="M48" i="112"/>
  <c r="L48" i="112"/>
  <c r="AI47" i="112"/>
  <c r="AH47" i="112"/>
  <c r="AG47" i="112"/>
  <c r="N47" i="112"/>
  <c r="M47" i="112"/>
  <c r="L47" i="112"/>
  <c r="AI46" i="112"/>
  <c r="AH46" i="112"/>
  <c r="AG46" i="112"/>
  <c r="N46" i="112"/>
  <c r="M46" i="112"/>
  <c r="L46" i="112"/>
  <c r="AI45" i="112"/>
  <c r="AH45" i="112"/>
  <c r="AG45" i="112"/>
  <c r="N45" i="112"/>
  <c r="M45" i="112"/>
  <c r="L45" i="112"/>
  <c r="AI44" i="112"/>
  <c r="AH44" i="112"/>
  <c r="AG44" i="112"/>
  <c r="N44" i="112"/>
  <c r="M44" i="112"/>
  <c r="L44" i="112"/>
  <c r="AU43" i="112"/>
  <c r="AT43" i="112"/>
  <c r="AS43" i="112"/>
  <c r="AR43" i="112"/>
  <c r="AQ43" i="112"/>
  <c r="AP43" i="112"/>
  <c r="AO43" i="112"/>
  <c r="AN43" i="112"/>
  <c r="AM43" i="112"/>
  <c r="AL43" i="112"/>
  <c r="AK43" i="112"/>
  <c r="AJ43" i="112"/>
  <c r="AF43" i="112"/>
  <c r="AE43" i="112"/>
  <c r="AD43" i="112"/>
  <c r="AC43" i="112"/>
  <c r="AB43" i="112"/>
  <c r="AA43" i="112"/>
  <c r="Z43" i="112"/>
  <c r="Y43" i="112"/>
  <c r="X43" i="112"/>
  <c r="W43" i="112"/>
  <c r="V43" i="112"/>
  <c r="U43" i="112"/>
  <c r="T43" i="112"/>
  <c r="S43" i="112"/>
  <c r="R43" i="112"/>
  <c r="Q43" i="112"/>
  <c r="P43" i="112"/>
  <c r="O43" i="112"/>
  <c r="AT42" i="112"/>
  <c r="AS42" i="112"/>
  <c r="AQ42" i="112"/>
  <c r="AP42" i="112"/>
  <c r="AN42" i="112"/>
  <c r="AM42" i="112"/>
  <c r="AK42" i="112"/>
  <c r="AJ42" i="112"/>
  <c r="AE42" i="112"/>
  <c r="AD42" i="112"/>
  <c r="AB42" i="112"/>
  <c r="AA42" i="112"/>
  <c r="Y42" i="112"/>
  <c r="X42" i="112"/>
  <c r="V42" i="112"/>
  <c r="U42" i="112"/>
  <c r="S42" i="112"/>
  <c r="R42" i="112"/>
  <c r="P42" i="112"/>
  <c r="O42" i="112"/>
  <c r="J42" i="112"/>
  <c r="I42" i="112"/>
  <c r="AU41" i="112"/>
  <c r="AR41" i="112"/>
  <c r="AO41" i="112"/>
  <c r="AL41" i="112"/>
  <c r="AH41" i="112"/>
  <c r="AG41" i="112"/>
  <c r="AF41" i="112"/>
  <c r="AC41" i="112"/>
  <c r="Z41" i="112"/>
  <c r="W41" i="112"/>
  <c r="T41" i="112"/>
  <c r="Q41" i="112"/>
  <c r="M41" i="112"/>
  <c r="E41" i="112" s="1"/>
  <c r="L41" i="112"/>
  <c r="D41" i="112" s="1"/>
  <c r="K41" i="112"/>
  <c r="AU40" i="112"/>
  <c r="AR40" i="112"/>
  <c r="AO40" i="112"/>
  <c r="AL40" i="112"/>
  <c r="AH40" i="112"/>
  <c r="AG40" i="112"/>
  <c r="AF40" i="112"/>
  <c r="AC40" i="112"/>
  <c r="Z40" i="112"/>
  <c r="W40" i="112"/>
  <c r="T40" i="112"/>
  <c r="Q40" i="112"/>
  <c r="M40" i="112"/>
  <c r="L40" i="112"/>
  <c r="K40" i="112"/>
  <c r="AI39" i="112"/>
  <c r="AH39" i="112"/>
  <c r="AG39" i="112"/>
  <c r="N39" i="112"/>
  <c r="M39" i="112"/>
  <c r="L39" i="112"/>
  <c r="AU38" i="112"/>
  <c r="AR38" i="112"/>
  <c r="AO38" i="112"/>
  <c r="AL38" i="112"/>
  <c r="AH38" i="112"/>
  <c r="AG38" i="112"/>
  <c r="AF38" i="112"/>
  <c r="AC38" i="112"/>
  <c r="Z38" i="112"/>
  <c r="W38" i="112"/>
  <c r="T38" i="112"/>
  <c r="Q38" i="112"/>
  <c r="M38" i="112"/>
  <c r="E38" i="112" s="1"/>
  <c r="L38" i="112"/>
  <c r="D38" i="112" s="1"/>
  <c r="K38" i="112"/>
  <c r="AU37" i="112"/>
  <c r="AR37" i="112"/>
  <c r="AO37" i="112"/>
  <c r="AL37" i="112"/>
  <c r="AH37" i="112"/>
  <c r="AG37" i="112"/>
  <c r="AF37" i="112"/>
  <c r="AC37" i="112"/>
  <c r="Z37" i="112"/>
  <c r="W37" i="112"/>
  <c r="T37" i="112"/>
  <c r="Q37" i="112"/>
  <c r="M37" i="112"/>
  <c r="E37" i="112" s="1"/>
  <c r="L37" i="112"/>
  <c r="D37" i="112" s="1"/>
  <c r="K37" i="112"/>
  <c r="AI36" i="112"/>
  <c r="AH36" i="112"/>
  <c r="AG36" i="112"/>
  <c r="N36" i="112"/>
  <c r="M36" i="112"/>
  <c r="L36" i="112"/>
  <c r="AI35" i="112"/>
  <c r="AH35" i="112"/>
  <c r="AG35" i="112"/>
  <c r="N35" i="112"/>
  <c r="M35" i="112"/>
  <c r="L35" i="112"/>
  <c r="AU34" i="112"/>
  <c r="AU126" i="112" s="1"/>
  <c r="AT34" i="112"/>
  <c r="AT126" i="112" s="1"/>
  <c r="AS34" i="112"/>
  <c r="AR34" i="112"/>
  <c r="AR126" i="112" s="1"/>
  <c r="AQ34" i="112"/>
  <c r="AQ126" i="112" s="1"/>
  <c r="AP34" i="112"/>
  <c r="AO34" i="112"/>
  <c r="AO126" i="112" s="1"/>
  <c r="AN34" i="112"/>
  <c r="AN126" i="112" s="1"/>
  <c r="AM34" i="112"/>
  <c r="AL34" i="112"/>
  <c r="AL126" i="112" s="1"/>
  <c r="AK34" i="112"/>
  <c r="AK126" i="112" s="1"/>
  <c r="AJ34" i="112"/>
  <c r="AF34" i="112"/>
  <c r="AF126" i="112" s="1"/>
  <c r="AE34" i="112"/>
  <c r="AE126" i="112" s="1"/>
  <c r="AD34" i="112"/>
  <c r="AC34" i="112"/>
  <c r="AC126" i="112" s="1"/>
  <c r="AB34" i="112"/>
  <c r="AB126" i="112" s="1"/>
  <c r="AA34" i="112"/>
  <c r="Z34" i="112"/>
  <c r="Z126" i="112" s="1"/>
  <c r="Y34" i="112"/>
  <c r="Y126" i="112" s="1"/>
  <c r="X34" i="112"/>
  <c r="W34" i="112"/>
  <c r="W126" i="112" s="1"/>
  <c r="V34" i="112"/>
  <c r="V126" i="112" s="1"/>
  <c r="U34" i="112"/>
  <c r="S34" i="112"/>
  <c r="S126" i="112" s="1"/>
  <c r="R34" i="112"/>
  <c r="Q34" i="112"/>
  <c r="Q126" i="112" s="1"/>
  <c r="P34" i="112"/>
  <c r="P126" i="112" s="1"/>
  <c r="O34" i="112"/>
  <c r="J34" i="112"/>
  <c r="J126" i="112" s="1"/>
  <c r="I34" i="112"/>
  <c r="AI33" i="112"/>
  <c r="AH33" i="112"/>
  <c r="AG33" i="112"/>
  <c r="N33" i="112"/>
  <c r="M33" i="112"/>
  <c r="L33" i="112"/>
  <c r="AI32" i="112"/>
  <c r="AH32" i="112"/>
  <c r="AG32" i="112"/>
  <c r="N32" i="112"/>
  <c r="M32" i="112"/>
  <c r="L32" i="112"/>
  <c r="AI31" i="112"/>
  <c r="AH31" i="112"/>
  <c r="AG31" i="112"/>
  <c r="N31" i="112"/>
  <c r="M31" i="112"/>
  <c r="L31" i="112"/>
  <c r="AI30" i="112"/>
  <c r="AH30" i="112"/>
  <c r="AG30" i="112"/>
  <c r="N30" i="112"/>
  <c r="M30" i="112"/>
  <c r="L30" i="112"/>
  <c r="AI29" i="112"/>
  <c r="AH29" i="112"/>
  <c r="AG29" i="112"/>
  <c r="N29" i="112"/>
  <c r="M29" i="112"/>
  <c r="L29" i="112"/>
  <c r="AI28" i="112"/>
  <c r="AH28" i="112"/>
  <c r="AG28" i="112"/>
  <c r="N28" i="112"/>
  <c r="M28" i="112"/>
  <c r="L28" i="112"/>
  <c r="AI27" i="112"/>
  <c r="AH27" i="112"/>
  <c r="AG27" i="112"/>
  <c r="N27" i="112"/>
  <c r="M27" i="112"/>
  <c r="L27" i="112"/>
  <c r="AI26" i="112"/>
  <c r="AH26" i="112"/>
  <c r="AG26" i="112"/>
  <c r="N26" i="112"/>
  <c r="M26" i="112"/>
  <c r="L26" i="112"/>
  <c r="AI25" i="112"/>
  <c r="AH25" i="112"/>
  <c r="AG25" i="112"/>
  <c r="N25" i="112"/>
  <c r="M25" i="112"/>
  <c r="L25" i="112"/>
  <c r="AI24" i="112"/>
  <c r="AH24" i="112"/>
  <c r="AG24" i="112"/>
  <c r="N24" i="112"/>
  <c r="M24" i="112"/>
  <c r="L24" i="112"/>
  <c r="AI23" i="112"/>
  <c r="AH23" i="112"/>
  <c r="AG23" i="112"/>
  <c r="N23" i="112"/>
  <c r="M23" i="112"/>
  <c r="L23" i="112"/>
  <c r="AI22" i="112"/>
  <c r="AH22" i="112"/>
  <c r="AG22" i="112"/>
  <c r="N22" i="112"/>
  <c r="M22" i="112"/>
  <c r="L22" i="112"/>
  <c r="AI21" i="112"/>
  <c r="AH21" i="112"/>
  <c r="AG21" i="112"/>
  <c r="N21" i="112"/>
  <c r="M21" i="112"/>
  <c r="L21" i="112"/>
  <c r="N20" i="112"/>
  <c r="G20" i="112" s="1"/>
  <c r="N19" i="112"/>
  <c r="G19" i="112" s="1"/>
  <c r="N18" i="112"/>
  <c r="G18" i="112" s="1"/>
  <c r="N17" i="112"/>
  <c r="G17" i="112" s="1"/>
  <c r="N16" i="112"/>
  <c r="G16" i="112" s="1"/>
  <c r="N15" i="112"/>
  <c r="G15" i="112" s="1"/>
  <c r="N14" i="112"/>
  <c r="G14" i="112" s="1"/>
  <c r="N13" i="112"/>
  <c r="G13" i="112" s="1"/>
  <c r="N11" i="112"/>
  <c r="G11" i="112" s="1"/>
  <c r="N10" i="112"/>
  <c r="G10" i="112" s="1"/>
  <c r="N9" i="112"/>
  <c r="G9" i="112" s="1"/>
  <c r="N8" i="112"/>
  <c r="G8" i="112" s="1"/>
  <c r="N7" i="112"/>
  <c r="G7" i="112" s="1"/>
  <c r="N6" i="112"/>
  <c r="G6" i="112" s="1"/>
  <c r="N5" i="112"/>
  <c r="G5" i="112" s="1"/>
  <c r="N4" i="112"/>
  <c r="N3" i="112"/>
  <c r="G3" i="112" s="1"/>
  <c r="AI2" i="112"/>
  <c r="AH2" i="112"/>
  <c r="AG2" i="112"/>
  <c r="T2" i="112"/>
  <c r="T34" i="112" s="1"/>
  <c r="T126" i="112" s="1"/>
  <c r="M2" i="112"/>
  <c r="L2" i="112"/>
  <c r="E103" i="112" l="1"/>
  <c r="G86" i="112"/>
  <c r="D44" i="112"/>
  <c r="G45" i="112"/>
  <c r="E65" i="112"/>
  <c r="E73" i="112"/>
  <c r="E61" i="112"/>
  <c r="D84" i="112"/>
  <c r="G85" i="112"/>
  <c r="G52" i="112"/>
  <c r="G57" i="112"/>
  <c r="E71" i="112"/>
  <c r="G76" i="112"/>
  <c r="D68" i="112"/>
  <c r="G69" i="112"/>
  <c r="D72" i="112"/>
  <c r="E77" i="112"/>
  <c r="D87" i="112"/>
  <c r="D28" i="112"/>
  <c r="G29" i="112"/>
  <c r="D32" i="112"/>
  <c r="E40" i="112"/>
  <c r="E100" i="112"/>
  <c r="E117" i="112"/>
  <c r="D79" i="112"/>
  <c r="E88" i="112"/>
  <c r="Z42" i="112"/>
  <c r="Z123" i="112" s="1"/>
  <c r="Z125" i="112" s="1"/>
  <c r="Z127" i="112" s="1"/>
  <c r="AI41" i="112"/>
  <c r="G64" i="112"/>
  <c r="D111" i="112"/>
  <c r="D21" i="112"/>
  <c r="E24" i="112"/>
  <c r="E28" i="112"/>
  <c r="G102" i="112"/>
  <c r="G100" i="112"/>
  <c r="D103" i="112"/>
  <c r="G104" i="112"/>
  <c r="E107" i="112"/>
  <c r="G109" i="112"/>
  <c r="D112" i="112"/>
  <c r="F112" i="112" s="1"/>
  <c r="D116" i="112"/>
  <c r="G117" i="112"/>
  <c r="D62" i="112"/>
  <c r="D70" i="112"/>
  <c r="E49" i="112"/>
  <c r="E122" i="112"/>
  <c r="D46" i="112"/>
  <c r="D50" i="112"/>
  <c r="G51" i="112"/>
  <c r="D109" i="112"/>
  <c r="D113" i="112"/>
  <c r="G114" i="112"/>
  <c r="D121" i="112"/>
  <c r="G122" i="112"/>
  <c r="D27" i="112"/>
  <c r="D114" i="112"/>
  <c r="G115" i="112"/>
  <c r="D2" i="112"/>
  <c r="G110" i="112"/>
  <c r="E111" i="112"/>
  <c r="E119" i="112"/>
  <c r="E78" i="112"/>
  <c r="E35" i="112"/>
  <c r="G39" i="112"/>
  <c r="E81" i="112"/>
  <c r="E85" i="112"/>
  <c r="E98" i="112"/>
  <c r="E53" i="112"/>
  <c r="G94" i="112"/>
  <c r="AI38" i="112"/>
  <c r="G68" i="112"/>
  <c r="E84" i="112"/>
  <c r="F84" i="112" s="1"/>
  <c r="M108" i="112"/>
  <c r="E29" i="112"/>
  <c r="D48" i="112"/>
  <c r="G49" i="112"/>
  <c r="D52" i="112"/>
  <c r="D91" i="112"/>
  <c r="D95" i="112"/>
  <c r="D100" i="112"/>
  <c r="F100" i="112" s="1"/>
  <c r="G101" i="112"/>
  <c r="D104" i="112"/>
  <c r="AD123" i="112"/>
  <c r="D120" i="112"/>
  <c r="E52" i="112"/>
  <c r="F52" i="112" s="1"/>
  <c r="D81" i="112"/>
  <c r="D89" i="112"/>
  <c r="G31" i="112"/>
  <c r="AR42" i="112"/>
  <c r="AR123" i="112" s="1"/>
  <c r="AR125" i="112" s="1"/>
  <c r="AR127" i="112" s="1"/>
  <c r="AI43" i="112"/>
  <c r="E50" i="112"/>
  <c r="E63" i="112"/>
  <c r="G88" i="112"/>
  <c r="E89" i="112"/>
  <c r="D94" i="112"/>
  <c r="E102" i="112"/>
  <c r="E91" i="112"/>
  <c r="E95" i="112"/>
  <c r="G46" i="112"/>
  <c r="E47" i="112"/>
  <c r="D53" i="112"/>
  <c r="F53" i="112" s="1"/>
  <c r="G59" i="112"/>
  <c r="E68" i="112"/>
  <c r="E75" i="112"/>
  <c r="E79" i="112"/>
  <c r="F79" i="112" s="1"/>
  <c r="E83" i="112"/>
  <c r="G93" i="112"/>
  <c r="AO42" i="112"/>
  <c r="AO123" i="112" s="1"/>
  <c r="AO125" i="112" s="1"/>
  <c r="AO127" i="112" s="1"/>
  <c r="D99" i="112"/>
  <c r="G75" i="112"/>
  <c r="G79" i="112"/>
  <c r="AI108" i="112"/>
  <c r="F41" i="112"/>
  <c r="N2" i="112"/>
  <c r="G2" i="112" s="1"/>
  <c r="D26" i="112"/>
  <c r="AI40" i="112"/>
  <c r="D60" i="112"/>
  <c r="D65" i="112"/>
  <c r="F65" i="112" s="1"/>
  <c r="G82" i="112"/>
  <c r="E94" i="112"/>
  <c r="D98" i="112"/>
  <c r="G99" i="112"/>
  <c r="G107" i="112"/>
  <c r="G119" i="112"/>
  <c r="D40" i="112"/>
  <c r="L43" i="112"/>
  <c r="E60" i="112"/>
  <c r="D93" i="112"/>
  <c r="E109" i="112"/>
  <c r="G22" i="112"/>
  <c r="G26" i="112"/>
  <c r="E27" i="112"/>
  <c r="G32" i="112"/>
  <c r="D36" i="112"/>
  <c r="E39" i="112"/>
  <c r="D45" i="112"/>
  <c r="D54" i="112"/>
  <c r="D59" i="112"/>
  <c r="D76" i="112"/>
  <c r="G77" i="112"/>
  <c r="D80" i="112"/>
  <c r="D86" i="112"/>
  <c r="G92" i="112"/>
  <c r="E93" i="112"/>
  <c r="F93" i="112" s="1"/>
  <c r="G96" i="112"/>
  <c r="D97" i="112"/>
  <c r="F97" i="112" s="1"/>
  <c r="G98" i="112"/>
  <c r="E101" i="112"/>
  <c r="D105" i="112"/>
  <c r="R123" i="112"/>
  <c r="D117" i="112"/>
  <c r="G118" i="112"/>
  <c r="E120" i="112"/>
  <c r="G121" i="112"/>
  <c r="E21" i="112"/>
  <c r="E25" i="112"/>
  <c r="D29" i="112"/>
  <c r="D33" i="112"/>
  <c r="D57" i="112"/>
  <c r="E76" i="112"/>
  <c r="E86" i="112"/>
  <c r="D92" i="112"/>
  <c r="AT123" i="112"/>
  <c r="AT125" i="112" s="1"/>
  <c r="AT127" i="112" s="1"/>
  <c r="D115" i="112"/>
  <c r="G116" i="112"/>
  <c r="G24" i="112"/>
  <c r="N37" i="112"/>
  <c r="E46" i="112"/>
  <c r="F46" i="112" s="1"/>
  <c r="D73" i="112"/>
  <c r="G84" i="112"/>
  <c r="E22" i="112"/>
  <c r="E33" i="112"/>
  <c r="G36" i="112"/>
  <c r="D61" i="112"/>
  <c r="D67" i="112"/>
  <c r="D71" i="112"/>
  <c r="F71" i="112" s="1"/>
  <c r="G72" i="112"/>
  <c r="G91" i="112"/>
  <c r="E92" i="112"/>
  <c r="G95" i="112"/>
  <c r="E96" i="112"/>
  <c r="G97" i="112"/>
  <c r="E99" i="112"/>
  <c r="M34" i="112"/>
  <c r="M126" i="112" s="1"/>
  <c r="D25" i="112"/>
  <c r="D30" i="112"/>
  <c r="M42" i="112"/>
  <c r="G44" i="112"/>
  <c r="E45" i="112"/>
  <c r="G50" i="112"/>
  <c r="E51" i="112"/>
  <c r="D58" i="112"/>
  <c r="E59" i="112"/>
  <c r="D64" i="112"/>
  <c r="D69" i="112"/>
  <c r="E70" i="112"/>
  <c r="F70" i="112" s="1"/>
  <c r="E74" i="112"/>
  <c r="D77" i="112"/>
  <c r="G80" i="112"/>
  <c r="E87" i="112"/>
  <c r="E105" i="112"/>
  <c r="J123" i="112"/>
  <c r="J125" i="112" s="1"/>
  <c r="J127" i="112" s="1"/>
  <c r="AG108" i="112"/>
  <c r="AG34" i="112"/>
  <c r="N43" i="112"/>
  <c r="E58" i="112"/>
  <c r="D63" i="112"/>
  <c r="E64" i="112"/>
  <c r="E69" i="112"/>
  <c r="D101" i="112"/>
  <c r="F101" i="112" s="1"/>
  <c r="D102" i="112"/>
  <c r="E116" i="112"/>
  <c r="E2" i="112"/>
  <c r="D23" i="112"/>
  <c r="AG42" i="112"/>
  <c r="AH42" i="112"/>
  <c r="W42" i="112"/>
  <c r="W123" i="112" s="1"/>
  <c r="W125" i="112" s="1"/>
  <c r="W127" i="112" s="1"/>
  <c r="D39" i="112"/>
  <c r="N40" i="112"/>
  <c r="G40" i="112" s="1"/>
  <c r="N41" i="112"/>
  <c r="G41" i="112" s="1"/>
  <c r="G54" i="112"/>
  <c r="E56" i="112"/>
  <c r="D66" i="112"/>
  <c r="G67" i="112"/>
  <c r="E72" i="112"/>
  <c r="G73" i="112"/>
  <c r="D75" i="112"/>
  <c r="E82" i="112"/>
  <c r="D85" i="112"/>
  <c r="E106" i="112"/>
  <c r="E115" i="112"/>
  <c r="D122" i="112"/>
  <c r="E120" i="75"/>
  <c r="G27" i="112"/>
  <c r="D31" i="112"/>
  <c r="E32" i="112"/>
  <c r="G33" i="112"/>
  <c r="G47" i="112"/>
  <c r="G53" i="112"/>
  <c r="AG55" i="112"/>
  <c r="D56" i="112"/>
  <c r="E66" i="112"/>
  <c r="G83" i="112"/>
  <c r="D88" i="112"/>
  <c r="L90" i="112"/>
  <c r="M90" i="112"/>
  <c r="N108" i="112"/>
  <c r="V123" i="112"/>
  <c r="V125" i="112" s="1"/>
  <c r="V127" i="112" s="1"/>
  <c r="G112" i="112"/>
  <c r="G113" i="112"/>
  <c r="E114" i="112"/>
  <c r="E118" i="112"/>
  <c r="G120" i="112"/>
  <c r="D22" i="112"/>
  <c r="AI34" i="112"/>
  <c r="AI126" i="112" s="1"/>
  <c r="E26" i="112"/>
  <c r="E31" i="112"/>
  <c r="D47" i="112"/>
  <c r="D51" i="112"/>
  <c r="E54" i="112"/>
  <c r="G60" i="112"/>
  <c r="E62" i="112"/>
  <c r="F62" i="112" s="1"/>
  <c r="G66" i="112"/>
  <c r="E67" i="112"/>
  <c r="G71" i="112"/>
  <c r="D78" i="112"/>
  <c r="E80" i="112"/>
  <c r="G81" i="112"/>
  <c r="D83" i="112"/>
  <c r="G89" i="112"/>
  <c r="D106" i="112"/>
  <c r="D107" i="112"/>
  <c r="G111" i="112"/>
  <c r="E121" i="112"/>
  <c r="AP123" i="112"/>
  <c r="E112" i="112"/>
  <c r="E113" i="112"/>
  <c r="D118" i="112"/>
  <c r="D119" i="112"/>
  <c r="E27" i="75"/>
  <c r="C27" i="75" s="1"/>
  <c r="D24" i="112"/>
  <c r="E30" i="112"/>
  <c r="AF42" i="112"/>
  <c r="AF123" i="112" s="1"/>
  <c r="AF125" i="112" s="1"/>
  <c r="AF127" i="112" s="1"/>
  <c r="D96" i="112"/>
  <c r="F96" i="112" s="1"/>
  <c r="G106" i="112"/>
  <c r="E124" i="75"/>
  <c r="E129" i="75"/>
  <c r="E137" i="75"/>
  <c r="E50" i="75"/>
  <c r="E108" i="75"/>
  <c r="E116" i="75"/>
  <c r="E112" i="75"/>
  <c r="E52" i="75"/>
  <c r="E111" i="75"/>
  <c r="E115" i="75"/>
  <c r="E119" i="75"/>
  <c r="E123" i="75"/>
  <c r="E128" i="75"/>
  <c r="E132" i="75"/>
  <c r="E136" i="75"/>
  <c r="L38" i="75"/>
  <c r="E110" i="75"/>
  <c r="E114" i="75"/>
  <c r="E118" i="75"/>
  <c r="E122" i="75"/>
  <c r="E127" i="75"/>
  <c r="L130" i="75"/>
  <c r="E131" i="75"/>
  <c r="E135" i="75"/>
  <c r="C140" i="75"/>
  <c r="E49" i="75"/>
  <c r="E57" i="75"/>
  <c r="L108" i="75"/>
  <c r="E109" i="75"/>
  <c r="E113" i="75"/>
  <c r="E117" i="75"/>
  <c r="E121" i="75"/>
  <c r="E126" i="75"/>
  <c r="E130" i="75"/>
  <c r="L133" i="75"/>
  <c r="C133" i="75" s="1"/>
  <c r="E134" i="75"/>
  <c r="J107" i="75"/>
  <c r="L115" i="75"/>
  <c r="L123" i="75"/>
  <c r="L132" i="75"/>
  <c r="L127" i="75"/>
  <c r="L137" i="75"/>
  <c r="L135" i="75"/>
  <c r="L136" i="75"/>
  <c r="L131" i="75"/>
  <c r="L134" i="75"/>
  <c r="L126" i="75"/>
  <c r="L111" i="75"/>
  <c r="L119" i="75"/>
  <c r="M125" i="75"/>
  <c r="I125" i="75"/>
  <c r="L113" i="75"/>
  <c r="L114" i="75"/>
  <c r="L116" i="75"/>
  <c r="L121" i="75"/>
  <c r="L122" i="75"/>
  <c r="L124" i="75"/>
  <c r="L129" i="75"/>
  <c r="J125" i="75"/>
  <c r="L109" i="75"/>
  <c r="I107" i="75"/>
  <c r="L110" i="75"/>
  <c r="L112" i="75"/>
  <c r="L117" i="75"/>
  <c r="L118" i="75"/>
  <c r="L120" i="75"/>
  <c r="L128" i="75"/>
  <c r="K125" i="75"/>
  <c r="M107" i="75"/>
  <c r="M5" i="75"/>
  <c r="M47" i="75" s="1"/>
  <c r="L49" i="75"/>
  <c r="C34" i="75"/>
  <c r="L57" i="75"/>
  <c r="L33" i="75"/>
  <c r="L50" i="75"/>
  <c r="L52" i="75"/>
  <c r="M58" i="75"/>
  <c r="K58" i="75"/>
  <c r="G4" i="112"/>
  <c r="J5" i="75"/>
  <c r="J47" i="75" s="1"/>
  <c r="G103" i="112"/>
  <c r="N90" i="112"/>
  <c r="E110" i="112"/>
  <c r="AH108" i="112"/>
  <c r="AH34" i="112"/>
  <c r="AH126" i="112" s="1"/>
  <c r="AI37" i="112"/>
  <c r="AL42" i="112"/>
  <c r="AL123" i="112" s="1"/>
  <c r="AL125" i="112" s="1"/>
  <c r="AL127" i="112" s="1"/>
  <c r="AI55" i="112"/>
  <c r="P123" i="112"/>
  <c r="P125" i="112" s="1"/>
  <c r="P127" i="112" s="1"/>
  <c r="X123" i="112"/>
  <c r="AB123" i="112"/>
  <c r="AB125" i="112" s="1"/>
  <c r="AB127" i="112" s="1"/>
  <c r="L42" i="112"/>
  <c r="E23" i="112"/>
  <c r="F37" i="112"/>
  <c r="E48" i="112"/>
  <c r="M43" i="112"/>
  <c r="G58" i="112"/>
  <c r="N55" i="112"/>
  <c r="G21" i="112"/>
  <c r="L34" i="112"/>
  <c r="G25" i="112"/>
  <c r="G28" i="112"/>
  <c r="K42" i="112"/>
  <c r="K123" i="112" s="1"/>
  <c r="K125" i="112" s="1"/>
  <c r="K127" i="112" s="1"/>
  <c r="F38" i="112"/>
  <c r="Q42" i="112"/>
  <c r="Q123" i="112" s="1"/>
  <c r="Q125" i="112" s="1"/>
  <c r="Q127" i="112" s="1"/>
  <c r="N38" i="112"/>
  <c r="AC42" i="112"/>
  <c r="AC123" i="112" s="1"/>
  <c r="AC125" i="112" s="1"/>
  <c r="AC127" i="112" s="1"/>
  <c r="G48" i="112"/>
  <c r="D49" i="112"/>
  <c r="AG43" i="112"/>
  <c r="G65" i="112"/>
  <c r="D74" i="112"/>
  <c r="F74" i="112" s="1"/>
  <c r="L108" i="112"/>
  <c r="D110" i="112"/>
  <c r="G23" i="112"/>
  <c r="G30" i="112"/>
  <c r="AU42" i="112"/>
  <c r="AU123" i="112" s="1"/>
  <c r="AU125" i="112" s="1"/>
  <c r="AU127" i="112" s="1"/>
  <c r="T42" i="112"/>
  <c r="T123" i="112" s="1"/>
  <c r="T125" i="112" s="1"/>
  <c r="T127" i="112" s="1"/>
  <c r="E44" i="112"/>
  <c r="AH43" i="112"/>
  <c r="M55" i="112"/>
  <c r="L55" i="112"/>
  <c r="E57" i="112"/>
  <c r="AH55" i="112"/>
  <c r="F61" i="112"/>
  <c r="G63" i="112"/>
  <c r="D82" i="112"/>
  <c r="AK123" i="112"/>
  <c r="AK125" i="112" s="1"/>
  <c r="AK127" i="112" s="1"/>
  <c r="AS123" i="112"/>
  <c r="G35" i="112"/>
  <c r="E36" i="112"/>
  <c r="AG90" i="112"/>
  <c r="I123" i="112"/>
  <c r="AM123" i="112"/>
  <c r="AQ123" i="112"/>
  <c r="AQ125" i="112" s="1"/>
  <c r="AQ127" i="112" s="1"/>
  <c r="D35" i="112"/>
  <c r="AI90" i="112"/>
  <c r="O123" i="112"/>
  <c r="S123" i="112"/>
  <c r="S125" i="112" s="1"/>
  <c r="S127" i="112" s="1"/>
  <c r="AA123" i="112"/>
  <c r="AE123" i="112"/>
  <c r="AE125" i="112" s="1"/>
  <c r="AE127" i="112" s="1"/>
  <c r="AJ123" i="112"/>
  <c r="AN123" i="112"/>
  <c r="AN125" i="112" s="1"/>
  <c r="AN127" i="112" s="1"/>
  <c r="E104" i="112"/>
  <c r="AH90" i="112"/>
  <c r="U123" i="112"/>
  <c r="Y123" i="112"/>
  <c r="Y125" i="112" s="1"/>
  <c r="Y127" i="112" s="1"/>
  <c r="F121" i="112"/>
  <c r="G38" i="112" l="1"/>
  <c r="F27" i="112"/>
  <c r="F24" i="112"/>
  <c r="F39" i="112"/>
  <c r="F107" i="112"/>
  <c r="F72" i="112"/>
  <c r="F73" i="112"/>
  <c r="C48" i="117"/>
  <c r="F36" i="112"/>
  <c r="F68" i="112"/>
  <c r="F40" i="112"/>
  <c r="C120" i="75"/>
  <c r="F111" i="112"/>
  <c r="F78" i="112"/>
  <c r="F87" i="112"/>
  <c r="F83" i="112"/>
  <c r="F88" i="112"/>
  <c r="F113" i="112"/>
  <c r="F77" i="112"/>
  <c r="F98" i="112"/>
  <c r="F116" i="112"/>
  <c r="G108" i="112"/>
  <c r="F119" i="112"/>
  <c r="F115" i="112"/>
  <c r="C124" i="75"/>
  <c r="D42" i="112"/>
  <c r="AI42" i="112"/>
  <c r="G37" i="112"/>
  <c r="F102" i="112"/>
  <c r="F59" i="112"/>
  <c r="F29" i="112"/>
  <c r="F109" i="112"/>
  <c r="F81" i="112"/>
  <c r="F114" i="112"/>
  <c r="F45" i="112"/>
  <c r="F75" i="112"/>
  <c r="M123" i="112"/>
  <c r="M125" i="112" s="1"/>
  <c r="M127" i="112" s="1"/>
  <c r="F85" i="112"/>
  <c r="F2" i="112"/>
  <c r="F104" i="112"/>
  <c r="F89" i="112"/>
  <c r="D108" i="112"/>
  <c r="F86" i="112"/>
  <c r="F95" i="112"/>
  <c r="F91" i="112"/>
  <c r="F63" i="112"/>
  <c r="H58" i="75"/>
  <c r="F51" i="112"/>
  <c r="E42" i="112"/>
  <c r="M139" i="75"/>
  <c r="M141" i="75" s="1"/>
  <c r="M143" i="75" s="1"/>
  <c r="M144" i="75" s="1"/>
  <c r="F92" i="112"/>
  <c r="C129" i="75"/>
  <c r="F22" i="112"/>
  <c r="F105" i="112"/>
  <c r="F25" i="112"/>
  <c r="AG123" i="112"/>
  <c r="I58" i="75"/>
  <c r="F80" i="112"/>
  <c r="F99" i="112"/>
  <c r="F76" i="112"/>
  <c r="G90" i="112"/>
  <c r="D34" i="112"/>
  <c r="F47" i="112"/>
  <c r="F94" i="112"/>
  <c r="F106" i="112"/>
  <c r="F60" i="112"/>
  <c r="F56" i="112"/>
  <c r="AI123" i="112"/>
  <c r="AI125" i="112" s="1"/>
  <c r="AI127" i="112" s="1"/>
  <c r="N34" i="112"/>
  <c r="N126" i="112" s="1"/>
  <c r="C50" i="75"/>
  <c r="G58" i="75"/>
  <c r="F57" i="112"/>
  <c r="G43" i="112"/>
  <c r="F67" i="112"/>
  <c r="D43" i="112"/>
  <c r="L123" i="112"/>
  <c r="F82" i="112"/>
  <c r="J58" i="75"/>
  <c r="F69" i="112"/>
  <c r="D90" i="112"/>
  <c r="F54" i="112"/>
  <c r="F30" i="112"/>
  <c r="P58" i="75"/>
  <c r="F64" i="112"/>
  <c r="G55" i="112"/>
  <c r="D55" i="112"/>
  <c r="C114" i="75"/>
  <c r="F58" i="112"/>
  <c r="C83" i="111"/>
  <c r="AH123" i="112"/>
  <c r="AH125" i="112" s="1"/>
  <c r="AH127" i="112" s="1"/>
  <c r="C52" i="75"/>
  <c r="F118" i="112"/>
  <c r="C112" i="75"/>
  <c r="C116" i="75"/>
  <c r="C137" i="75"/>
  <c r="C108" i="75"/>
  <c r="C132" i="75"/>
  <c r="C136" i="75"/>
  <c r="C117" i="75"/>
  <c r="C127" i="75"/>
  <c r="C113" i="75"/>
  <c r="C119" i="75"/>
  <c r="O58" i="75"/>
  <c r="C49" i="75"/>
  <c r="I139" i="75"/>
  <c r="C110" i="75"/>
  <c r="J139" i="75"/>
  <c r="C126" i="75"/>
  <c r="E125" i="75"/>
  <c r="C109" i="75"/>
  <c r="C57" i="75"/>
  <c r="C135" i="75"/>
  <c r="C122" i="75"/>
  <c r="C128" i="75"/>
  <c r="C111" i="75"/>
  <c r="E54" i="75"/>
  <c r="C130" i="75"/>
  <c r="C115" i="75"/>
  <c r="E55" i="75"/>
  <c r="C134" i="75"/>
  <c r="C121" i="75"/>
  <c r="F58" i="75"/>
  <c r="C131" i="75"/>
  <c r="C118" i="75"/>
  <c r="C123" i="75"/>
  <c r="E107" i="75"/>
  <c r="G34" i="112"/>
  <c r="G126" i="112" s="1"/>
  <c r="E90" i="112"/>
  <c r="E55" i="112"/>
  <c r="G42" i="112"/>
  <c r="N42" i="112"/>
  <c r="N123" i="112" s="1"/>
  <c r="N125" i="112" s="1"/>
  <c r="F49" i="112"/>
  <c r="E43" i="112"/>
  <c r="F43" i="112" s="1"/>
  <c r="F44" i="112"/>
  <c r="F110" i="112"/>
  <c r="E108" i="112"/>
  <c r="E34" i="112"/>
  <c r="F23" i="112"/>
  <c r="F35" i="112"/>
  <c r="J47" i="111"/>
  <c r="J73" i="111" s="1"/>
  <c r="K47" i="111"/>
  <c r="K73" i="111" s="1"/>
  <c r="L56" i="75" l="1"/>
  <c r="H6" i="107"/>
  <c r="F42" i="112"/>
  <c r="N127" i="112"/>
  <c r="D123" i="112"/>
  <c r="E56" i="75"/>
  <c r="F90" i="112"/>
  <c r="G123" i="112"/>
  <c r="G125" i="112" s="1"/>
  <c r="G127" i="112" s="1"/>
  <c r="F55" i="112"/>
  <c r="N58" i="75"/>
  <c r="C125" i="75"/>
  <c r="E139" i="75"/>
  <c r="J141" i="75"/>
  <c r="J143" i="75" s="1"/>
  <c r="J144" i="75" s="1"/>
  <c r="I141" i="75"/>
  <c r="I143" i="75" s="1"/>
  <c r="E126" i="112"/>
  <c r="F34" i="112"/>
  <c r="F108" i="112"/>
  <c r="E123" i="112"/>
  <c r="C56" i="75" l="1"/>
  <c r="E58" i="75"/>
  <c r="E141" i="75" s="1"/>
  <c r="E143" i="75" s="1"/>
  <c r="F123" i="112"/>
  <c r="E125" i="112"/>
  <c r="E127" i="112" s="1"/>
  <c r="I31" i="73"/>
  <c r="E35" i="98" l="1"/>
  <c r="I30" i="73"/>
  <c r="E34" i="98" l="1"/>
  <c r="T52" i="4"/>
  <c r="X52" i="4"/>
  <c r="S35" i="111" l="1"/>
  <c r="Q29" i="111" l="1"/>
  <c r="V7" i="1"/>
  <c r="V13" i="1" s="1"/>
  <c r="X7" i="1"/>
  <c r="X8" i="1"/>
  <c r="X11" i="1"/>
  <c r="X9" i="1"/>
  <c r="X12" i="1"/>
  <c r="Q13" i="1"/>
  <c r="R13" i="1"/>
  <c r="S13" i="1"/>
  <c r="T13" i="1"/>
  <c r="U13" i="1"/>
  <c r="Y13" i="1"/>
  <c r="Q22" i="1"/>
  <c r="N39" i="1"/>
  <c r="Q41" i="1"/>
  <c r="R41" i="1"/>
  <c r="T41" i="1"/>
  <c r="U41" i="1"/>
  <c r="V41" i="1"/>
  <c r="X13" i="1" l="1"/>
  <c r="X14" i="1" s="1"/>
  <c r="Q34" i="111" l="1"/>
  <c r="Q33" i="111"/>
  <c r="Q32" i="111"/>
  <c r="Q31" i="111"/>
  <c r="Q30" i="111"/>
  <c r="H47" i="111" l="1"/>
  <c r="I47" i="111"/>
  <c r="I73" i="111" s="1"/>
  <c r="H73" i="111" l="1"/>
  <c r="J55" i="104"/>
  <c r="K55" i="104" s="1"/>
  <c r="H11" i="4" l="1"/>
  <c r="H10" i="4"/>
  <c r="H12" i="4"/>
  <c r="CW19" i="4"/>
  <c r="CW22" i="4"/>
  <c r="E28" i="75" l="1"/>
  <c r="C28" i="75" s="1"/>
  <c r="H26" i="75"/>
  <c r="E26" i="75" s="1"/>
  <c r="U52" i="4"/>
  <c r="K16" i="75" l="1"/>
  <c r="K16" i="117"/>
  <c r="Y52" i="4"/>
  <c r="W52" i="4"/>
  <c r="V52" i="4"/>
  <c r="C26" i="75"/>
  <c r="DA52" i="4" l="1"/>
  <c r="CZ52" i="4"/>
  <c r="CC36" i="4"/>
  <c r="CC37" i="4"/>
  <c r="CE16" i="4"/>
  <c r="CD16" i="4"/>
  <c r="G16" i="117"/>
  <c r="K22" i="75" l="1"/>
  <c r="E22" i="75" s="1"/>
  <c r="C22" i="75" s="1"/>
  <c r="K22" i="117"/>
  <c r="E22" i="117" s="1"/>
  <c r="C22" i="117" s="1"/>
  <c r="K18" i="75"/>
  <c r="E18" i="75" s="1"/>
  <c r="C18" i="75" s="1"/>
  <c r="K18" i="117"/>
  <c r="E18" i="117" s="1"/>
  <c r="C18" i="117" s="1"/>
  <c r="E16" i="117"/>
  <c r="G15" i="117"/>
  <c r="G5" i="117" s="1"/>
  <c r="G47" i="117" s="1"/>
  <c r="G143" i="117" s="1"/>
  <c r="K19" i="75"/>
  <c r="E19" i="75" s="1"/>
  <c r="C19" i="75" s="1"/>
  <c r="K19" i="117"/>
  <c r="E19" i="117" s="1"/>
  <c r="C19" i="117" s="1"/>
  <c r="K24" i="75"/>
  <c r="E24" i="75" s="1"/>
  <c r="C24" i="75" s="1"/>
  <c r="K24" i="117"/>
  <c r="E24" i="117" s="1"/>
  <c r="C24" i="117" s="1"/>
  <c r="K17" i="75"/>
  <c r="E17" i="75" s="1"/>
  <c r="K17" i="117"/>
  <c r="K20" i="75"/>
  <c r="E20" i="75" s="1"/>
  <c r="C20" i="75" s="1"/>
  <c r="K20" i="117"/>
  <c r="E20" i="117" s="1"/>
  <c r="C20" i="117" s="1"/>
  <c r="BY52" i="4"/>
  <c r="CK52" i="4"/>
  <c r="CY52" i="4"/>
  <c r="AK52" i="4"/>
  <c r="AN52" i="4"/>
  <c r="BD52" i="4"/>
  <c r="BX52" i="4"/>
  <c r="CJ52" i="4"/>
  <c r="G16" i="75"/>
  <c r="E16" i="75" s="1"/>
  <c r="AO52" i="4"/>
  <c r="E17" i="117" l="1"/>
  <c r="C17" i="117" s="1"/>
  <c r="C16" i="117"/>
  <c r="BV52" i="4"/>
  <c r="C17" i="75"/>
  <c r="CH52" i="4"/>
  <c r="CB52" i="4"/>
  <c r="N31" i="75" l="1"/>
  <c r="O31" i="75"/>
  <c r="O31" i="117"/>
  <c r="O47" i="117" s="1"/>
  <c r="O143" i="117" s="1"/>
  <c r="CA52" i="4"/>
  <c r="CG52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J52" i="4"/>
  <c r="BI52" i="4"/>
  <c r="BG52" i="4"/>
  <c r="BF52" i="4"/>
  <c r="BA52" i="4"/>
  <c r="AZ52" i="4"/>
  <c r="AL52" i="4"/>
  <c r="DN47" i="4" l="1"/>
  <c r="H47" i="4"/>
  <c r="L35" i="117"/>
  <c r="N31" i="117"/>
  <c r="N47" i="117" s="1"/>
  <c r="N143" i="117" s="1"/>
  <c r="AC52" i="4"/>
  <c r="AI52" i="4"/>
  <c r="P52" i="4"/>
  <c r="AR52" i="4"/>
  <c r="AJ52" i="4"/>
  <c r="AU52" i="4"/>
  <c r="AX52" i="4"/>
  <c r="Q52" i="4"/>
  <c r="AW52" i="4"/>
  <c r="H10" i="107"/>
  <c r="BK52" i="4"/>
  <c r="AB52" i="4"/>
  <c r="AH52" i="4"/>
  <c r="I52" i="4"/>
  <c r="C35" i="117" l="1"/>
  <c r="C31" i="117" s="1"/>
  <c r="L31" i="117"/>
  <c r="L47" i="117" s="1"/>
  <c r="L143" i="117" s="1"/>
  <c r="G71" i="111"/>
  <c r="F71" i="111"/>
  <c r="E71" i="111"/>
  <c r="D71" i="111"/>
  <c r="C71" i="111"/>
  <c r="O70" i="111"/>
  <c r="O69" i="111"/>
  <c r="O68" i="111"/>
  <c r="O67" i="111"/>
  <c r="O66" i="111"/>
  <c r="O146" i="111" l="1"/>
  <c r="O71" i="111"/>
  <c r="R72" i="4"/>
  <c r="AE55" i="85" l="1"/>
  <c r="AE26" i="85"/>
  <c r="I182" i="98" l="1"/>
  <c r="H14" i="87" l="1"/>
  <c r="H13" i="104"/>
  <c r="H14" i="105" l="1"/>
  <c r="N72" i="4" l="1"/>
  <c r="N69" i="4"/>
  <c r="I13" i="73" l="1"/>
  <c r="E11" i="98" l="1"/>
  <c r="E88" i="98"/>
  <c r="K175" i="98"/>
  <c r="F47" i="111"/>
  <c r="E47" i="111"/>
  <c r="D47" i="111"/>
  <c r="C47" i="111"/>
  <c r="O46" i="111"/>
  <c r="S46" i="111" s="1"/>
  <c r="O45" i="111"/>
  <c r="S45" i="111" s="1"/>
  <c r="O44" i="111"/>
  <c r="S44" i="111" s="1"/>
  <c r="O43" i="111"/>
  <c r="S43" i="111" s="1"/>
  <c r="O42" i="111"/>
  <c r="S42" i="111" s="1"/>
  <c r="G41" i="111"/>
  <c r="N35" i="111"/>
  <c r="M35" i="111"/>
  <c r="L35" i="111"/>
  <c r="K35" i="111"/>
  <c r="J35" i="111"/>
  <c r="I35" i="111"/>
  <c r="H35" i="111"/>
  <c r="G35" i="111"/>
  <c r="F35" i="111"/>
  <c r="E35" i="111"/>
  <c r="D35" i="111"/>
  <c r="C35" i="111"/>
  <c r="O34" i="111"/>
  <c r="O33" i="111"/>
  <c r="O32" i="111"/>
  <c r="O31" i="111"/>
  <c r="O30" i="111"/>
  <c r="O29" i="11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O22" i="111"/>
  <c r="O21" i="111"/>
  <c r="O20" i="111"/>
  <c r="O19" i="111"/>
  <c r="O18" i="111"/>
  <c r="O17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O10" i="111"/>
  <c r="O9" i="111"/>
  <c r="O8" i="111"/>
  <c r="O7" i="111"/>
  <c r="O6" i="111"/>
  <c r="O5" i="111"/>
  <c r="G47" i="111" l="1"/>
  <c r="G148" i="111"/>
  <c r="C72" i="111"/>
  <c r="C73" i="111"/>
  <c r="D73" i="111"/>
  <c r="G73" i="111"/>
  <c r="E73" i="111"/>
  <c r="F73" i="111"/>
  <c r="Q11" i="111"/>
  <c r="O23" i="111"/>
  <c r="Q35" i="111"/>
  <c r="Q23" i="111"/>
  <c r="Q45" i="111"/>
  <c r="Q43" i="111"/>
  <c r="Q44" i="111"/>
  <c r="Q42" i="111"/>
  <c r="Q46" i="111"/>
  <c r="M66" i="1" s="1"/>
  <c r="O11" i="111"/>
  <c r="O35" i="111"/>
  <c r="O41" i="111"/>
  <c r="O148" i="111" s="1"/>
  <c r="M224" i="94"/>
  <c r="P23" i="111" l="1"/>
  <c r="Q41" i="111"/>
  <c r="S72" i="111" s="1"/>
  <c r="S41" i="111"/>
  <c r="P35" i="111"/>
  <c r="S47" i="111"/>
  <c r="O47" i="111"/>
  <c r="O73" i="111" s="1"/>
  <c r="DD72" i="4"/>
  <c r="DD16" i="4"/>
  <c r="P47" i="111" l="1"/>
  <c r="V14" i="1"/>
  <c r="Q47" i="111"/>
  <c r="J77" i="111" s="1"/>
  <c r="F70" i="84"/>
  <c r="H70" i="84" s="1"/>
  <c r="P71" i="111" l="1"/>
  <c r="Q71" i="111"/>
  <c r="Q72" i="111" s="1"/>
  <c r="C13" i="75" l="1"/>
  <c r="G10" i="84" l="1"/>
  <c r="E165" i="73" l="1"/>
  <c r="E164" i="73"/>
  <c r="E161" i="73"/>
  <c r="E181" i="73"/>
  <c r="E177" i="73"/>
  <c r="E176" i="73"/>
  <c r="F217" i="98"/>
  <c r="G217" i="98"/>
  <c r="H217" i="98"/>
  <c r="I217" i="98"/>
  <c r="F218" i="98"/>
  <c r="G218" i="98"/>
  <c r="H218" i="98"/>
  <c r="I218" i="98"/>
  <c r="E190" i="73" l="1"/>
  <c r="E168" i="73"/>
  <c r="F216" i="98"/>
  <c r="I216" i="98"/>
  <c r="H216" i="98"/>
  <c r="G216" i="98"/>
  <c r="L32" i="75" l="1"/>
  <c r="H5" i="108" l="1"/>
  <c r="I5" i="108" s="1"/>
  <c r="D9" i="108"/>
  <c r="E9" i="108" s="1"/>
  <c r="D5" i="108"/>
  <c r="E5" i="108" s="1"/>
  <c r="B13" i="108"/>
  <c r="C13" i="108" s="1"/>
  <c r="D13" i="108" s="1"/>
  <c r="J5" i="108" l="1"/>
  <c r="I6" i="108"/>
  <c r="C14" i="108"/>
  <c r="D14" i="108" s="1"/>
  <c r="J6" i="108" l="1"/>
  <c r="I7" i="108"/>
  <c r="C15" i="108"/>
  <c r="D15" i="108" s="1"/>
  <c r="P231" i="94"/>
  <c r="P57" i="94"/>
  <c r="P52" i="94"/>
  <c r="P37" i="94"/>
  <c r="P18" i="94"/>
  <c r="J7" i="108" l="1"/>
  <c r="I8" i="108"/>
  <c r="C16" i="108"/>
  <c r="D16" i="108" s="1"/>
  <c r="J8" i="108" l="1"/>
  <c r="I9" i="108"/>
  <c r="E16" i="108"/>
  <c r="C17" i="108"/>
  <c r="D17" i="108" s="1"/>
  <c r="I21" i="73"/>
  <c r="E20" i="98" l="1"/>
  <c r="J9" i="108"/>
  <c r="K9" i="108" s="1"/>
  <c r="I10" i="108"/>
  <c r="C18" i="108"/>
  <c r="D18" i="108" s="1"/>
  <c r="J10" i="108" l="1"/>
  <c r="I11" i="108"/>
  <c r="C19" i="108"/>
  <c r="D19" i="108" s="1"/>
  <c r="I12" i="108" l="1"/>
  <c r="J11" i="108"/>
  <c r="C20" i="108"/>
  <c r="D20" i="108" s="1"/>
  <c r="E20" i="108" s="1"/>
  <c r="E10" i="103"/>
  <c r="I13" i="108" l="1"/>
  <c r="J12" i="108"/>
  <c r="K12" i="108" s="1"/>
  <c r="C21" i="108"/>
  <c r="D21" i="108" s="1"/>
  <c r="T18" i="103"/>
  <c r="I14" i="108" l="1"/>
  <c r="J13" i="108"/>
  <c r="C22" i="108"/>
  <c r="D22" i="108" s="1"/>
  <c r="I15" i="108" l="1"/>
  <c r="J14" i="108"/>
  <c r="C23" i="108"/>
  <c r="D23" i="108" s="1"/>
  <c r="I16" i="108" l="1"/>
  <c r="J15" i="108"/>
  <c r="C24" i="108"/>
  <c r="D24" i="108" s="1"/>
  <c r="E24" i="108" s="1"/>
  <c r="H18" i="103"/>
  <c r="G18" i="103"/>
  <c r="I17" i="108" l="1"/>
  <c r="J16" i="108"/>
  <c r="K16" i="108" s="1"/>
  <c r="C25" i="108"/>
  <c r="D25" i="108" s="1"/>
  <c r="I18" i="108" l="1"/>
  <c r="J17" i="108"/>
  <c r="C26" i="108"/>
  <c r="D26" i="108" s="1"/>
  <c r="I19" i="108" l="1"/>
  <c r="J18" i="108"/>
  <c r="C27" i="108"/>
  <c r="D27" i="108" s="1"/>
  <c r="I20" i="108" l="1"/>
  <c r="J19" i="108"/>
  <c r="C28" i="108"/>
  <c r="D28" i="108" s="1"/>
  <c r="E28" i="108" s="1"/>
  <c r="I21" i="108" l="1"/>
  <c r="J20" i="108"/>
  <c r="K20" i="108" s="1"/>
  <c r="C29" i="108"/>
  <c r="D29" i="108" s="1"/>
  <c r="I22" i="108" l="1"/>
  <c r="J21" i="108"/>
  <c r="C30" i="108"/>
  <c r="D30" i="108" s="1"/>
  <c r="I23" i="108" l="1"/>
  <c r="J22" i="108"/>
  <c r="C31" i="108"/>
  <c r="D31" i="108" s="1"/>
  <c r="I24" i="108" l="1"/>
  <c r="J23" i="108"/>
  <c r="C32" i="108"/>
  <c r="D32" i="108" s="1"/>
  <c r="E32" i="108" s="1"/>
  <c r="I25" i="108" l="1"/>
  <c r="J24" i="108"/>
  <c r="K24" i="108" s="1"/>
  <c r="C33" i="108"/>
  <c r="D33" i="108" s="1"/>
  <c r="I26" i="108" l="1"/>
  <c r="J25" i="108"/>
  <c r="C34" i="108"/>
  <c r="D34" i="108" s="1"/>
  <c r="I127" i="73"/>
  <c r="E157" i="98" l="1"/>
  <c r="I27" i="108"/>
  <c r="J26" i="108"/>
  <c r="C35" i="108"/>
  <c r="D35" i="108" s="1"/>
  <c r="I28" i="108" l="1"/>
  <c r="J27" i="108"/>
  <c r="C36" i="108"/>
  <c r="D36" i="108" s="1"/>
  <c r="E36" i="108" s="1"/>
  <c r="D218" i="98" l="1"/>
  <c r="I29" i="108"/>
  <c r="J28" i="108"/>
  <c r="K28" i="108" s="1"/>
  <c r="C37" i="108"/>
  <c r="D37" i="108" s="1"/>
  <c r="I30" i="108" l="1"/>
  <c r="J29" i="108"/>
  <c r="C38" i="108"/>
  <c r="D38" i="108" s="1"/>
  <c r="I31" i="108" l="1"/>
  <c r="J30" i="108"/>
  <c r="C39" i="108"/>
  <c r="D39" i="108" s="1"/>
  <c r="E195" i="73"/>
  <c r="I32" i="108" l="1"/>
  <c r="J31" i="108"/>
  <c r="C40" i="108"/>
  <c r="D40" i="108" s="1"/>
  <c r="E40" i="108" s="1"/>
  <c r="E27" i="103"/>
  <c r="E17" i="103"/>
  <c r="I33" i="108" l="1"/>
  <c r="J32" i="108"/>
  <c r="K32" i="108" s="1"/>
  <c r="C41" i="108"/>
  <c r="D41" i="108" s="1"/>
  <c r="E15" i="103"/>
  <c r="F12" i="103"/>
  <c r="I34" i="108" l="1"/>
  <c r="J33" i="108"/>
  <c r="C42" i="108"/>
  <c r="D42" i="108" s="1"/>
  <c r="I164" i="98"/>
  <c r="I213" i="98" s="1"/>
  <c r="H164" i="98"/>
  <c r="H213" i="98" s="1"/>
  <c r="G164" i="98"/>
  <c r="G213" i="98" s="1"/>
  <c r="F213" i="98"/>
  <c r="C149" i="84"/>
  <c r="C148" i="84"/>
  <c r="I35" i="108" l="1"/>
  <c r="J34" i="108"/>
  <c r="C43" i="108"/>
  <c r="D43" i="108" s="1"/>
  <c r="J6" i="107"/>
  <c r="I36" i="108" l="1"/>
  <c r="J35" i="108"/>
  <c r="C44" i="108"/>
  <c r="D44" i="108" s="1"/>
  <c r="E44" i="108" s="1"/>
  <c r="K6" i="107"/>
  <c r="D13" i="107"/>
  <c r="I37" i="108" l="1"/>
  <c r="J36" i="108"/>
  <c r="K36" i="108" s="1"/>
  <c r="C45" i="108"/>
  <c r="D45" i="108" s="1"/>
  <c r="D12" i="107"/>
  <c r="D14" i="107" s="1"/>
  <c r="I38" i="108" l="1"/>
  <c r="J37" i="108"/>
  <c r="C46" i="108"/>
  <c r="D46" i="108" s="1"/>
  <c r="F17" i="103"/>
  <c r="F13" i="103"/>
  <c r="F26" i="103" l="1"/>
  <c r="I39" i="108"/>
  <c r="J38" i="108"/>
  <c r="C47" i="108"/>
  <c r="D47" i="108" s="1"/>
  <c r="F27" i="103"/>
  <c r="BJ40" i="85"/>
  <c r="I40" i="108" l="1"/>
  <c r="J39" i="108"/>
  <c r="C48" i="108"/>
  <c r="D48" i="108" s="1"/>
  <c r="E48" i="108" s="1"/>
  <c r="G27" i="103"/>
  <c r="H17" i="103" s="1"/>
  <c r="G17" i="103"/>
  <c r="D183" i="98" l="1"/>
  <c r="I41" i="108"/>
  <c r="J40" i="108"/>
  <c r="K40" i="108" s="1"/>
  <c r="C49" i="108"/>
  <c r="D49" i="108" s="1"/>
  <c r="H27" i="103"/>
  <c r="I17" i="103" s="1"/>
  <c r="I42" i="108" l="1"/>
  <c r="J41" i="108"/>
  <c r="C50" i="108"/>
  <c r="D50" i="108" s="1"/>
  <c r="I27" i="103"/>
  <c r="J17" i="103" s="1"/>
  <c r="I43" i="108" l="1"/>
  <c r="J42" i="108"/>
  <c r="C51" i="108"/>
  <c r="D51" i="108" s="1"/>
  <c r="J27" i="103"/>
  <c r="K17" i="103" s="1"/>
  <c r="I44" i="108" l="1"/>
  <c r="J43" i="108"/>
  <c r="C52" i="108"/>
  <c r="D52" i="108" s="1"/>
  <c r="E52" i="108" s="1"/>
  <c r="K27" i="103"/>
  <c r="L17" i="103" s="1"/>
  <c r="I45" i="108" l="1"/>
  <c r="J44" i="108"/>
  <c r="K44" i="108" s="1"/>
  <c r="C53" i="108"/>
  <c r="D53" i="108" s="1"/>
  <c r="L27" i="103"/>
  <c r="M17" i="103" s="1"/>
  <c r="I46" i="108" l="1"/>
  <c r="J45" i="108"/>
  <c r="C54" i="108"/>
  <c r="D54" i="108" s="1"/>
  <c r="M27" i="103"/>
  <c r="N17" i="103" s="1"/>
  <c r="I47" i="108" l="1"/>
  <c r="J46" i="108"/>
  <c r="C55" i="108"/>
  <c r="D55" i="108" s="1"/>
  <c r="N27" i="103"/>
  <c r="O17" i="103" s="1"/>
  <c r="I48" i="108" l="1"/>
  <c r="J47" i="108"/>
  <c r="C56" i="108"/>
  <c r="D56" i="108" s="1"/>
  <c r="E56" i="108" s="1"/>
  <c r="O27" i="103"/>
  <c r="P17" i="103" s="1"/>
  <c r="I49" i="108" l="1"/>
  <c r="J48" i="108"/>
  <c r="K48" i="108" s="1"/>
  <c r="C57" i="108"/>
  <c r="D57" i="108" s="1"/>
  <c r="P27" i="103"/>
  <c r="Q27" i="103" s="1"/>
  <c r="I50" i="108" l="1"/>
  <c r="J49" i="108"/>
  <c r="C58" i="108"/>
  <c r="D58" i="108" s="1"/>
  <c r="Q17" i="103"/>
  <c r="R27" i="103"/>
  <c r="R17" i="103"/>
  <c r="D137" i="72"/>
  <c r="D181" i="87"/>
  <c r="H179" i="87"/>
  <c r="H134" i="87"/>
  <c r="D50" i="106"/>
  <c r="H26" i="106" l="1"/>
  <c r="H65" i="87"/>
  <c r="H96" i="87"/>
  <c r="H165" i="87"/>
  <c r="H32" i="106"/>
  <c r="H170" i="87"/>
  <c r="H37" i="87"/>
  <c r="H61" i="87"/>
  <c r="H148" i="87"/>
  <c r="H162" i="87"/>
  <c r="I51" i="108"/>
  <c r="J50" i="108"/>
  <c r="C59" i="108"/>
  <c r="D59" i="108" s="1"/>
  <c r="S17" i="103"/>
  <c r="S27" i="103"/>
  <c r="H49" i="72"/>
  <c r="H35" i="87"/>
  <c r="H10" i="87"/>
  <c r="H140" i="87"/>
  <c r="H74" i="72"/>
  <c r="H53" i="72"/>
  <c r="H80" i="87"/>
  <c r="H83" i="87"/>
  <c r="H89" i="87"/>
  <c r="H102" i="87"/>
  <c r="H117" i="87"/>
  <c r="H44" i="87"/>
  <c r="H75" i="87"/>
  <c r="H10" i="106"/>
  <c r="H17" i="106"/>
  <c r="H48" i="106"/>
  <c r="H23" i="87"/>
  <c r="H47" i="87"/>
  <c r="H53" i="87"/>
  <c r="H69" i="87"/>
  <c r="H145" i="87"/>
  <c r="H113" i="72"/>
  <c r="H135" i="72"/>
  <c r="H109" i="72"/>
  <c r="H45" i="106"/>
  <c r="H108" i="87"/>
  <c r="H20" i="106"/>
  <c r="H20" i="87"/>
  <c r="H26" i="87"/>
  <c r="H32" i="87"/>
  <c r="H117" i="72"/>
  <c r="H13" i="106"/>
  <c r="H50" i="87"/>
  <c r="H58" i="87"/>
  <c r="H93" i="87"/>
  <c r="H99" i="87"/>
  <c r="H152" i="87"/>
  <c r="H79" i="72"/>
  <c r="H29" i="87"/>
  <c r="H120" i="87"/>
  <c r="H175" i="87"/>
  <c r="H46" i="72"/>
  <c r="H7" i="106"/>
  <c r="H7" i="87"/>
  <c r="H86" i="87"/>
  <c r="H156" i="87"/>
  <c r="H8" i="72"/>
  <c r="H15" i="72"/>
  <c r="H25" i="72"/>
  <c r="H40" i="72"/>
  <c r="H43" i="72"/>
  <c r="H56" i="72"/>
  <c r="H30" i="72"/>
  <c r="H70" i="72"/>
  <c r="H127" i="72"/>
  <c r="H12" i="72"/>
  <c r="H18" i="72"/>
  <c r="H34" i="72"/>
  <c r="H61" i="72"/>
  <c r="H82" i="72"/>
  <c r="H90" i="72"/>
  <c r="H105" i="72"/>
  <c r="H23" i="106"/>
  <c r="H49" i="106" l="1"/>
  <c r="I52" i="108"/>
  <c r="J51" i="108"/>
  <c r="C60" i="108"/>
  <c r="D60" i="108" s="1"/>
  <c r="E60" i="108" s="1"/>
  <c r="T17" i="103"/>
  <c r="I53" i="108" l="1"/>
  <c r="J52" i="108"/>
  <c r="K52" i="108" s="1"/>
  <c r="C61" i="108"/>
  <c r="D61" i="108" s="1"/>
  <c r="D158" i="105"/>
  <c r="I54" i="108" l="1"/>
  <c r="J53" i="108"/>
  <c r="C62" i="108"/>
  <c r="D62" i="108" s="1"/>
  <c r="H156" i="105"/>
  <c r="H148" i="105"/>
  <c r="H145" i="105"/>
  <c r="H142" i="105"/>
  <c r="H138" i="105"/>
  <c r="H135" i="105"/>
  <c r="H131" i="105"/>
  <c r="H128" i="105"/>
  <c r="H125" i="105"/>
  <c r="H121" i="105"/>
  <c r="H112" i="105"/>
  <c r="H109" i="105"/>
  <c r="H102" i="105"/>
  <c r="H99" i="105"/>
  <c r="H96" i="105"/>
  <c r="H93" i="105"/>
  <c r="H89" i="105"/>
  <c r="H86" i="105"/>
  <c r="H83" i="105"/>
  <c r="H80" i="105"/>
  <c r="H75" i="105"/>
  <c r="H68" i="105"/>
  <c r="H59" i="105"/>
  <c r="H50" i="105"/>
  <c r="H35" i="105"/>
  <c r="H24" i="105"/>
  <c r="H7" i="105"/>
  <c r="I55" i="108" l="1"/>
  <c r="J54" i="108"/>
  <c r="C63" i="108"/>
  <c r="D63" i="108" s="1"/>
  <c r="H44" i="105"/>
  <c r="H72" i="105"/>
  <c r="H106" i="105"/>
  <c r="H117" i="105"/>
  <c r="H152" i="105"/>
  <c r="H41" i="105"/>
  <c r="H18" i="105"/>
  <c r="H27" i="105"/>
  <c r="H33" i="105"/>
  <c r="H10" i="105"/>
  <c r="H21" i="105"/>
  <c r="H30" i="105"/>
  <c r="H56" i="105"/>
  <c r="H47" i="105"/>
  <c r="D66" i="104"/>
  <c r="H157" i="105" l="1"/>
  <c r="I56" i="108"/>
  <c r="J55" i="108"/>
  <c r="C64" i="108"/>
  <c r="D64" i="108" s="1"/>
  <c r="E64" i="108" s="1"/>
  <c r="H51" i="104"/>
  <c r="H36" i="104"/>
  <c r="H31" i="104"/>
  <c r="I57" i="108" l="1"/>
  <c r="J56" i="108"/>
  <c r="K56" i="108" s="1"/>
  <c r="C65" i="108"/>
  <c r="D65" i="108" s="1"/>
  <c r="H17" i="104"/>
  <c r="H34" i="104"/>
  <c r="H60" i="104"/>
  <c r="H10" i="104"/>
  <c r="H20" i="104"/>
  <c r="H64" i="104"/>
  <c r="H28" i="104"/>
  <c r="H48" i="104"/>
  <c r="H42" i="104"/>
  <c r="H45" i="104"/>
  <c r="I238" i="94"/>
  <c r="I58" i="108" l="1"/>
  <c r="J57" i="108"/>
  <c r="E65" i="108"/>
  <c r="D66" i="108"/>
  <c r="D188" i="98" l="1"/>
  <c r="I59" i="108"/>
  <c r="J58" i="108"/>
  <c r="D174" i="98"/>
  <c r="D166" i="98"/>
  <c r="D173" i="98"/>
  <c r="M60" i="94"/>
  <c r="M200" i="94"/>
  <c r="M208" i="94"/>
  <c r="M212" i="94"/>
  <c r="M65" i="94"/>
  <c r="M74" i="94"/>
  <c r="M81" i="94"/>
  <c r="M78" i="94"/>
  <c r="M197" i="94"/>
  <c r="M203" i="94"/>
  <c r="M25" i="94"/>
  <c r="M95" i="94"/>
  <c r="M100" i="94"/>
  <c r="M216" i="94"/>
  <c r="M37" i="94"/>
  <c r="O37" i="94" s="1"/>
  <c r="M52" i="94"/>
  <c r="O52" i="94" s="1"/>
  <c r="M69" i="94"/>
  <c r="M109" i="94"/>
  <c r="M112" i="94"/>
  <c r="M193" i="94"/>
  <c r="M90" i="94"/>
  <c r="M236" i="94"/>
  <c r="D186" i="98" l="1"/>
  <c r="I60" i="108"/>
  <c r="J59" i="108"/>
  <c r="D180" i="98"/>
  <c r="D193" i="98"/>
  <c r="D189" i="98"/>
  <c r="D170" i="98"/>
  <c r="D190" i="98"/>
  <c r="D176" i="98"/>
  <c r="D179" i="98"/>
  <c r="D168" i="98"/>
  <c r="D191" i="98"/>
  <c r="D187" i="98"/>
  <c r="D171" i="98"/>
  <c r="D167" i="98"/>
  <c r="D178" i="98"/>
  <c r="P220" i="94" l="1"/>
  <c r="O220" i="94" s="1"/>
  <c r="I61" i="108"/>
  <c r="J60" i="108"/>
  <c r="K60" i="108" s="1"/>
  <c r="I62" i="108" l="1"/>
  <c r="J61" i="108"/>
  <c r="I63" i="108" l="1"/>
  <c r="J62" i="108"/>
  <c r="I64" i="108" l="1"/>
  <c r="J63" i="108"/>
  <c r="I65" i="108" l="1"/>
  <c r="J64" i="108"/>
  <c r="K64" i="108" s="1"/>
  <c r="I66" i="108" l="1"/>
  <c r="J65" i="108"/>
  <c r="I67" i="108" l="1"/>
  <c r="J66" i="108"/>
  <c r="I68" i="108" l="1"/>
  <c r="J67" i="108"/>
  <c r="BF55" i="85"/>
  <c r="BE55" i="85"/>
  <c r="BD55" i="85"/>
  <c r="BC55" i="85"/>
  <c r="BB55" i="85"/>
  <c r="BA55" i="85"/>
  <c r="AZ55" i="85"/>
  <c r="AY55" i="85"/>
  <c r="AX55" i="85"/>
  <c r="AW55" i="85"/>
  <c r="AV55" i="85"/>
  <c r="AU55" i="85"/>
  <c r="AT55" i="85"/>
  <c r="AS55" i="85"/>
  <c r="AR55" i="85"/>
  <c r="AQ55" i="85"/>
  <c r="AP55" i="85"/>
  <c r="AO55" i="85"/>
  <c r="AN55" i="85"/>
  <c r="AM55" i="85"/>
  <c r="AL55" i="85"/>
  <c r="AK55" i="85"/>
  <c r="AJ55" i="85"/>
  <c r="AI55" i="85"/>
  <c r="AH55" i="85"/>
  <c r="AG55" i="85"/>
  <c r="AF55" i="85"/>
  <c r="AD55" i="85"/>
  <c r="AC55" i="85"/>
  <c r="AB55" i="85"/>
  <c r="AA55" i="85"/>
  <c r="Z55" i="85"/>
  <c r="Y55" i="85"/>
  <c r="X55" i="85"/>
  <c r="W55" i="85"/>
  <c r="V55" i="85"/>
  <c r="U55" i="85"/>
  <c r="T55" i="85"/>
  <c r="S55" i="85"/>
  <c r="R55" i="85"/>
  <c r="Q55" i="85"/>
  <c r="P55" i="85"/>
  <c r="O55" i="85"/>
  <c r="N55" i="85"/>
  <c r="M55" i="85"/>
  <c r="L55" i="85"/>
  <c r="K55" i="85"/>
  <c r="J55" i="85"/>
  <c r="I55" i="85"/>
  <c r="H55" i="85"/>
  <c r="E55" i="85"/>
  <c r="D55" i="85"/>
  <c r="BJ54" i="85"/>
  <c r="BF26" i="85"/>
  <c r="BE26" i="85"/>
  <c r="BD26" i="85"/>
  <c r="BC26" i="85"/>
  <c r="BB26" i="85"/>
  <c r="BA26" i="85"/>
  <c r="AZ26" i="85"/>
  <c r="AY26" i="85"/>
  <c r="AX26" i="85"/>
  <c r="AW26" i="85"/>
  <c r="AV26" i="85"/>
  <c r="AU26" i="85"/>
  <c r="AT26" i="85"/>
  <c r="AS26" i="85"/>
  <c r="AR26" i="85"/>
  <c r="AQ26" i="85"/>
  <c r="AP26" i="85"/>
  <c r="AO26" i="85"/>
  <c r="AN26" i="85"/>
  <c r="AM26" i="85"/>
  <c r="AL26" i="85"/>
  <c r="AK26" i="85"/>
  <c r="AJ26" i="85"/>
  <c r="AI26" i="85"/>
  <c r="AH26" i="85"/>
  <c r="AG26" i="85"/>
  <c r="AF26" i="85"/>
  <c r="AD26" i="85"/>
  <c r="AC26" i="85"/>
  <c r="AB26" i="85"/>
  <c r="AA26" i="85"/>
  <c r="Z26" i="85"/>
  <c r="Y26" i="85"/>
  <c r="X26" i="85"/>
  <c r="W26" i="85"/>
  <c r="V26" i="85"/>
  <c r="U26" i="85"/>
  <c r="T26" i="85"/>
  <c r="S26" i="85"/>
  <c r="R26" i="85"/>
  <c r="Q26" i="85"/>
  <c r="P26" i="85"/>
  <c r="O26" i="85"/>
  <c r="N26" i="85"/>
  <c r="M26" i="85"/>
  <c r="L26" i="85"/>
  <c r="K26" i="85"/>
  <c r="J26" i="85"/>
  <c r="I26" i="85"/>
  <c r="H26" i="85"/>
  <c r="G26" i="85"/>
  <c r="D26" i="85"/>
  <c r="BJ25" i="85"/>
  <c r="BJ24" i="85"/>
  <c r="BJ22" i="85"/>
  <c r="D11" i="85"/>
  <c r="D19" i="85" s="1"/>
  <c r="D23" i="85" s="1"/>
  <c r="D1" i="85"/>
  <c r="I69" i="108" l="1"/>
  <c r="J68" i="108"/>
  <c r="K68" i="108" s="1"/>
  <c r="D51" i="85"/>
  <c r="D56" i="85" s="1"/>
  <c r="D58" i="85" s="1"/>
  <c r="I70" i="108" l="1"/>
  <c r="J69" i="108"/>
  <c r="D29" i="73"/>
  <c r="D28" i="73"/>
  <c r="D150" i="73"/>
  <c r="D181" i="73" s="1"/>
  <c r="D148" i="73"/>
  <c r="D145" i="73"/>
  <c r="D144" i="73"/>
  <c r="D142" i="73"/>
  <c r="D141" i="73"/>
  <c r="D140" i="73"/>
  <c r="D139" i="73"/>
  <c r="D138" i="73"/>
  <c r="D137" i="73"/>
  <c r="D136" i="73"/>
  <c r="D133" i="73"/>
  <c r="D132" i="73"/>
  <c r="D131" i="73"/>
  <c r="D130" i="73"/>
  <c r="D129" i="73"/>
  <c r="D128" i="73"/>
  <c r="D126" i="73"/>
  <c r="D125" i="73"/>
  <c r="D124" i="73"/>
  <c r="D123" i="73"/>
  <c r="D122" i="73"/>
  <c r="D121" i="73"/>
  <c r="D120" i="73"/>
  <c r="D119" i="73"/>
  <c r="D118" i="73"/>
  <c r="D117" i="73"/>
  <c r="D116" i="73"/>
  <c r="D115" i="73"/>
  <c r="D114" i="73"/>
  <c r="D113" i="73"/>
  <c r="D112" i="73"/>
  <c r="D111" i="73"/>
  <c r="D110" i="73"/>
  <c r="D109" i="73"/>
  <c r="D108" i="73"/>
  <c r="D107" i="73"/>
  <c r="D106" i="73"/>
  <c r="D105" i="73"/>
  <c r="D104" i="73"/>
  <c r="D103" i="73"/>
  <c r="D102" i="73"/>
  <c r="D101" i="73"/>
  <c r="D100" i="73"/>
  <c r="D99" i="73"/>
  <c r="D94" i="73"/>
  <c r="D93" i="73"/>
  <c r="D92" i="73"/>
  <c r="D91" i="73"/>
  <c r="D90" i="73"/>
  <c r="D89" i="73"/>
  <c r="D88" i="73"/>
  <c r="D87" i="73"/>
  <c r="D78" i="73"/>
  <c r="D77" i="73"/>
  <c r="D76" i="73"/>
  <c r="D72" i="73"/>
  <c r="D66" i="73"/>
  <c r="D65" i="73"/>
  <c r="D64" i="73"/>
  <c r="D63" i="73"/>
  <c r="D59" i="73"/>
  <c r="D58" i="73"/>
  <c r="D55" i="73"/>
  <c r="D54" i="73"/>
  <c r="D53" i="73"/>
  <c r="D52" i="73"/>
  <c r="D51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3" i="73"/>
  <c r="D32" i="73"/>
  <c r="D31" i="73"/>
  <c r="D30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9" i="73"/>
  <c r="D8" i="73"/>
  <c r="D7" i="73"/>
  <c r="E66" i="1"/>
  <c r="E19" i="85" l="1"/>
  <c r="I71" i="108"/>
  <c r="J70" i="108"/>
  <c r="D180" i="73"/>
  <c r="D179" i="73" s="1"/>
  <c r="D62" i="73"/>
  <c r="D177" i="73" s="1"/>
  <c r="D147" i="73"/>
  <c r="D190" i="73"/>
  <c r="D189" i="73" s="1"/>
  <c r="D57" i="73"/>
  <c r="D75" i="73"/>
  <c r="D6" i="73"/>
  <c r="D175" i="73" s="1"/>
  <c r="D86" i="73"/>
  <c r="D134" i="73"/>
  <c r="D96" i="73"/>
  <c r="D27" i="73"/>
  <c r="D176" i="73" s="1"/>
  <c r="E68" i="1"/>
  <c r="E73" i="1" s="1"/>
  <c r="E23" i="85" l="1"/>
  <c r="E51" i="85" s="1"/>
  <c r="E56" i="85" s="1"/>
  <c r="I72" i="108"/>
  <c r="J71" i="108"/>
  <c r="D85" i="73"/>
  <c r="D152" i="73" s="1"/>
  <c r="D153" i="73" s="1"/>
  <c r="D80" i="73"/>
  <c r="D81" i="73" s="1"/>
  <c r="D174" i="73"/>
  <c r="D172" i="73" s="1"/>
  <c r="E58" i="85" l="1"/>
  <c r="F19" i="85"/>
  <c r="F23" i="85" s="1"/>
  <c r="F51" i="85" s="1"/>
  <c r="F56" i="85" s="1"/>
  <c r="D184" i="73"/>
  <c r="D185" i="73" s="1"/>
  <c r="I73" i="108"/>
  <c r="J72" i="108"/>
  <c r="K72" i="108" s="1"/>
  <c r="D154" i="73"/>
  <c r="F59" i="85" l="1"/>
  <c r="F58" i="85"/>
  <c r="I74" i="108"/>
  <c r="J73" i="108"/>
  <c r="DM16" i="4" l="1"/>
  <c r="DL16" i="4"/>
  <c r="DK16" i="4"/>
  <c r="DH16" i="4"/>
  <c r="DG16" i="4"/>
  <c r="DE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U16" i="4"/>
  <c r="AT16" i="4"/>
  <c r="AS16" i="4"/>
  <c r="AR16" i="4"/>
  <c r="AQ16" i="4"/>
  <c r="AP16" i="4"/>
  <c r="AO16" i="4"/>
  <c r="AN16" i="4"/>
  <c r="AM16" i="4"/>
  <c r="AL16" i="4"/>
  <c r="AK16" i="4"/>
  <c r="AI16" i="4"/>
  <c r="AH16" i="4"/>
  <c r="AG16" i="4"/>
  <c r="AF16" i="4"/>
  <c r="AE16" i="4"/>
  <c r="AC16" i="4"/>
  <c r="AB16" i="4"/>
  <c r="Q16" i="4"/>
  <c r="L103" i="75" l="1"/>
  <c r="C103" i="75" s="1"/>
  <c r="I83" i="73"/>
  <c r="I14" i="73" l="1"/>
  <c r="E13" i="98" l="1"/>
  <c r="I113" i="98"/>
  <c r="I26" i="98"/>
  <c r="C71" i="75" l="1"/>
  <c r="C107" i="75"/>
  <c r="P216" i="94"/>
  <c r="O216" i="94" s="1"/>
  <c r="P212" i="94"/>
  <c r="O212" i="94" s="1"/>
  <c r="L55" i="75" l="1"/>
  <c r="C55" i="75" s="1"/>
  <c r="L54" i="75" l="1"/>
  <c r="L58" i="75" l="1"/>
  <c r="C54" i="75"/>
  <c r="C58" i="75" s="1"/>
  <c r="J165" i="87" l="1"/>
  <c r="K165" i="87" s="1"/>
  <c r="J162" i="87"/>
  <c r="K162" i="87" s="1"/>
  <c r="E116" i="98" l="1"/>
  <c r="E218" i="98" s="1"/>
  <c r="BJ53" i="85"/>
  <c r="DC72" i="4" l="1"/>
  <c r="DB72" i="4"/>
  <c r="DC69" i="4"/>
  <c r="T216" i="94" l="1"/>
  <c r="U216" i="94" s="1"/>
  <c r="BI33" i="85"/>
  <c r="BJ33" i="85" s="1"/>
  <c r="DB69" i="4"/>
  <c r="T212" i="94" s="1"/>
  <c r="U212" i="94" s="1"/>
  <c r="DC55" i="4"/>
  <c r="DC74" i="4" s="1"/>
  <c r="DB55" i="4"/>
  <c r="DB74" i="4" l="1"/>
  <c r="B6" i="106" l="1"/>
  <c r="P200" i="94" l="1"/>
  <c r="O200" i="94" s="1"/>
  <c r="P176" i="94" l="1"/>
  <c r="CW33" i="4" l="1"/>
  <c r="P90" i="94" l="1"/>
  <c r="O90" i="94" s="1"/>
  <c r="J46" i="72" l="1"/>
  <c r="K46" i="72" s="1"/>
  <c r="J61" i="87" l="1"/>
  <c r="K61" i="87" s="1"/>
  <c r="B11" i="106" l="1"/>
  <c r="J156" i="105"/>
  <c r="K156" i="105" s="1"/>
  <c r="J148" i="105"/>
  <c r="K148" i="105" s="1"/>
  <c r="J142" i="105"/>
  <c r="K142" i="105" s="1"/>
  <c r="J128" i="105"/>
  <c r="K128" i="105" s="1"/>
  <c r="J125" i="105"/>
  <c r="K125" i="105" s="1"/>
  <c r="J121" i="105"/>
  <c r="K121" i="105" s="1"/>
  <c r="J102" i="105"/>
  <c r="K102" i="105" s="1"/>
  <c r="J96" i="105"/>
  <c r="K96" i="105" s="1"/>
  <c r="J68" i="105"/>
  <c r="K68" i="105" s="1"/>
  <c r="J59" i="105"/>
  <c r="K59" i="105" s="1"/>
  <c r="J35" i="105"/>
  <c r="K35" i="105" s="1"/>
  <c r="J24" i="105"/>
  <c r="K24" i="105" s="1"/>
  <c r="J7" i="105"/>
  <c r="K7" i="105" s="1"/>
  <c r="J36" i="104"/>
  <c r="K36" i="104" s="1"/>
  <c r="J31" i="104"/>
  <c r="K31" i="104" s="1"/>
  <c r="J7" i="104"/>
  <c r="J85" i="72"/>
  <c r="K85" i="72" s="1"/>
  <c r="J65" i="87"/>
  <c r="K65" i="87" s="1"/>
  <c r="J43" i="72"/>
  <c r="K43" i="72" s="1"/>
  <c r="J40" i="72"/>
  <c r="K40" i="72" s="1"/>
  <c r="J58" i="87"/>
  <c r="K58" i="87" s="1"/>
  <c r="J56" i="105"/>
  <c r="K56" i="105" s="1"/>
  <c r="CI34" i="4" l="1"/>
  <c r="B12" i="106"/>
  <c r="B21" i="106"/>
  <c r="B22" i="106" s="1"/>
  <c r="B25" i="106" l="1"/>
  <c r="B8" i="106" s="1"/>
  <c r="B9" i="106" s="1"/>
  <c r="B14" i="106" s="1"/>
  <c r="B15" i="106" s="1"/>
  <c r="B16" i="106" s="1"/>
  <c r="H7" i="104"/>
  <c r="H65" i="104" s="1"/>
  <c r="B18" i="106" l="1"/>
  <c r="B19" i="106" s="1"/>
  <c r="B30" i="106" s="1"/>
  <c r="B31" i="106" s="1"/>
  <c r="B33" i="106" s="1"/>
  <c r="B46" i="106" s="1"/>
  <c r="B47" i="106" s="1"/>
  <c r="B27" i="106"/>
  <c r="B28" i="106" s="1"/>
  <c r="K7" i="104"/>
  <c r="F82" i="84"/>
  <c r="G82" i="84" s="1"/>
  <c r="P11" i="91"/>
  <c r="P203" i="94" l="1"/>
  <c r="O203" i="94" s="1"/>
  <c r="P78" i="94"/>
  <c r="O78" i="94" s="1"/>
  <c r="AP23" i="4" l="1"/>
  <c r="H9" i="4" l="1"/>
  <c r="DQ8" i="4"/>
  <c r="D71" i="75" l="1"/>
  <c r="C33" i="75" l="1"/>
  <c r="P125" i="75" l="1"/>
  <c r="P107" i="75"/>
  <c r="P71" i="75"/>
  <c r="P59" i="75"/>
  <c r="P29" i="75"/>
  <c r="P15" i="75"/>
  <c r="P7" i="75"/>
  <c r="P139" i="75" l="1"/>
  <c r="P141" i="75" s="1"/>
  <c r="P143" i="75" s="1"/>
  <c r="P5" i="75"/>
  <c r="P47" i="75" s="1"/>
  <c r="J33" i="105"/>
  <c r="K33" i="105" s="1"/>
  <c r="J18" i="72"/>
  <c r="K18" i="72" s="1"/>
  <c r="J35" i="87"/>
  <c r="K35" i="87" s="1"/>
  <c r="J13" i="106"/>
  <c r="K13" i="106" s="1"/>
  <c r="DQ39" i="4"/>
  <c r="P144" i="75" l="1"/>
  <c r="C45" i="103" l="1"/>
  <c r="B45" i="103"/>
  <c r="C44" i="103"/>
  <c r="B44" i="103"/>
  <c r="V43" i="103"/>
  <c r="U43" i="103"/>
  <c r="T43" i="103"/>
  <c r="S43" i="103"/>
  <c r="Q43" i="103"/>
  <c r="P43" i="103"/>
  <c r="O43" i="103"/>
  <c r="N43" i="103"/>
  <c r="L43" i="103"/>
  <c r="K43" i="103"/>
  <c r="J43" i="103"/>
  <c r="I43" i="103"/>
  <c r="G43" i="103"/>
  <c r="F43" i="103"/>
  <c r="E43" i="103"/>
  <c r="D43" i="103"/>
  <c r="D37" i="103"/>
  <c r="B38" i="103"/>
  <c r="C33" i="103"/>
  <c r="V13" i="103"/>
  <c r="V23" i="103" s="1"/>
  <c r="U13" i="103"/>
  <c r="T13" i="103"/>
  <c r="S13" i="103"/>
  <c r="R13" i="103"/>
  <c r="Q13" i="103"/>
  <c r="P13" i="103"/>
  <c r="O13" i="103"/>
  <c r="N13" i="103"/>
  <c r="M13" i="103"/>
  <c r="L13" i="103"/>
  <c r="K13" i="103"/>
  <c r="J13" i="103"/>
  <c r="I200" i="98" s="1"/>
  <c r="I13" i="103"/>
  <c r="H200" i="98" s="1"/>
  <c r="H13" i="103"/>
  <c r="G200" i="98" s="1"/>
  <c r="G13" i="103"/>
  <c r="F200" i="98" s="1"/>
  <c r="F209" i="98" l="1"/>
  <c r="G209" i="98"/>
  <c r="H209" i="98"/>
  <c r="I197" i="98"/>
  <c r="I209" i="98"/>
  <c r="D14" i="103"/>
  <c r="D23" i="103" s="1"/>
  <c r="C34" i="103"/>
  <c r="D25" i="103"/>
  <c r="C43" i="103"/>
  <c r="B43" i="103"/>
  <c r="E194" i="73" l="1"/>
  <c r="E193" i="73" s="1"/>
  <c r="D30" i="103"/>
  <c r="D38" i="103" s="1"/>
  <c r="C38" i="103"/>
  <c r="E14" i="103"/>
  <c r="E23" i="103" s="1"/>
  <c r="E25" i="103"/>
  <c r="E30" i="103" s="1"/>
  <c r="G26" i="103"/>
  <c r="G12" i="103"/>
  <c r="F14" i="103" l="1"/>
  <c r="F25" i="103"/>
  <c r="F30" i="103" s="1"/>
  <c r="H45" i="103"/>
  <c r="H43" i="103" s="1"/>
  <c r="D33" i="103"/>
  <c r="D34" i="103"/>
  <c r="H26" i="103"/>
  <c r="H12" i="103"/>
  <c r="M45" i="103"/>
  <c r="M43" i="103" s="1"/>
  <c r="F24" i="103" l="1"/>
  <c r="F23" i="103"/>
  <c r="G25" i="103"/>
  <c r="G30" i="103" s="1"/>
  <c r="G14" i="103"/>
  <c r="G23" i="103" s="1"/>
  <c r="R45" i="103"/>
  <c r="R43" i="103" s="1"/>
  <c r="I26" i="103"/>
  <c r="I30" i="103" s="1"/>
  <c r="I12" i="103"/>
  <c r="F162" i="98" l="1"/>
  <c r="F221" i="98" s="1"/>
  <c r="H14" i="103"/>
  <c r="H23" i="103" s="1"/>
  <c r="H25" i="103"/>
  <c r="H30" i="103" s="1"/>
  <c r="J12" i="103"/>
  <c r="J23" i="103" s="1"/>
  <c r="J26" i="103"/>
  <c r="J30" i="103" s="1"/>
  <c r="I14" i="103" l="1"/>
  <c r="I23" i="103" s="1"/>
  <c r="G162" i="98"/>
  <c r="G221" i="98" s="1"/>
  <c r="I162" i="98"/>
  <c r="I221" i="98" s="1"/>
  <c r="K26" i="103"/>
  <c r="K30" i="103" s="1"/>
  <c r="K12" i="103"/>
  <c r="K23" i="103" s="1"/>
  <c r="H162" i="98" l="1"/>
  <c r="H221" i="98" s="1"/>
  <c r="L26" i="103"/>
  <c r="L30" i="103" s="1"/>
  <c r="L12" i="103"/>
  <c r="L23" i="103" s="1"/>
  <c r="M26" i="103" l="1"/>
  <c r="M30" i="103" s="1"/>
  <c r="M12" i="103"/>
  <c r="M23" i="103" s="1"/>
  <c r="N12" i="103" l="1"/>
  <c r="N23" i="103" s="1"/>
  <c r="N26" i="103"/>
  <c r="N30" i="103" s="1"/>
  <c r="O26" i="103" l="1"/>
  <c r="O30" i="103" s="1"/>
  <c r="O12" i="103"/>
  <c r="O23" i="103" s="1"/>
  <c r="P12" i="103" l="1"/>
  <c r="P23" i="103" s="1"/>
  <c r="P26" i="103"/>
  <c r="P30" i="103" s="1"/>
  <c r="Q12" i="103" l="1"/>
  <c r="Q23" i="103" s="1"/>
  <c r="Q26" i="103"/>
  <c r="Q30" i="103" s="1"/>
  <c r="R12" i="103" l="1"/>
  <c r="R23" i="103" s="1"/>
  <c r="R26" i="103"/>
  <c r="R30" i="103" s="1"/>
  <c r="S26" i="103" l="1"/>
  <c r="S30" i="103" s="1"/>
  <c r="S12" i="103"/>
  <c r="S23" i="103" s="1"/>
  <c r="T26" i="103" l="1"/>
  <c r="T30" i="103" s="1"/>
  <c r="T12" i="103"/>
  <c r="T23" i="103" s="1"/>
  <c r="U12" i="103" l="1"/>
  <c r="U23" i="103" s="1"/>
  <c r="U26" i="103"/>
  <c r="U30" i="103" s="1"/>
  <c r="V26" i="103" l="1"/>
  <c r="V30" i="103" s="1"/>
  <c r="J48" i="106" l="1"/>
  <c r="K48" i="106" s="1"/>
  <c r="J44" i="87" l="1"/>
  <c r="K44" i="87" s="1"/>
  <c r="J17" i="106"/>
  <c r="K17" i="106" s="1"/>
  <c r="J41" i="105"/>
  <c r="K41" i="105" s="1"/>
  <c r="J42" i="104"/>
  <c r="K42" i="104" s="1"/>
  <c r="J37" i="87"/>
  <c r="K37" i="87" s="1"/>
  <c r="J32" i="87"/>
  <c r="K32" i="87" s="1"/>
  <c r="J30" i="105"/>
  <c r="K30" i="105" s="1"/>
  <c r="J26" i="87"/>
  <c r="K26" i="87" s="1"/>
  <c r="J15" i="72"/>
  <c r="K15" i="72" s="1"/>
  <c r="J29" i="87"/>
  <c r="K29" i="87" s="1"/>
  <c r="J12" i="72"/>
  <c r="K12" i="72" s="1"/>
  <c r="J23" i="87"/>
  <c r="K23" i="87" s="1"/>
  <c r="J21" i="105"/>
  <c r="K21" i="105" s="1"/>
  <c r="J20" i="104"/>
  <c r="K20" i="104" s="1"/>
  <c r="J10" i="87"/>
  <c r="K10" i="87" s="1"/>
  <c r="J10" i="106"/>
  <c r="K10" i="106" s="1"/>
  <c r="J10" i="105"/>
  <c r="K10" i="105" s="1"/>
  <c r="J10" i="104"/>
  <c r="K10" i="104" s="1"/>
  <c r="J34" i="104" l="1"/>
  <c r="K34" i="104" s="1"/>
  <c r="J28" i="104" l="1"/>
  <c r="K28" i="104" s="1"/>
  <c r="J27" i="105"/>
  <c r="K27" i="105" s="1"/>
  <c r="J60" i="104" l="1"/>
  <c r="K60" i="104" s="1"/>
  <c r="AS58" i="4" l="1"/>
  <c r="J10" i="107" l="1"/>
  <c r="K10" i="107" s="1"/>
  <c r="O66" i="4" l="1"/>
  <c r="AA59" i="4"/>
  <c r="AA60" i="4"/>
  <c r="O21" i="4"/>
  <c r="O22" i="4"/>
  <c r="O23" i="4"/>
  <c r="O24" i="4"/>
  <c r="AA34" i="4"/>
  <c r="J47" i="87" s="1"/>
  <c r="K47" i="87" s="1"/>
  <c r="AG34" i="4"/>
  <c r="J53" i="87" s="1"/>
  <c r="K53" i="87" s="1"/>
  <c r="AS34" i="4"/>
  <c r="J80" i="87" s="1"/>
  <c r="K80" i="87" s="1"/>
  <c r="AV34" i="4"/>
  <c r="J175" i="87" s="1"/>
  <c r="K175" i="87" s="1"/>
  <c r="AY34" i="4"/>
  <c r="BE34" i="4"/>
  <c r="BL34" i="4"/>
  <c r="J93" i="87" s="1"/>
  <c r="K93" i="87" s="1"/>
  <c r="AA35" i="4"/>
  <c r="J25" i="72" s="1"/>
  <c r="K25" i="72" s="1"/>
  <c r="AS35" i="4"/>
  <c r="J56" i="72" s="1"/>
  <c r="K56" i="72" s="1"/>
  <c r="AV35" i="4"/>
  <c r="J127" i="72" s="1"/>
  <c r="K127" i="72" s="1"/>
  <c r="AY35" i="4"/>
  <c r="J61" i="72" s="1"/>
  <c r="K61" i="72" s="1"/>
  <c r="BE35" i="4"/>
  <c r="J70" i="72" s="1"/>
  <c r="K70" i="72" s="1"/>
  <c r="AA36" i="4"/>
  <c r="AG36" i="4"/>
  <c r="AM36" i="4"/>
  <c r="AP36" i="4"/>
  <c r="AS36" i="4"/>
  <c r="AV36" i="4"/>
  <c r="AY36" i="4"/>
  <c r="BB36" i="4"/>
  <c r="BE36" i="4"/>
  <c r="BH36" i="4"/>
  <c r="BL36" i="4"/>
  <c r="BP36" i="4"/>
  <c r="AA37" i="4"/>
  <c r="AD37" i="4"/>
  <c r="AG37" i="4"/>
  <c r="AM37" i="4"/>
  <c r="AP37" i="4"/>
  <c r="AS37" i="4"/>
  <c r="AV37" i="4"/>
  <c r="AY37" i="4"/>
  <c r="BB37" i="4"/>
  <c r="BE37" i="4"/>
  <c r="BH37" i="4"/>
  <c r="BL37" i="4"/>
  <c r="BP37" i="4"/>
  <c r="CM32" i="4"/>
  <c r="CM33" i="4"/>
  <c r="CM34" i="4"/>
  <c r="CM35" i="4"/>
  <c r="CM36" i="4"/>
  <c r="CI30" i="4"/>
  <c r="CI31" i="4"/>
  <c r="CI32" i="4"/>
  <c r="CI33" i="4"/>
  <c r="J120" i="87"/>
  <c r="K120" i="87" s="1"/>
  <c r="CI36" i="4"/>
  <c r="BW27" i="4"/>
  <c r="BW28" i="4"/>
  <c r="BW29" i="4"/>
  <c r="BW30" i="4"/>
  <c r="BW31" i="4"/>
  <c r="BW32" i="4"/>
  <c r="BW33" i="4"/>
  <c r="BW34" i="4"/>
  <c r="J117" i="87" s="1"/>
  <c r="K117" i="87" s="1"/>
  <c r="BW36" i="4"/>
  <c r="BS20" i="4"/>
  <c r="BS21" i="4"/>
  <c r="J24" i="104" s="1"/>
  <c r="K24" i="104" s="1"/>
  <c r="BS22" i="4"/>
  <c r="J106" i="105" s="1"/>
  <c r="K106" i="105" s="1"/>
  <c r="BS25" i="4"/>
  <c r="BS26" i="4"/>
  <c r="BS27" i="4"/>
  <c r="BS28" i="4"/>
  <c r="BS29" i="4"/>
  <c r="BS31" i="4"/>
  <c r="BS32" i="4"/>
  <c r="BS33" i="4"/>
  <c r="BS36" i="4"/>
  <c r="BS37" i="4"/>
  <c r="BW59" i="4"/>
  <c r="CW71" i="4"/>
  <c r="CS71" i="4"/>
  <c r="CP71" i="4"/>
  <c r="CM71" i="4"/>
  <c r="CW70" i="4"/>
  <c r="CS70" i="4"/>
  <c r="CP70" i="4"/>
  <c r="CM70" i="4"/>
  <c r="CW68" i="4"/>
  <c r="CS68" i="4"/>
  <c r="CP68" i="4"/>
  <c r="CM68" i="4"/>
  <c r="CW67" i="4"/>
  <c r="CS67" i="4"/>
  <c r="CP67" i="4"/>
  <c r="CM67" i="4"/>
  <c r="CW66" i="4"/>
  <c r="CS66" i="4"/>
  <c r="CP66" i="4"/>
  <c r="CM66" i="4"/>
  <c r="CW64" i="4"/>
  <c r="CS64" i="4"/>
  <c r="CP64" i="4"/>
  <c r="CM64" i="4"/>
  <c r="CW63" i="4"/>
  <c r="CS63" i="4"/>
  <c r="CP63" i="4"/>
  <c r="CM63" i="4"/>
  <c r="CW62" i="4"/>
  <c r="CS62" i="4"/>
  <c r="CP62" i="4"/>
  <c r="CM62" i="4"/>
  <c r="CW61" i="4"/>
  <c r="CS61" i="4"/>
  <c r="CP61" i="4"/>
  <c r="CW60" i="4"/>
  <c r="CS60" i="4"/>
  <c r="CP60" i="4"/>
  <c r="CM60" i="4"/>
  <c r="CW59" i="4"/>
  <c r="CS59" i="4"/>
  <c r="CM59" i="4"/>
  <c r="CW58" i="4"/>
  <c r="CS58" i="4"/>
  <c r="CP58" i="4"/>
  <c r="CM58" i="4"/>
  <c r="CW57" i="4"/>
  <c r="CS57" i="4"/>
  <c r="CP57" i="4"/>
  <c r="CM57" i="4"/>
  <c r="CW54" i="4"/>
  <c r="CS54" i="4"/>
  <c r="CP54" i="4"/>
  <c r="CM54" i="4"/>
  <c r="CW53" i="4"/>
  <c r="CS53" i="4"/>
  <c r="CP53" i="4"/>
  <c r="CM53" i="4"/>
  <c r="CW50" i="4"/>
  <c r="CS50" i="4"/>
  <c r="CP50" i="4"/>
  <c r="CM50" i="4"/>
  <c r="CW49" i="4"/>
  <c r="CS49" i="4"/>
  <c r="CP49" i="4"/>
  <c r="CM49" i="4"/>
  <c r="CW48" i="4"/>
  <c r="CS48" i="4"/>
  <c r="CP48" i="4"/>
  <c r="CM48" i="4"/>
  <c r="CW46" i="4"/>
  <c r="CS46" i="4"/>
  <c r="CP46" i="4"/>
  <c r="CM46" i="4"/>
  <c r="CW45" i="4"/>
  <c r="CS45" i="4"/>
  <c r="CP45" i="4"/>
  <c r="CM45" i="4"/>
  <c r="CW44" i="4"/>
  <c r="CS44" i="4"/>
  <c r="CP44" i="4"/>
  <c r="CM44" i="4"/>
  <c r="CW43" i="4"/>
  <c r="CS43" i="4"/>
  <c r="CP43" i="4"/>
  <c r="CM43" i="4"/>
  <c r="CW42" i="4"/>
  <c r="CS42" i="4"/>
  <c r="CP42" i="4"/>
  <c r="CM42" i="4"/>
  <c r="CW41" i="4"/>
  <c r="CS41" i="4"/>
  <c r="CP41" i="4"/>
  <c r="CM41" i="4"/>
  <c r="CW40" i="4"/>
  <c r="CS40" i="4"/>
  <c r="CP40" i="4"/>
  <c r="CM40" i="4"/>
  <c r="CW39" i="4"/>
  <c r="CS39" i="4"/>
  <c r="CP39" i="4"/>
  <c r="CM39" i="4"/>
  <c r="CW38" i="4"/>
  <c r="CS38" i="4"/>
  <c r="CP38" i="4"/>
  <c r="CM38" i="4"/>
  <c r="CW37" i="4"/>
  <c r="CS37" i="4"/>
  <c r="CP37" i="4"/>
  <c r="CM37" i="4"/>
  <c r="CW36" i="4"/>
  <c r="CS36" i="4"/>
  <c r="CP36" i="4"/>
  <c r="CW35" i="4"/>
  <c r="CS35" i="4"/>
  <c r="CP35" i="4"/>
  <c r="CS34" i="4"/>
  <c r="CP34" i="4"/>
  <c r="CS33" i="4"/>
  <c r="CP33" i="4"/>
  <c r="CW32" i="4"/>
  <c r="CS32" i="4"/>
  <c r="CP32" i="4"/>
  <c r="CW31" i="4"/>
  <c r="CS31" i="4"/>
  <c r="CP31" i="4"/>
  <c r="CM31" i="4"/>
  <c r="CW30" i="4"/>
  <c r="CS30" i="4"/>
  <c r="CP30" i="4"/>
  <c r="CM30" i="4"/>
  <c r="CW29" i="4"/>
  <c r="CS29" i="4"/>
  <c r="CP29" i="4"/>
  <c r="CM29" i="4"/>
  <c r="CW28" i="4"/>
  <c r="CS28" i="4"/>
  <c r="CP28" i="4"/>
  <c r="CM28" i="4"/>
  <c r="CW27" i="4"/>
  <c r="CS27" i="4"/>
  <c r="CP27" i="4"/>
  <c r="CM27" i="4"/>
  <c r="CW26" i="4"/>
  <c r="CS26" i="4"/>
  <c r="CP26" i="4"/>
  <c r="CW25" i="4"/>
  <c r="CS25" i="4"/>
  <c r="CP25" i="4"/>
  <c r="CM25" i="4"/>
  <c r="CW24" i="4"/>
  <c r="CS24" i="4"/>
  <c r="CP24" i="4"/>
  <c r="CM24" i="4"/>
  <c r="CW23" i="4"/>
  <c r="CS23" i="4"/>
  <c r="CP23" i="4"/>
  <c r="CM23" i="4"/>
  <c r="J117" i="105"/>
  <c r="K117" i="105" s="1"/>
  <c r="CS22" i="4"/>
  <c r="J138" i="105" s="1"/>
  <c r="K138" i="105" s="1"/>
  <c r="CP22" i="4"/>
  <c r="J135" i="105" s="1"/>
  <c r="K135" i="105" s="1"/>
  <c r="CM22" i="4"/>
  <c r="J131" i="105" s="1"/>
  <c r="K131" i="105" s="1"/>
  <c r="CW21" i="4"/>
  <c r="CS21" i="4"/>
  <c r="CP21" i="4"/>
  <c r="CM21" i="4"/>
  <c r="CW20" i="4"/>
  <c r="CS20" i="4"/>
  <c r="CP20" i="4"/>
  <c r="CM20" i="4"/>
  <c r="CS19" i="4"/>
  <c r="CP19" i="4"/>
  <c r="CM19" i="4"/>
  <c r="CW18" i="4"/>
  <c r="CS18" i="4"/>
  <c r="CP18" i="4"/>
  <c r="CW17" i="4"/>
  <c r="CS17" i="4"/>
  <c r="CP17" i="4"/>
  <c r="CM17" i="4"/>
  <c r="CI71" i="4"/>
  <c r="BW71" i="4"/>
  <c r="BS71" i="4"/>
  <c r="CI70" i="4"/>
  <c r="BW70" i="4"/>
  <c r="BS70" i="4"/>
  <c r="CI68" i="4"/>
  <c r="BW68" i="4"/>
  <c r="BS68" i="4"/>
  <c r="CI67" i="4"/>
  <c r="BW67" i="4"/>
  <c r="BS67" i="4"/>
  <c r="CI66" i="4"/>
  <c r="BW66" i="4"/>
  <c r="BS66" i="4"/>
  <c r="CI64" i="4"/>
  <c r="BW64" i="4"/>
  <c r="BS64" i="4"/>
  <c r="CI63" i="4"/>
  <c r="BW63" i="4"/>
  <c r="BS63" i="4"/>
  <c r="CI62" i="4"/>
  <c r="BW62" i="4"/>
  <c r="BS62" i="4"/>
  <c r="CI61" i="4"/>
  <c r="BW61" i="4"/>
  <c r="BS61" i="4"/>
  <c r="CI60" i="4"/>
  <c r="BW60" i="4"/>
  <c r="BS60" i="4"/>
  <c r="CI59" i="4"/>
  <c r="CI58" i="4"/>
  <c r="BW58" i="4"/>
  <c r="CI57" i="4"/>
  <c r="BW57" i="4"/>
  <c r="BS57" i="4"/>
  <c r="CI54" i="4"/>
  <c r="BW54" i="4"/>
  <c r="BS54" i="4"/>
  <c r="CI53" i="4"/>
  <c r="BW53" i="4"/>
  <c r="BS53" i="4"/>
  <c r="CI50" i="4"/>
  <c r="BW50" i="4"/>
  <c r="BS50" i="4"/>
  <c r="CI49" i="4"/>
  <c r="BS49" i="4"/>
  <c r="CI48" i="4"/>
  <c r="BS48" i="4"/>
  <c r="CI46" i="4"/>
  <c r="BS46" i="4"/>
  <c r="CI45" i="4"/>
  <c r="BS45" i="4"/>
  <c r="CI44" i="4"/>
  <c r="BS44" i="4"/>
  <c r="CI43" i="4"/>
  <c r="BS43" i="4"/>
  <c r="CI42" i="4"/>
  <c r="BS42" i="4"/>
  <c r="CI41" i="4"/>
  <c r="BS41" i="4"/>
  <c r="CI40" i="4"/>
  <c r="BS40" i="4"/>
  <c r="CI39" i="4"/>
  <c r="BS39" i="4"/>
  <c r="CI38" i="4"/>
  <c r="BS38" i="4"/>
  <c r="CI37" i="4"/>
  <c r="CI29" i="4"/>
  <c r="CI28" i="4"/>
  <c r="CI27" i="4"/>
  <c r="CI26" i="4"/>
  <c r="BW26" i="4"/>
  <c r="CI25" i="4"/>
  <c r="J116" i="105" s="1"/>
  <c r="BW25" i="4"/>
  <c r="CI24" i="4"/>
  <c r="J115" i="105" s="1"/>
  <c r="BW24" i="4"/>
  <c r="CI23" i="4"/>
  <c r="J113" i="105" s="1"/>
  <c r="BW23" i="4"/>
  <c r="CI22" i="4"/>
  <c r="J112" i="105" s="1"/>
  <c r="K112" i="105" s="1"/>
  <c r="BW22" i="4"/>
  <c r="J109" i="105" s="1"/>
  <c r="K109" i="105" s="1"/>
  <c r="CI21" i="4"/>
  <c r="BW21" i="4"/>
  <c r="CI20" i="4"/>
  <c r="BW20" i="4"/>
  <c r="CI19" i="4"/>
  <c r="BW19" i="4"/>
  <c r="BS19" i="4"/>
  <c r="CI18" i="4"/>
  <c r="BW18" i="4"/>
  <c r="BS18" i="4"/>
  <c r="CI17" i="4"/>
  <c r="BW17" i="4"/>
  <c r="BS17" i="4"/>
  <c r="BP71" i="4"/>
  <c r="BL71" i="4"/>
  <c r="BH71" i="4"/>
  <c r="BP70" i="4"/>
  <c r="BL70" i="4"/>
  <c r="BH70" i="4"/>
  <c r="BP68" i="4"/>
  <c r="BL68" i="4"/>
  <c r="BH68" i="4"/>
  <c r="BP67" i="4"/>
  <c r="BL67" i="4"/>
  <c r="BH67" i="4"/>
  <c r="BP66" i="4"/>
  <c r="BL66" i="4"/>
  <c r="BH66" i="4"/>
  <c r="BP64" i="4"/>
  <c r="BL64" i="4"/>
  <c r="BH64" i="4"/>
  <c r="BP63" i="4"/>
  <c r="BL63" i="4"/>
  <c r="BH63" i="4"/>
  <c r="BP62" i="4"/>
  <c r="BL62" i="4"/>
  <c r="BH62" i="4"/>
  <c r="BP61" i="4"/>
  <c r="BL61" i="4"/>
  <c r="BH61" i="4"/>
  <c r="BP60" i="4"/>
  <c r="BL60" i="4"/>
  <c r="BH60" i="4"/>
  <c r="BP59" i="4"/>
  <c r="BL59" i="4"/>
  <c r="BH59" i="4"/>
  <c r="BP57" i="4"/>
  <c r="BL57" i="4"/>
  <c r="BH57" i="4"/>
  <c r="BP54" i="4"/>
  <c r="BL54" i="4"/>
  <c r="BH54" i="4"/>
  <c r="BP53" i="4"/>
  <c r="BL53" i="4"/>
  <c r="BH53" i="4"/>
  <c r="BP50" i="4"/>
  <c r="BL50" i="4"/>
  <c r="BH50" i="4"/>
  <c r="BP49" i="4"/>
  <c r="BL49" i="4"/>
  <c r="BH49" i="4"/>
  <c r="BP48" i="4"/>
  <c r="BL48" i="4"/>
  <c r="BH48" i="4"/>
  <c r="BP46" i="4"/>
  <c r="BL46" i="4"/>
  <c r="BH46" i="4"/>
  <c r="BP45" i="4"/>
  <c r="BL45" i="4"/>
  <c r="BH45" i="4"/>
  <c r="BP44" i="4"/>
  <c r="BL44" i="4"/>
  <c r="BH44" i="4"/>
  <c r="BP43" i="4"/>
  <c r="BL43" i="4"/>
  <c r="BH43" i="4"/>
  <c r="BP42" i="4"/>
  <c r="BL42" i="4"/>
  <c r="BH42" i="4"/>
  <c r="BP41" i="4"/>
  <c r="BL41" i="4"/>
  <c r="BH41" i="4"/>
  <c r="BP40" i="4"/>
  <c r="BL40" i="4"/>
  <c r="BH40" i="4"/>
  <c r="BP39" i="4"/>
  <c r="BL39" i="4"/>
  <c r="BH39" i="4"/>
  <c r="BP38" i="4"/>
  <c r="BL38" i="4"/>
  <c r="BH38" i="4"/>
  <c r="BP33" i="4"/>
  <c r="BL33" i="4"/>
  <c r="BH33" i="4"/>
  <c r="BP32" i="4"/>
  <c r="BL32" i="4"/>
  <c r="BH32" i="4"/>
  <c r="BP31" i="4"/>
  <c r="BL31" i="4"/>
  <c r="BH31" i="4"/>
  <c r="BP30" i="4"/>
  <c r="BL30" i="4"/>
  <c r="BH30" i="4"/>
  <c r="BP29" i="4"/>
  <c r="BL29" i="4"/>
  <c r="BH29" i="4"/>
  <c r="BP28" i="4"/>
  <c r="BL28" i="4"/>
  <c r="BH28" i="4"/>
  <c r="BP27" i="4"/>
  <c r="BL27" i="4"/>
  <c r="BH27" i="4"/>
  <c r="BP26" i="4"/>
  <c r="BL26" i="4"/>
  <c r="BH26" i="4"/>
  <c r="BH25" i="4"/>
  <c r="BP24" i="4"/>
  <c r="BH24" i="4"/>
  <c r="BP23" i="4"/>
  <c r="BH23" i="4"/>
  <c r="BL22" i="4"/>
  <c r="J93" i="105" s="1"/>
  <c r="K93" i="105" s="1"/>
  <c r="BH22" i="4"/>
  <c r="J99" i="105" s="1"/>
  <c r="K99" i="105" s="1"/>
  <c r="BP21" i="4"/>
  <c r="BL21" i="4"/>
  <c r="BH21" i="4"/>
  <c r="BP20" i="4"/>
  <c r="BL20" i="4"/>
  <c r="BH20" i="4"/>
  <c r="BP19" i="4"/>
  <c r="BL19" i="4"/>
  <c r="BH19" i="4"/>
  <c r="BP18" i="4"/>
  <c r="BL18" i="4"/>
  <c r="BH18" i="4"/>
  <c r="BP17" i="4"/>
  <c r="BL17" i="4"/>
  <c r="BH17" i="4"/>
  <c r="BE71" i="4"/>
  <c r="BB71" i="4"/>
  <c r="AY71" i="4"/>
  <c r="AV71" i="4"/>
  <c r="BE70" i="4"/>
  <c r="BB70" i="4"/>
  <c r="AY70" i="4"/>
  <c r="AV70" i="4"/>
  <c r="BE68" i="4"/>
  <c r="BB68" i="4"/>
  <c r="AY68" i="4"/>
  <c r="AV68" i="4"/>
  <c r="BE67" i="4"/>
  <c r="BB67" i="4"/>
  <c r="AY67" i="4"/>
  <c r="AV67" i="4"/>
  <c r="BE66" i="4"/>
  <c r="BB66" i="4"/>
  <c r="AY66" i="4"/>
  <c r="AV66" i="4"/>
  <c r="BE64" i="4"/>
  <c r="BB64" i="4"/>
  <c r="AY64" i="4"/>
  <c r="AV64" i="4"/>
  <c r="BE63" i="4"/>
  <c r="BB63" i="4"/>
  <c r="AY63" i="4"/>
  <c r="AV63" i="4"/>
  <c r="BE62" i="4"/>
  <c r="BB62" i="4"/>
  <c r="AY62" i="4"/>
  <c r="AV62" i="4"/>
  <c r="BE61" i="4"/>
  <c r="BB61" i="4"/>
  <c r="AY61" i="4"/>
  <c r="AV61" i="4"/>
  <c r="BE60" i="4"/>
  <c r="BB60" i="4"/>
  <c r="AY60" i="4"/>
  <c r="AV60" i="4"/>
  <c r="BE59" i="4"/>
  <c r="BB59" i="4"/>
  <c r="AY59" i="4"/>
  <c r="BE58" i="4"/>
  <c r="BB58" i="4"/>
  <c r="T105" i="94" s="1"/>
  <c r="U105" i="94" s="1"/>
  <c r="AY58" i="4"/>
  <c r="AV58" i="4"/>
  <c r="BE57" i="4"/>
  <c r="BB57" i="4"/>
  <c r="AY57" i="4"/>
  <c r="AV57" i="4"/>
  <c r="BE54" i="4"/>
  <c r="BB54" i="4"/>
  <c r="AY54" i="4"/>
  <c r="AV54" i="4"/>
  <c r="BE53" i="4"/>
  <c r="BB53" i="4"/>
  <c r="AY53" i="4"/>
  <c r="AV53" i="4"/>
  <c r="BE50" i="4"/>
  <c r="BB50" i="4"/>
  <c r="AY50" i="4"/>
  <c r="AV50" i="4"/>
  <c r="BE49" i="4"/>
  <c r="BB49" i="4"/>
  <c r="AY49" i="4"/>
  <c r="AV49" i="4"/>
  <c r="BE48" i="4"/>
  <c r="BB48" i="4"/>
  <c r="AY48" i="4"/>
  <c r="AV48" i="4"/>
  <c r="BE46" i="4"/>
  <c r="BB46" i="4"/>
  <c r="AY46" i="4"/>
  <c r="AV46" i="4"/>
  <c r="BE45" i="4"/>
  <c r="BB45" i="4"/>
  <c r="AY45" i="4"/>
  <c r="AV45" i="4"/>
  <c r="BE44" i="4"/>
  <c r="BB44" i="4"/>
  <c r="AY44" i="4"/>
  <c r="AV44" i="4"/>
  <c r="BE43" i="4"/>
  <c r="BB43" i="4"/>
  <c r="AY43" i="4"/>
  <c r="AV43" i="4"/>
  <c r="BE42" i="4"/>
  <c r="BB42" i="4"/>
  <c r="AY42" i="4"/>
  <c r="AV42" i="4"/>
  <c r="BE41" i="4"/>
  <c r="BB41" i="4"/>
  <c r="AY41" i="4"/>
  <c r="AV41" i="4"/>
  <c r="BE40" i="4"/>
  <c r="BB40" i="4"/>
  <c r="AY40" i="4"/>
  <c r="AV40" i="4"/>
  <c r="BE39" i="4"/>
  <c r="BB39" i="4"/>
  <c r="AY39" i="4"/>
  <c r="AV39" i="4"/>
  <c r="BE38" i="4"/>
  <c r="BB38" i="4"/>
  <c r="AY38" i="4"/>
  <c r="AV38" i="4"/>
  <c r="BE33" i="4"/>
  <c r="BB33" i="4"/>
  <c r="AY33" i="4"/>
  <c r="AV33" i="4"/>
  <c r="BE32" i="4"/>
  <c r="BB32" i="4"/>
  <c r="AY32" i="4"/>
  <c r="AV32" i="4"/>
  <c r="BE31" i="4"/>
  <c r="BB31" i="4"/>
  <c r="AY31" i="4"/>
  <c r="AV31" i="4"/>
  <c r="BE30" i="4"/>
  <c r="AY30" i="4"/>
  <c r="AV30" i="4"/>
  <c r="BE29" i="4"/>
  <c r="BB29" i="4"/>
  <c r="AY29" i="4"/>
  <c r="AV29" i="4"/>
  <c r="BE28" i="4"/>
  <c r="BB28" i="4"/>
  <c r="AY28" i="4"/>
  <c r="AV28" i="4"/>
  <c r="BE27" i="4"/>
  <c r="BB27" i="4"/>
  <c r="J29" i="106" s="1"/>
  <c r="K29" i="106" s="1"/>
  <c r="AY27" i="4"/>
  <c r="AV27" i="4"/>
  <c r="BE26" i="4"/>
  <c r="BB26" i="4"/>
  <c r="AY26" i="4"/>
  <c r="AV26" i="4"/>
  <c r="BE25" i="4"/>
  <c r="BB25" i="4"/>
  <c r="AY25" i="4"/>
  <c r="AV25" i="4"/>
  <c r="BE24" i="4"/>
  <c r="BB24" i="4"/>
  <c r="AY24" i="4"/>
  <c r="AV24" i="4"/>
  <c r="BE23" i="4"/>
  <c r="BB23" i="4"/>
  <c r="AY23" i="4"/>
  <c r="AV23" i="4"/>
  <c r="BE22" i="4"/>
  <c r="J86" i="105" s="1"/>
  <c r="K86" i="105" s="1"/>
  <c r="BB22" i="4"/>
  <c r="J89" i="105" s="1"/>
  <c r="K89" i="105" s="1"/>
  <c r="AY22" i="4"/>
  <c r="J83" i="105" s="1"/>
  <c r="K83" i="105" s="1"/>
  <c r="AV22" i="4"/>
  <c r="J152" i="105" s="1"/>
  <c r="K152" i="105" s="1"/>
  <c r="BE21" i="4"/>
  <c r="BB21" i="4"/>
  <c r="AY21" i="4"/>
  <c r="AV21" i="4"/>
  <c r="BE20" i="4"/>
  <c r="BB20" i="4"/>
  <c r="AY20" i="4"/>
  <c r="AV20" i="4"/>
  <c r="BE19" i="4"/>
  <c r="BB19" i="4"/>
  <c r="AY19" i="4"/>
  <c r="AV19" i="4"/>
  <c r="BE18" i="4"/>
  <c r="BB18" i="4"/>
  <c r="AY18" i="4"/>
  <c r="AV18" i="4"/>
  <c r="BE17" i="4"/>
  <c r="BB17" i="4"/>
  <c r="AY17" i="4"/>
  <c r="AV17" i="4"/>
  <c r="AS71" i="4"/>
  <c r="AP71" i="4"/>
  <c r="AS70" i="4"/>
  <c r="AP70" i="4"/>
  <c r="AS68" i="4"/>
  <c r="AP68" i="4"/>
  <c r="AS67" i="4"/>
  <c r="AP67" i="4"/>
  <c r="AS66" i="4"/>
  <c r="AP66" i="4"/>
  <c r="AS64" i="4"/>
  <c r="AP64" i="4"/>
  <c r="AS63" i="4"/>
  <c r="AP63" i="4"/>
  <c r="AS62" i="4"/>
  <c r="AP62" i="4"/>
  <c r="AS61" i="4"/>
  <c r="AP61" i="4"/>
  <c r="AS60" i="4"/>
  <c r="AP60" i="4"/>
  <c r="AS57" i="4"/>
  <c r="AP57" i="4"/>
  <c r="AS54" i="4"/>
  <c r="AP54" i="4"/>
  <c r="AS53" i="4"/>
  <c r="AP53" i="4"/>
  <c r="AS50" i="4"/>
  <c r="AP50" i="4"/>
  <c r="AS49" i="4"/>
  <c r="AP49" i="4"/>
  <c r="AS48" i="4"/>
  <c r="AP48" i="4"/>
  <c r="AS46" i="4"/>
  <c r="AP46" i="4"/>
  <c r="AS45" i="4"/>
  <c r="AP45" i="4"/>
  <c r="AP44" i="4"/>
  <c r="AS43" i="4"/>
  <c r="AP43" i="4"/>
  <c r="AS42" i="4"/>
  <c r="AP42" i="4"/>
  <c r="AS41" i="4"/>
  <c r="AP41" i="4"/>
  <c r="AS40" i="4"/>
  <c r="AP40" i="4"/>
  <c r="AS39" i="4"/>
  <c r="AP39" i="4"/>
  <c r="AS38" i="4"/>
  <c r="AP38" i="4"/>
  <c r="AS33" i="4"/>
  <c r="AP33" i="4"/>
  <c r="AS32" i="4"/>
  <c r="AP32" i="4"/>
  <c r="AS31" i="4"/>
  <c r="AP31" i="4"/>
  <c r="AS30" i="4"/>
  <c r="J26" i="106" s="1"/>
  <c r="K26" i="106" s="1"/>
  <c r="AP30" i="4"/>
  <c r="J23" i="106" s="1"/>
  <c r="K23" i="106" s="1"/>
  <c r="AS29" i="4"/>
  <c r="AP29" i="4"/>
  <c r="AS28" i="4"/>
  <c r="AP28" i="4"/>
  <c r="AS27" i="4"/>
  <c r="AP27" i="4"/>
  <c r="AS26" i="4"/>
  <c r="AP26" i="4"/>
  <c r="AP24" i="4"/>
  <c r="AS22" i="4"/>
  <c r="J80" i="105" s="1"/>
  <c r="K80" i="105" s="1"/>
  <c r="AP22" i="4"/>
  <c r="J75" i="105" s="1"/>
  <c r="K75" i="105" s="1"/>
  <c r="AS21" i="4"/>
  <c r="AP21" i="4"/>
  <c r="AS20" i="4"/>
  <c r="AP20" i="4"/>
  <c r="AS19" i="4"/>
  <c r="AP19" i="4"/>
  <c r="AS18" i="4"/>
  <c r="AP18" i="4"/>
  <c r="AS17" i="4"/>
  <c r="AP17" i="4"/>
  <c r="AM71" i="4"/>
  <c r="AM70" i="4"/>
  <c r="AM68" i="4"/>
  <c r="AM67" i="4"/>
  <c r="AM66" i="4"/>
  <c r="AM64" i="4"/>
  <c r="AM63" i="4"/>
  <c r="AM62" i="4"/>
  <c r="AM61" i="4"/>
  <c r="AM60" i="4"/>
  <c r="AM59" i="4"/>
  <c r="AM57" i="4"/>
  <c r="AM54" i="4"/>
  <c r="AM53" i="4"/>
  <c r="AM50" i="4"/>
  <c r="AM49" i="4"/>
  <c r="AM48" i="4"/>
  <c r="AM46" i="4"/>
  <c r="AM45" i="4"/>
  <c r="AM44" i="4"/>
  <c r="AM43" i="4"/>
  <c r="AM42" i="4"/>
  <c r="AM41" i="4"/>
  <c r="AM40" i="4"/>
  <c r="AM39" i="4"/>
  <c r="AM38" i="4"/>
  <c r="AM33" i="4"/>
  <c r="AM32" i="4"/>
  <c r="AM31" i="4"/>
  <c r="AM30" i="4"/>
  <c r="AM29" i="4"/>
  <c r="AM28" i="4"/>
  <c r="AM27" i="4"/>
  <c r="AM26" i="4"/>
  <c r="AM25" i="4"/>
  <c r="AM24" i="4"/>
  <c r="AM21" i="4"/>
  <c r="AM20" i="4"/>
  <c r="AM19" i="4"/>
  <c r="AM18" i="4"/>
  <c r="AM17" i="4"/>
  <c r="AG71" i="4"/>
  <c r="AG70" i="4"/>
  <c r="AG68" i="4"/>
  <c r="AG67" i="4"/>
  <c r="AG66" i="4"/>
  <c r="AG64" i="4"/>
  <c r="AG63" i="4"/>
  <c r="AG62" i="4"/>
  <c r="AG61" i="4"/>
  <c r="AG60" i="4"/>
  <c r="AG59" i="4"/>
  <c r="AG58" i="4"/>
  <c r="AG57" i="4"/>
  <c r="AG54" i="4"/>
  <c r="AG53" i="4"/>
  <c r="AG50" i="4"/>
  <c r="AG49" i="4"/>
  <c r="AG48" i="4"/>
  <c r="AG46" i="4"/>
  <c r="AG45" i="4"/>
  <c r="AG44" i="4"/>
  <c r="AG43" i="4"/>
  <c r="AG42" i="4"/>
  <c r="AG41" i="4"/>
  <c r="AG40" i="4"/>
  <c r="AG39" i="4"/>
  <c r="AG38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J50" i="105" s="1"/>
  <c r="K50" i="105" s="1"/>
  <c r="AG21" i="4"/>
  <c r="J51" i="104" s="1"/>
  <c r="K51" i="104" s="1"/>
  <c r="AG20" i="4"/>
  <c r="AG19" i="4"/>
  <c r="AG18" i="4"/>
  <c r="AG17" i="4"/>
  <c r="AD71" i="4"/>
  <c r="AD70" i="4"/>
  <c r="AD68" i="4"/>
  <c r="AD67" i="4"/>
  <c r="AD66" i="4"/>
  <c r="AD64" i="4"/>
  <c r="AD63" i="4"/>
  <c r="AD62" i="4"/>
  <c r="AD61" i="4"/>
  <c r="AD60" i="4"/>
  <c r="AD59" i="4"/>
  <c r="AD57" i="4"/>
  <c r="AD54" i="4"/>
  <c r="AD53" i="4"/>
  <c r="AD50" i="4"/>
  <c r="AD49" i="4"/>
  <c r="AD48" i="4"/>
  <c r="AD46" i="4"/>
  <c r="AD45" i="4"/>
  <c r="AD44" i="4"/>
  <c r="AD43" i="4"/>
  <c r="AD42" i="4"/>
  <c r="AD41" i="4"/>
  <c r="AD40" i="4"/>
  <c r="AD39" i="4"/>
  <c r="AD38" i="4"/>
  <c r="AD33" i="4"/>
  <c r="AD32" i="4"/>
  <c r="AD31" i="4"/>
  <c r="AD30" i="4"/>
  <c r="AD29" i="4"/>
  <c r="AD27" i="4"/>
  <c r="AD26" i="4"/>
  <c r="AD25" i="4"/>
  <c r="AD24" i="4"/>
  <c r="AD23" i="4"/>
  <c r="AD20" i="4"/>
  <c r="AD19" i="4"/>
  <c r="AD18" i="4"/>
  <c r="AD17" i="4"/>
  <c r="AA73" i="4"/>
  <c r="DN73" i="4" s="1"/>
  <c r="AA71" i="4"/>
  <c r="AA70" i="4"/>
  <c r="AA68" i="4"/>
  <c r="AA67" i="4"/>
  <c r="AA66" i="4"/>
  <c r="AA64" i="4"/>
  <c r="AA63" i="4"/>
  <c r="AA62" i="4"/>
  <c r="AA61" i="4"/>
  <c r="AA57" i="4"/>
  <c r="AA54" i="4"/>
  <c r="AA53" i="4"/>
  <c r="AA50" i="4"/>
  <c r="AA49" i="4"/>
  <c r="AA48" i="4"/>
  <c r="AA46" i="4"/>
  <c r="AA45" i="4"/>
  <c r="AA44" i="4"/>
  <c r="AA43" i="4"/>
  <c r="AA42" i="4"/>
  <c r="AA41" i="4"/>
  <c r="AA40" i="4"/>
  <c r="AA39" i="4"/>
  <c r="AA38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J44" i="105" s="1"/>
  <c r="K44" i="105" s="1"/>
  <c r="AA21" i="4"/>
  <c r="AA20" i="4"/>
  <c r="AA19" i="4"/>
  <c r="AA18" i="4"/>
  <c r="AA17" i="4"/>
  <c r="O71" i="4"/>
  <c r="O70" i="4"/>
  <c r="O68" i="4"/>
  <c r="O67" i="4"/>
  <c r="O64" i="4"/>
  <c r="O63" i="4"/>
  <c r="O62" i="4"/>
  <c r="O61" i="4"/>
  <c r="O60" i="4"/>
  <c r="O59" i="4"/>
  <c r="O58" i="4"/>
  <c r="O57" i="4"/>
  <c r="O54" i="4"/>
  <c r="O53" i="4"/>
  <c r="O50" i="4"/>
  <c r="O49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0" i="4"/>
  <c r="O19" i="4"/>
  <c r="O18" i="4"/>
  <c r="O17" i="4"/>
  <c r="H19" i="4" l="1"/>
  <c r="H54" i="4"/>
  <c r="H66" i="4"/>
  <c r="H29" i="4"/>
  <c r="H45" i="4"/>
  <c r="H37" i="4"/>
  <c r="H60" i="4"/>
  <c r="H39" i="4"/>
  <c r="H20" i="4"/>
  <c r="H33" i="4"/>
  <c r="H41" i="4"/>
  <c r="H63" i="4"/>
  <c r="H50" i="4"/>
  <c r="H64" i="4"/>
  <c r="H27" i="4"/>
  <c r="H57" i="4"/>
  <c r="H38" i="4"/>
  <c r="H40" i="4"/>
  <c r="H49" i="4"/>
  <c r="H42" i="4"/>
  <c r="H31" i="4"/>
  <c r="H32" i="4"/>
  <c r="H43" i="4"/>
  <c r="J18" i="105"/>
  <c r="K18" i="105" s="1"/>
  <c r="J20" i="87"/>
  <c r="K20" i="87" s="1"/>
  <c r="J17" i="104"/>
  <c r="K17" i="104" s="1"/>
  <c r="CP52" i="4"/>
  <c r="CS52" i="4"/>
  <c r="J64" i="104"/>
  <c r="K64" i="104" s="1"/>
  <c r="AV52" i="4"/>
  <c r="J83" i="87"/>
  <c r="K83" i="87" s="1"/>
  <c r="AY52" i="4"/>
  <c r="J45" i="104"/>
  <c r="K45" i="104" s="1"/>
  <c r="AA52" i="4"/>
  <c r="O52" i="4"/>
  <c r="J86" i="87"/>
  <c r="K86" i="87" s="1"/>
  <c r="BE52" i="4"/>
  <c r="DN17" i="4"/>
  <c r="DN29" i="4"/>
  <c r="DN33" i="4"/>
  <c r="DN37" i="4"/>
  <c r="DN41" i="4"/>
  <c r="DN70" i="4"/>
  <c r="DN64" i="4"/>
  <c r="DN60" i="4"/>
  <c r="DN57" i="4"/>
  <c r="DN63" i="4"/>
  <c r="DN68" i="4"/>
  <c r="DN19" i="4"/>
  <c r="DN27" i="4"/>
  <c r="DN31" i="4"/>
  <c r="DN39" i="4"/>
  <c r="DN43" i="4"/>
  <c r="DN54" i="4"/>
  <c r="DN50" i="4"/>
  <c r="DN20" i="4"/>
  <c r="DN32" i="4"/>
  <c r="DN40" i="4"/>
  <c r="DN42" i="4"/>
  <c r="DN45" i="4"/>
  <c r="J8" i="72"/>
  <c r="K8" i="72" s="1"/>
  <c r="J20" i="106"/>
  <c r="K20" i="106" s="1"/>
  <c r="J8" i="107"/>
  <c r="H8" i="107"/>
  <c r="J7" i="107"/>
  <c r="H7" i="107"/>
  <c r="J9" i="107"/>
  <c r="H9" i="107"/>
  <c r="J11" i="107"/>
  <c r="H11" i="107"/>
  <c r="H68" i="4"/>
  <c r="K7" i="107" l="1"/>
  <c r="K11" i="107"/>
  <c r="K9" i="107"/>
  <c r="K8" i="107"/>
  <c r="O21" i="90" l="1"/>
  <c r="N21" i="90"/>
  <c r="M21" i="90"/>
  <c r="L21" i="90"/>
  <c r="K21" i="90"/>
  <c r="J21" i="90"/>
  <c r="I21" i="90"/>
  <c r="H21" i="90"/>
  <c r="G21" i="90"/>
  <c r="F21" i="90"/>
  <c r="E21" i="90"/>
  <c r="D21" i="90"/>
  <c r="C21" i="90"/>
  <c r="F45" i="98"/>
  <c r="G45" i="98" s="1"/>
  <c r="H45" i="98" s="1"/>
  <c r="I45" i="98" s="1"/>
  <c r="H197" i="98"/>
  <c r="G197" i="98"/>
  <c r="F197" i="98"/>
  <c r="H113" i="98"/>
  <c r="F113" i="98"/>
  <c r="G113" i="98"/>
  <c r="H26" i="98"/>
  <c r="G26" i="98"/>
  <c r="F26" i="98"/>
  <c r="J179" i="87"/>
  <c r="K179" i="87" s="1"/>
  <c r="J134" i="87"/>
  <c r="K134" i="87" s="1"/>
  <c r="C11" i="75"/>
  <c r="G24" i="92"/>
  <c r="J24" i="92"/>
  <c r="I24" i="92"/>
  <c r="O24" i="92"/>
  <c r="L24" i="92"/>
  <c r="H24" i="92"/>
  <c r="N24" i="92"/>
  <c r="F24" i="92"/>
  <c r="K24" i="92"/>
  <c r="E24" i="92"/>
  <c r="M24" i="92"/>
  <c r="D24" i="92"/>
  <c r="DA69" i="4"/>
  <c r="T208" i="94" s="1"/>
  <c r="U208" i="94" s="1"/>
  <c r="AO69" i="4"/>
  <c r="K156" i="87"/>
  <c r="CY55" i="4"/>
  <c r="CJ55" i="4"/>
  <c r="BG55" i="4"/>
  <c r="BF55" i="4"/>
  <c r="BA55" i="4"/>
  <c r="AZ55" i="4"/>
  <c r="AX55" i="4"/>
  <c r="AW55" i="4"/>
  <c r="AU55" i="4"/>
  <c r="O107" i="75"/>
  <c r="N107" i="75"/>
  <c r="K107" i="75"/>
  <c r="H107" i="75"/>
  <c r="G107" i="75"/>
  <c r="F107" i="75"/>
  <c r="D107" i="75"/>
  <c r="O71" i="75"/>
  <c r="N71" i="75"/>
  <c r="K71" i="75"/>
  <c r="H71" i="75"/>
  <c r="G71" i="75"/>
  <c r="F71" i="75"/>
  <c r="P14" i="94"/>
  <c r="P22" i="94"/>
  <c r="O22" i="94" s="1"/>
  <c r="P25" i="94"/>
  <c r="O25" i="94" s="1"/>
  <c r="P60" i="94"/>
  <c r="O60" i="94" s="1"/>
  <c r="P208" i="94"/>
  <c r="O208" i="94" s="1"/>
  <c r="H14" i="4"/>
  <c r="H13" i="4"/>
  <c r="DG69" i="4"/>
  <c r="CU55" i="4"/>
  <c r="J96" i="87"/>
  <c r="K96" i="87" s="1"/>
  <c r="Q55" i="4"/>
  <c r="I98" i="73"/>
  <c r="I97" i="73"/>
  <c r="I77" i="73"/>
  <c r="I66" i="73"/>
  <c r="I64" i="73"/>
  <c r="I63" i="73"/>
  <c r="I54" i="73"/>
  <c r="I52" i="73"/>
  <c r="I48" i="73"/>
  <c r="I47" i="73"/>
  <c r="I46" i="73"/>
  <c r="I45" i="73"/>
  <c r="I44" i="73"/>
  <c r="I43" i="73"/>
  <c r="I41" i="73"/>
  <c r="I40" i="73"/>
  <c r="I38" i="73"/>
  <c r="I37" i="73"/>
  <c r="I36" i="73"/>
  <c r="I33" i="73"/>
  <c r="I32" i="73"/>
  <c r="I29" i="73"/>
  <c r="I28" i="73"/>
  <c r="I25" i="73"/>
  <c r="I24" i="73"/>
  <c r="I23" i="73"/>
  <c r="I22" i="73"/>
  <c r="I20" i="73"/>
  <c r="I19" i="73"/>
  <c r="I18" i="73"/>
  <c r="I17" i="73"/>
  <c r="I16" i="73"/>
  <c r="I15" i="73"/>
  <c r="C11" i="92"/>
  <c r="P11" i="92" s="1"/>
  <c r="I55" i="73"/>
  <c r="J89" i="4"/>
  <c r="I89" i="4"/>
  <c r="DO70" i="4"/>
  <c r="DG72" i="4"/>
  <c r="H17" i="4"/>
  <c r="P65" i="94"/>
  <c r="O65" i="94" s="1"/>
  <c r="P74" i="94"/>
  <c r="O74" i="94" s="1"/>
  <c r="P193" i="94"/>
  <c r="O193" i="94" s="1"/>
  <c r="P236" i="94"/>
  <c r="O236" i="94" s="1"/>
  <c r="P197" i="94"/>
  <c r="O197" i="94" s="1"/>
  <c r="P190" i="94"/>
  <c r="O190" i="94" s="1"/>
  <c r="P119" i="94"/>
  <c r="P112" i="94"/>
  <c r="O112" i="94" s="1"/>
  <c r="P109" i="94"/>
  <c r="O109" i="94" s="1"/>
  <c r="P100" i="94"/>
  <c r="O100" i="94" s="1"/>
  <c r="P95" i="94"/>
  <c r="O95" i="94" s="1"/>
  <c r="P86" i="94"/>
  <c r="P69" i="94"/>
  <c r="O69" i="94" s="1"/>
  <c r="P81" i="94"/>
  <c r="O81" i="94" s="1"/>
  <c r="T25" i="91"/>
  <c r="S25" i="91"/>
  <c r="R25" i="91"/>
  <c r="P25" i="91"/>
  <c r="L25" i="91"/>
  <c r="H25" i="91"/>
  <c r="D25" i="91"/>
  <c r="P32" i="91"/>
  <c r="L18" i="91"/>
  <c r="H18" i="91"/>
  <c r="D18" i="91"/>
  <c r="T11" i="91"/>
  <c r="S11" i="91"/>
  <c r="R11" i="91"/>
  <c r="I126" i="83"/>
  <c r="I125" i="83"/>
  <c r="J126" i="83"/>
  <c r="J125" i="83"/>
  <c r="D11" i="83"/>
  <c r="D10" i="83"/>
  <c r="D9" i="83"/>
  <c r="H11" i="83"/>
  <c r="H10" i="83"/>
  <c r="H9" i="83"/>
  <c r="L11" i="83"/>
  <c r="L10" i="83"/>
  <c r="D148" i="83"/>
  <c r="C148" i="83"/>
  <c r="B148" i="83"/>
  <c r="D144" i="83"/>
  <c r="C144" i="83"/>
  <c r="B144" i="83"/>
  <c r="K11" i="83"/>
  <c r="K10" i="83"/>
  <c r="F8" i="83"/>
  <c r="H125" i="83" s="1"/>
  <c r="B8" i="83"/>
  <c r="D8" i="83" s="1"/>
  <c r="G9" i="83"/>
  <c r="K59" i="75"/>
  <c r="C46" i="75"/>
  <c r="C45" i="75"/>
  <c r="C37" i="75"/>
  <c r="C36" i="75"/>
  <c r="H125" i="75"/>
  <c r="H59" i="75"/>
  <c r="H29" i="75"/>
  <c r="C144" i="84"/>
  <c r="B144" i="84"/>
  <c r="D143" i="84"/>
  <c r="C143" i="84"/>
  <c r="B143" i="84"/>
  <c r="C142" i="84"/>
  <c r="D140" i="84"/>
  <c r="C140" i="84"/>
  <c r="C139" i="84"/>
  <c r="D138" i="84"/>
  <c r="C138" i="84"/>
  <c r="B138" i="84"/>
  <c r="B136" i="84"/>
  <c r="C135" i="84"/>
  <c r="B135" i="84"/>
  <c r="B134" i="84"/>
  <c r="B133" i="84"/>
  <c r="B132" i="84"/>
  <c r="C131" i="84"/>
  <c r="D121" i="84"/>
  <c r="C121" i="84"/>
  <c r="D120" i="84"/>
  <c r="C120" i="84"/>
  <c r="D112" i="84"/>
  <c r="C112" i="84"/>
  <c r="D111" i="84"/>
  <c r="C111" i="84"/>
  <c r="D110" i="84"/>
  <c r="D114" i="84" s="1"/>
  <c r="C110" i="84"/>
  <c r="C114" i="84" s="1"/>
  <c r="D102" i="84"/>
  <c r="E90" i="84"/>
  <c r="G88" i="84"/>
  <c r="G87" i="84"/>
  <c r="G85" i="84"/>
  <c r="D142" i="84" s="1"/>
  <c r="F84" i="84"/>
  <c r="D144" i="84"/>
  <c r="G81" i="84"/>
  <c r="G75" i="84"/>
  <c r="E75" i="84"/>
  <c r="F73" i="84"/>
  <c r="I72" i="84"/>
  <c r="H72" i="84"/>
  <c r="I71" i="84"/>
  <c r="D148" i="84" s="1"/>
  <c r="H71" i="84"/>
  <c r="F69" i="84"/>
  <c r="H69" i="84" s="1"/>
  <c r="F68" i="84"/>
  <c r="I68" i="84" s="1"/>
  <c r="F67" i="84"/>
  <c r="I67" i="84" s="1"/>
  <c r="F66" i="84"/>
  <c r="I61" i="84"/>
  <c r="E61" i="84"/>
  <c r="F59" i="84"/>
  <c r="G59" i="84" s="1"/>
  <c r="F58" i="84"/>
  <c r="G58" i="84" s="1"/>
  <c r="F57" i="84"/>
  <c r="G57" i="84" s="1"/>
  <c r="F56" i="84"/>
  <c r="G56" i="84" s="1"/>
  <c r="D149" i="84" s="1"/>
  <c r="F55" i="84"/>
  <c r="G55" i="84" s="1"/>
  <c r="F54" i="84"/>
  <c r="G54" i="84" s="1"/>
  <c r="G50" i="84"/>
  <c r="E50" i="84"/>
  <c r="C50" i="84"/>
  <c r="H48" i="84"/>
  <c r="F47" i="84"/>
  <c r="H47" i="84" s="1"/>
  <c r="I47" i="84" s="1"/>
  <c r="D139" i="84" s="1"/>
  <c r="H46" i="84"/>
  <c r="I46" i="84" s="1"/>
  <c r="D131" i="84" s="1"/>
  <c r="H45" i="84"/>
  <c r="F44" i="84"/>
  <c r="H44" i="84" s="1"/>
  <c r="I43" i="84"/>
  <c r="F43" i="84"/>
  <c r="H41" i="84"/>
  <c r="I41" i="84" s="1"/>
  <c r="H40" i="84"/>
  <c r="I40" i="84" s="1"/>
  <c r="H39" i="84"/>
  <c r="I39" i="84" s="1"/>
  <c r="C36" i="84"/>
  <c r="G33" i="84"/>
  <c r="F33" i="84"/>
  <c r="H33" i="84" s="1"/>
  <c r="F32" i="84"/>
  <c r="I32" i="84" s="1"/>
  <c r="F31" i="84"/>
  <c r="H31" i="84" s="1"/>
  <c r="E30" i="84"/>
  <c r="F30" i="84" s="1"/>
  <c r="E29" i="84"/>
  <c r="E28" i="84"/>
  <c r="F28" i="84" s="1"/>
  <c r="I28" i="84" s="1"/>
  <c r="F27" i="84"/>
  <c r="F26" i="84"/>
  <c r="H26" i="84" s="1"/>
  <c r="F25" i="84"/>
  <c r="H25" i="84" s="1"/>
  <c r="F24" i="84"/>
  <c r="I24" i="84" s="1"/>
  <c r="D135" i="84" s="1"/>
  <c r="F23" i="84"/>
  <c r="I22" i="84"/>
  <c r="H22" i="84"/>
  <c r="I21" i="84"/>
  <c r="E21" i="84"/>
  <c r="H21" i="84" s="1"/>
  <c r="I20" i="84"/>
  <c r="E20" i="84"/>
  <c r="H20" i="84" s="1"/>
  <c r="I19" i="84"/>
  <c r="E19" i="84"/>
  <c r="H19" i="84" s="1"/>
  <c r="I18" i="84"/>
  <c r="E18" i="84"/>
  <c r="H18" i="84" s="1"/>
  <c r="I17" i="84"/>
  <c r="D134" i="84" s="1"/>
  <c r="E17" i="84"/>
  <c r="C134" i="84" s="1"/>
  <c r="I16" i="84"/>
  <c r="D133" i="84" s="1"/>
  <c r="E16" i="84"/>
  <c r="H16" i="84" s="1"/>
  <c r="I15" i="84"/>
  <c r="E15" i="84"/>
  <c r="H15" i="84" s="1"/>
  <c r="I14" i="84"/>
  <c r="E14" i="84"/>
  <c r="H14" i="84" s="1"/>
  <c r="I13" i="84"/>
  <c r="E13" i="84"/>
  <c r="H13" i="84" s="1"/>
  <c r="I12" i="84"/>
  <c r="D132" i="84" s="1"/>
  <c r="E12" i="84"/>
  <c r="I11" i="84"/>
  <c r="E11" i="84"/>
  <c r="H11" i="84" s="1"/>
  <c r="I10" i="84"/>
  <c r="H10" i="84"/>
  <c r="F9" i="84"/>
  <c r="DQ68" i="4"/>
  <c r="DQ67" i="4"/>
  <c r="DQ66" i="4"/>
  <c r="DQ64" i="4"/>
  <c r="DQ63" i="4"/>
  <c r="DQ62" i="4"/>
  <c r="DQ61" i="4"/>
  <c r="DQ60" i="4"/>
  <c r="DQ59" i="4"/>
  <c r="DQ57" i="4"/>
  <c r="DQ50" i="4"/>
  <c r="DQ49" i="4"/>
  <c r="DQ48" i="4"/>
  <c r="DQ46" i="4"/>
  <c r="DQ45" i="4"/>
  <c r="DQ44" i="4"/>
  <c r="DQ43" i="4"/>
  <c r="DQ42" i="4"/>
  <c r="DQ41" i="4"/>
  <c r="DQ40" i="4"/>
  <c r="DQ38" i="4"/>
  <c r="DQ37" i="4"/>
  <c r="DQ33" i="4"/>
  <c r="DQ32" i="4"/>
  <c r="DQ31" i="4"/>
  <c r="DQ29" i="4"/>
  <c r="DQ27" i="4"/>
  <c r="DQ24" i="4"/>
  <c r="DQ23" i="4"/>
  <c r="DQ20" i="4"/>
  <c r="DQ19" i="4"/>
  <c r="DQ17" i="4"/>
  <c r="DQ15" i="4"/>
  <c r="DQ14" i="4"/>
  <c r="DQ13" i="4"/>
  <c r="DQ12" i="4"/>
  <c r="DQ11" i="4"/>
  <c r="DQ10" i="4"/>
  <c r="DQ9" i="4"/>
  <c r="DQ72" i="4"/>
  <c r="BU72" i="4"/>
  <c r="BU69" i="4"/>
  <c r="CR72" i="4"/>
  <c r="CQ72" i="4"/>
  <c r="CR69" i="4"/>
  <c r="CO72" i="4"/>
  <c r="CN72" i="4"/>
  <c r="CO69" i="4"/>
  <c r="CK72" i="4"/>
  <c r="CJ72" i="4"/>
  <c r="CK69" i="4"/>
  <c r="CJ69" i="4"/>
  <c r="BY72" i="4"/>
  <c r="BX72" i="4"/>
  <c r="BY69" i="4"/>
  <c r="BX69" i="4"/>
  <c r="BT72" i="4"/>
  <c r="BR72" i="4"/>
  <c r="BQ72" i="4"/>
  <c r="BN72" i="4"/>
  <c r="BM72" i="4"/>
  <c r="BN69" i="4"/>
  <c r="BL72" i="4"/>
  <c r="BJ72" i="4"/>
  <c r="BI72" i="4"/>
  <c r="BJ69" i="4"/>
  <c r="BG72" i="4"/>
  <c r="BF72" i="4"/>
  <c r="BG69" i="4"/>
  <c r="BF69" i="4"/>
  <c r="BD72" i="4"/>
  <c r="BC72" i="4"/>
  <c r="BD69" i="4"/>
  <c r="BC69" i="4"/>
  <c r="BA72" i="4"/>
  <c r="AZ72" i="4"/>
  <c r="BA69" i="4"/>
  <c r="AZ69" i="4"/>
  <c r="AX72" i="4"/>
  <c r="AW72" i="4"/>
  <c r="AX69" i="4"/>
  <c r="AU72" i="4"/>
  <c r="AT72" i="4"/>
  <c r="AU69" i="4"/>
  <c r="AR72" i="4"/>
  <c r="AQ72" i="4"/>
  <c r="AR69" i="4"/>
  <c r="AO72" i="4"/>
  <c r="AN72" i="4"/>
  <c r="AI72" i="4"/>
  <c r="AH72" i="4"/>
  <c r="AI69" i="4"/>
  <c r="AH69" i="4"/>
  <c r="AF72" i="4"/>
  <c r="AE72" i="4"/>
  <c r="AF69" i="4"/>
  <c r="AC72" i="4"/>
  <c r="AB72" i="4"/>
  <c r="AC69" i="4"/>
  <c r="Q72" i="4"/>
  <c r="P72" i="4"/>
  <c r="Q69" i="4"/>
  <c r="P69" i="4"/>
  <c r="U69" i="4"/>
  <c r="CZ72" i="4"/>
  <c r="CY72" i="4"/>
  <c r="CX72" i="4"/>
  <c r="CZ69" i="4"/>
  <c r="CY69" i="4"/>
  <c r="CX69" i="4"/>
  <c r="CU72" i="4"/>
  <c r="CT72" i="4"/>
  <c r="CU69" i="4"/>
  <c r="CT69" i="4"/>
  <c r="H73" i="4"/>
  <c r="O15" i="75"/>
  <c r="N15" i="75"/>
  <c r="D15" i="75"/>
  <c r="C5" i="83"/>
  <c r="O59" i="75"/>
  <c r="N59" i="75"/>
  <c r="G59" i="75"/>
  <c r="F59" i="75"/>
  <c r="D59" i="75"/>
  <c r="C30" i="75"/>
  <c r="C29" i="75" s="1"/>
  <c r="G125" i="75"/>
  <c r="G29" i="75"/>
  <c r="G7" i="75"/>
  <c r="N29" i="75"/>
  <c r="N7" i="75"/>
  <c r="F125" i="75"/>
  <c r="F38" i="75"/>
  <c r="F29" i="75"/>
  <c r="BZ69" i="4"/>
  <c r="G5" i="83"/>
  <c r="D38" i="75"/>
  <c r="O29" i="75"/>
  <c r="K29" i="75"/>
  <c r="D29" i="75"/>
  <c r="O7" i="75"/>
  <c r="D7" i="75"/>
  <c r="D125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F10" i="77"/>
  <c r="G5" i="77"/>
  <c r="F5" i="77"/>
  <c r="D5" i="77"/>
  <c r="D10" i="77"/>
  <c r="D13" i="77"/>
  <c r="C13" i="77"/>
  <c r="C10" i="77"/>
  <c r="C5" i="77"/>
  <c r="C41" i="77"/>
  <c r="DA72" i="4"/>
  <c r="D11" i="76"/>
  <c r="E6" i="76"/>
  <c r="F6" i="76"/>
  <c r="F5" i="76" s="1"/>
  <c r="F3" i="76" s="1"/>
  <c r="F40" i="76"/>
  <c r="E40" i="76"/>
  <c r="F37" i="76"/>
  <c r="E37" i="76"/>
  <c r="F30" i="76"/>
  <c r="E30" i="76"/>
  <c r="F16" i="76"/>
  <c r="E16" i="76"/>
  <c r="D40" i="76"/>
  <c r="D30" i="76"/>
  <c r="E11" i="76"/>
  <c r="DE72" i="4"/>
  <c r="CF69" i="4"/>
  <c r="I16" i="4"/>
  <c r="J16" i="4"/>
  <c r="U16" i="4"/>
  <c r="Z16" i="4"/>
  <c r="AA16" i="4"/>
  <c r="I69" i="4"/>
  <c r="J69" i="4"/>
  <c r="M69" i="4"/>
  <c r="W69" i="4"/>
  <c r="Y69" i="4"/>
  <c r="Z69" i="4"/>
  <c r="AK69" i="4"/>
  <c r="AL69" i="4"/>
  <c r="AY69" i="4"/>
  <c r="BK69" i="4"/>
  <c r="BV69" i="4"/>
  <c r="CL69" i="4"/>
  <c r="CS69" i="4"/>
  <c r="DM69" i="4"/>
  <c r="L72" i="4"/>
  <c r="M72" i="4"/>
  <c r="O72" i="4"/>
  <c r="S72" i="4"/>
  <c r="T72" i="4"/>
  <c r="U72" i="4"/>
  <c r="V72" i="4"/>
  <c r="W72" i="4"/>
  <c r="X72" i="4"/>
  <c r="Y72" i="4"/>
  <c r="Z72" i="4"/>
  <c r="AA72" i="4"/>
  <c r="AD72" i="4"/>
  <c r="AG72" i="4"/>
  <c r="AJ72" i="4"/>
  <c r="AK72" i="4"/>
  <c r="AL72" i="4"/>
  <c r="AM72" i="4"/>
  <c r="AP72" i="4"/>
  <c r="AS72" i="4"/>
  <c r="AV72" i="4"/>
  <c r="AY72" i="4"/>
  <c r="BB72" i="4"/>
  <c r="BE72" i="4"/>
  <c r="BH72" i="4"/>
  <c r="BK72" i="4"/>
  <c r="BO72" i="4"/>
  <c r="BP72" i="4"/>
  <c r="BS72" i="4"/>
  <c r="BV72" i="4"/>
  <c r="BW72" i="4"/>
  <c r="BZ72" i="4"/>
  <c r="CC72" i="4"/>
  <c r="CF72" i="4"/>
  <c r="CI72" i="4"/>
  <c r="CL72" i="4"/>
  <c r="CM72" i="4"/>
  <c r="CP72" i="4"/>
  <c r="CS72" i="4"/>
  <c r="CV72" i="4"/>
  <c r="CW72" i="4"/>
  <c r="DH72" i="4"/>
  <c r="DK72" i="4"/>
  <c r="DL72" i="4"/>
  <c r="DM72" i="4"/>
  <c r="D16" i="76"/>
  <c r="C32" i="75"/>
  <c r="C11" i="83"/>
  <c r="G10" i="83"/>
  <c r="G11" i="83"/>
  <c r="C10" i="83"/>
  <c r="C9" i="83"/>
  <c r="E142" i="83"/>
  <c r="K5" i="83"/>
  <c r="I124" i="83"/>
  <c r="H124" i="83"/>
  <c r="H85" i="4"/>
  <c r="I130" i="73"/>
  <c r="I65" i="73"/>
  <c r="I76" i="73"/>
  <c r="C16" i="75"/>
  <c r="D4" i="76"/>
  <c r="C39" i="75"/>
  <c r="I75" i="73" l="1"/>
  <c r="I62" i="73"/>
  <c r="I6" i="73"/>
  <c r="J6" i="73" s="1"/>
  <c r="I169" i="73"/>
  <c r="I168" i="73" s="1"/>
  <c r="BI9" i="85"/>
  <c r="BJ9" i="85" s="1"/>
  <c r="H131" i="83"/>
  <c r="I130" i="83"/>
  <c r="E18" i="98"/>
  <c r="F18" i="98" s="1"/>
  <c r="G18" i="98" s="1"/>
  <c r="H18" i="98" s="1"/>
  <c r="I18" i="98" s="1"/>
  <c r="E52" i="98"/>
  <c r="F52" i="98" s="1"/>
  <c r="G52" i="98" s="1"/>
  <c r="H52" i="98" s="1"/>
  <c r="I52" i="98" s="1"/>
  <c r="E73" i="98"/>
  <c r="F73" i="98" s="1"/>
  <c r="G73" i="98" s="1"/>
  <c r="H73" i="98" s="1"/>
  <c r="I73" i="98" s="1"/>
  <c r="E19" i="98"/>
  <c r="F19" i="98" s="1"/>
  <c r="G19" i="98" s="1"/>
  <c r="H19" i="98" s="1"/>
  <c r="I19" i="98" s="1"/>
  <c r="E6" i="98"/>
  <c r="F6" i="98" s="1"/>
  <c r="G6" i="98" s="1"/>
  <c r="H6" i="98" s="1"/>
  <c r="I6" i="98" s="1"/>
  <c r="E21" i="98"/>
  <c r="F21" i="98" s="1"/>
  <c r="G21" i="98" s="1"/>
  <c r="H21" i="98" s="1"/>
  <c r="I21" i="98" s="1"/>
  <c r="E56" i="98"/>
  <c r="E109" i="98"/>
  <c r="E22" i="98"/>
  <c r="F22" i="98" s="1"/>
  <c r="G22" i="98" s="1"/>
  <c r="H22" i="98" s="1"/>
  <c r="I22" i="98" s="1"/>
  <c r="E36" i="98"/>
  <c r="F36" i="98" s="1"/>
  <c r="E57" i="98"/>
  <c r="F57" i="98" s="1"/>
  <c r="G57" i="98" s="1"/>
  <c r="H57" i="98" s="1"/>
  <c r="I57" i="98" s="1"/>
  <c r="E80" i="98"/>
  <c r="F80" i="98" s="1"/>
  <c r="G80" i="98" s="1"/>
  <c r="H80" i="98" s="1"/>
  <c r="I80" i="98" s="1"/>
  <c r="E14" i="98"/>
  <c r="F14" i="98" s="1"/>
  <c r="G14" i="98" s="1"/>
  <c r="H14" i="98" s="1"/>
  <c r="I14" i="98" s="1"/>
  <c r="E37" i="98"/>
  <c r="E58" i="98"/>
  <c r="F58" i="98" s="1"/>
  <c r="G58" i="98" s="1"/>
  <c r="H58" i="98" s="1"/>
  <c r="I58" i="98" s="1"/>
  <c r="E15" i="98"/>
  <c r="F15" i="98" s="1"/>
  <c r="G15" i="98" s="1"/>
  <c r="H15" i="98" s="1"/>
  <c r="I15" i="98" s="1"/>
  <c r="E41" i="98"/>
  <c r="E59" i="98"/>
  <c r="F59" i="98" s="1"/>
  <c r="G59" i="98" s="1"/>
  <c r="H59" i="98" s="1"/>
  <c r="I59" i="98" s="1"/>
  <c r="E81" i="98"/>
  <c r="F81" i="98" s="1"/>
  <c r="G81" i="98" s="1"/>
  <c r="H81" i="98" s="1"/>
  <c r="I81" i="98" s="1"/>
  <c r="E16" i="98"/>
  <c r="F16" i="98" s="1"/>
  <c r="G16" i="98" s="1"/>
  <c r="H16" i="98" s="1"/>
  <c r="I16" i="98" s="1"/>
  <c r="E26" i="98"/>
  <c r="E42" i="98"/>
  <c r="F42" i="98" s="1"/>
  <c r="G42" i="98" s="1"/>
  <c r="H42" i="98" s="1"/>
  <c r="I42" i="98" s="1"/>
  <c r="E61" i="98"/>
  <c r="F61" i="98" s="1"/>
  <c r="G61" i="98" s="1"/>
  <c r="H61" i="98" s="1"/>
  <c r="I61" i="98" s="1"/>
  <c r="E90" i="98"/>
  <c r="F90" i="98" s="1"/>
  <c r="G90" i="98" s="1"/>
  <c r="H90" i="98" s="1"/>
  <c r="I90" i="98" s="1"/>
  <c r="E115" i="98"/>
  <c r="E17" i="98"/>
  <c r="F17" i="98" s="1"/>
  <c r="G17" i="98" s="1"/>
  <c r="H17" i="98" s="1"/>
  <c r="I17" i="98" s="1"/>
  <c r="E27" i="98"/>
  <c r="F27" i="98" s="1"/>
  <c r="G27" i="98" s="1"/>
  <c r="E44" i="98"/>
  <c r="F44" i="98" s="1"/>
  <c r="G44" i="98" s="1"/>
  <c r="H44" i="98" s="1"/>
  <c r="I44" i="98" s="1"/>
  <c r="E98" i="98"/>
  <c r="E91" i="98"/>
  <c r="F91" i="98" s="1"/>
  <c r="G91" i="98" s="1"/>
  <c r="H91" i="98" s="1"/>
  <c r="I91" i="98" s="1"/>
  <c r="E9" i="98"/>
  <c r="F9" i="98" s="1"/>
  <c r="G9" i="98" s="1"/>
  <c r="E64" i="98"/>
  <c r="F64" i="98" s="1"/>
  <c r="G64" i="98" s="1"/>
  <c r="H64" i="98" s="1"/>
  <c r="I64" i="98" s="1"/>
  <c r="E7" i="98"/>
  <c r="F7" i="98" s="1"/>
  <c r="G7" i="98" s="1"/>
  <c r="E8" i="98"/>
  <c r="F8" i="98" s="1"/>
  <c r="G8" i="98" s="1"/>
  <c r="E53" i="98"/>
  <c r="F53" i="98" s="1"/>
  <c r="G53" i="98" s="1"/>
  <c r="H53" i="98" s="1"/>
  <c r="I53" i="98" s="1"/>
  <c r="E24" i="98"/>
  <c r="F24" i="98" s="1"/>
  <c r="G24" i="98" s="1"/>
  <c r="H24" i="98" s="1"/>
  <c r="E23" i="98"/>
  <c r="F23" i="98" s="1"/>
  <c r="G23" i="98" s="1"/>
  <c r="H23" i="98" s="1"/>
  <c r="I23" i="98" s="1"/>
  <c r="E160" i="98"/>
  <c r="E89" i="98"/>
  <c r="F89" i="98" s="1"/>
  <c r="G89" i="98" s="1"/>
  <c r="H89" i="98" s="1"/>
  <c r="I89" i="98" s="1"/>
  <c r="L29" i="75"/>
  <c r="E114" i="98"/>
  <c r="N5" i="75"/>
  <c r="N47" i="75" s="1"/>
  <c r="J80" i="111"/>
  <c r="J92" i="111" s="1"/>
  <c r="O5" i="75"/>
  <c r="O47" i="75" s="1"/>
  <c r="D5" i="75"/>
  <c r="D47" i="75" s="1"/>
  <c r="L59" i="75"/>
  <c r="G139" i="75"/>
  <c r="G141" i="75" s="1"/>
  <c r="G143" i="75" s="1"/>
  <c r="L71" i="75"/>
  <c r="L15" i="75"/>
  <c r="H139" i="75"/>
  <c r="L107" i="75"/>
  <c r="E29" i="75"/>
  <c r="L7" i="75"/>
  <c r="E38" i="75"/>
  <c r="F139" i="75"/>
  <c r="D139" i="75"/>
  <c r="K139" i="75"/>
  <c r="BI6" i="85"/>
  <c r="P222" i="94"/>
  <c r="P237" i="94"/>
  <c r="F37" i="98"/>
  <c r="G37" i="98" s="1"/>
  <c r="H37" i="98" s="1"/>
  <c r="I37" i="98" s="1"/>
  <c r="F51" i="98"/>
  <c r="G51" i="98" s="1"/>
  <c r="H51" i="98" s="1"/>
  <c r="I51" i="98" s="1"/>
  <c r="F55" i="98"/>
  <c r="G55" i="98" s="1"/>
  <c r="H55" i="98" s="1"/>
  <c r="I55" i="98" s="1"/>
  <c r="F84" i="98"/>
  <c r="G84" i="98" s="1"/>
  <c r="H84" i="98" s="1"/>
  <c r="I84" i="98" s="1"/>
  <c r="C5" i="92"/>
  <c r="P5" i="92" s="1"/>
  <c r="F43" i="98"/>
  <c r="G43" i="98" s="1"/>
  <c r="H43" i="98" s="1"/>
  <c r="I43" i="98" s="1"/>
  <c r="I74" i="98"/>
  <c r="C8" i="92"/>
  <c r="P8" i="92" s="1"/>
  <c r="F39" i="98"/>
  <c r="G39" i="98" s="1"/>
  <c r="H39" i="98" s="1"/>
  <c r="I39" i="98" s="1"/>
  <c r="F56" i="98"/>
  <c r="G56" i="98" s="1"/>
  <c r="H56" i="98" s="1"/>
  <c r="I56" i="98" s="1"/>
  <c r="C21" i="92"/>
  <c r="P21" i="92" s="1"/>
  <c r="I131" i="83"/>
  <c r="DM55" i="4"/>
  <c r="DM74" i="4" s="1"/>
  <c r="H8" i="83"/>
  <c r="G8" i="83"/>
  <c r="DO17" i="4"/>
  <c r="D22" i="90"/>
  <c r="H22" i="90"/>
  <c r="L22" i="90"/>
  <c r="C22" i="92"/>
  <c r="P22" i="92" s="1"/>
  <c r="C115" i="84"/>
  <c r="H32" i="84"/>
  <c r="I26" i="84"/>
  <c r="I31" i="84"/>
  <c r="C123" i="84"/>
  <c r="H68" i="84"/>
  <c r="H17" i="84"/>
  <c r="H28" i="84"/>
  <c r="I25" i="84"/>
  <c r="D29" i="76"/>
  <c r="D26" i="77"/>
  <c r="D36" i="77" s="1"/>
  <c r="E22" i="90"/>
  <c r="M22" i="90"/>
  <c r="C8" i="83"/>
  <c r="J22" i="90"/>
  <c r="H27" i="91"/>
  <c r="H24" i="84"/>
  <c r="C42" i="77"/>
  <c r="C46" i="77" s="1"/>
  <c r="I69" i="84"/>
  <c r="D27" i="91"/>
  <c r="C9" i="92"/>
  <c r="P9" i="92" s="1"/>
  <c r="DL55" i="4"/>
  <c r="C9" i="75"/>
  <c r="C12" i="92"/>
  <c r="P12" i="92" s="1"/>
  <c r="C7" i="92"/>
  <c r="P7" i="92" s="1"/>
  <c r="C20" i="92"/>
  <c r="P20" i="92" s="1"/>
  <c r="C15" i="92"/>
  <c r="P15" i="92" s="1"/>
  <c r="DQ16" i="4"/>
  <c r="C14" i="92"/>
  <c r="P14" i="92" s="1"/>
  <c r="C10" i="92"/>
  <c r="P10" i="92" s="1"/>
  <c r="F88" i="98"/>
  <c r="G88" i="98" s="1"/>
  <c r="H88" i="98" s="1"/>
  <c r="I88" i="98" s="1"/>
  <c r="F13" i="98"/>
  <c r="G13" i="98" s="1"/>
  <c r="H13" i="98" s="1"/>
  <c r="I13" i="98" s="1"/>
  <c r="C45" i="83"/>
  <c r="D217" i="98"/>
  <c r="D216" i="98" s="1"/>
  <c r="BA74" i="4"/>
  <c r="DO63" i="4"/>
  <c r="B73" i="83"/>
  <c r="C4" i="92"/>
  <c r="P4" i="92" s="1"/>
  <c r="I141" i="73"/>
  <c r="H9" i="84"/>
  <c r="I9" i="84"/>
  <c r="C16" i="92"/>
  <c r="P16" i="92" s="1"/>
  <c r="J124" i="83"/>
  <c r="I132" i="83" s="1"/>
  <c r="G61" i="84"/>
  <c r="C26" i="77"/>
  <c r="C36" i="77" s="1"/>
  <c r="DO73" i="4"/>
  <c r="H73" i="84"/>
  <c r="I73" i="84"/>
  <c r="C44" i="75"/>
  <c r="C38" i="75" s="1"/>
  <c r="H23" i="84"/>
  <c r="I23" i="84"/>
  <c r="C133" i="84"/>
  <c r="F29" i="76"/>
  <c r="F47" i="76" s="1"/>
  <c r="G26" i="77"/>
  <c r="G36" i="77" s="1"/>
  <c r="O5" i="83"/>
  <c r="P5" i="83" s="1"/>
  <c r="F29" i="84"/>
  <c r="I29" i="84" s="1"/>
  <c r="D136" i="84" s="1"/>
  <c r="C136" i="84"/>
  <c r="F61" i="84"/>
  <c r="O10" i="83"/>
  <c r="F147" i="83"/>
  <c r="E5" i="76"/>
  <c r="E3" i="76" s="1"/>
  <c r="H67" i="84"/>
  <c r="C6" i="92"/>
  <c r="P6" i="92" s="1"/>
  <c r="E147" i="83"/>
  <c r="CJ74" i="4"/>
  <c r="K22" i="90"/>
  <c r="D115" i="84"/>
  <c r="C14" i="75"/>
  <c r="BF74" i="4"/>
  <c r="F22" i="90"/>
  <c r="L27" i="91"/>
  <c r="Q74" i="4"/>
  <c r="BG74" i="4"/>
  <c r="G22" i="90"/>
  <c r="C10" i="75"/>
  <c r="I22" i="90"/>
  <c r="C8" i="75"/>
  <c r="CR55" i="4"/>
  <c r="CR74" i="4" s="1"/>
  <c r="AI55" i="4"/>
  <c r="AI74" i="4" s="1"/>
  <c r="X69" i="4"/>
  <c r="T25" i="94" s="1"/>
  <c r="U25" i="94" s="1"/>
  <c r="DL69" i="4"/>
  <c r="BI29" i="85" s="1"/>
  <c r="BJ29" i="85" s="1"/>
  <c r="F7" i="75"/>
  <c r="AG69" i="4"/>
  <c r="BI45" i="85" s="1"/>
  <c r="BJ45" i="85" s="1"/>
  <c r="J102" i="87"/>
  <c r="K102" i="87" s="1"/>
  <c r="DO40" i="4"/>
  <c r="BE69" i="4"/>
  <c r="BY55" i="4"/>
  <c r="BY74" i="4" s="1"/>
  <c r="I135" i="73"/>
  <c r="S16" i="4"/>
  <c r="BW69" i="4"/>
  <c r="H7" i="75"/>
  <c r="I119" i="73"/>
  <c r="DE55" i="4"/>
  <c r="BO69" i="4"/>
  <c r="DO50" i="4"/>
  <c r="J148" i="87"/>
  <c r="K148" i="87" s="1"/>
  <c r="J130" i="87"/>
  <c r="K130" i="87" s="1"/>
  <c r="AC55" i="4"/>
  <c r="AC74" i="4" s="1"/>
  <c r="AU74" i="4"/>
  <c r="G84" i="84"/>
  <c r="G90" i="84" s="1"/>
  <c r="F90" i="84"/>
  <c r="F75" i="84"/>
  <c r="H66" i="84"/>
  <c r="I66" i="84"/>
  <c r="E36" i="84"/>
  <c r="C93" i="84" s="1"/>
  <c r="E29" i="76"/>
  <c r="C132" i="84"/>
  <c r="H12" i="84"/>
  <c r="G36" i="84"/>
  <c r="F26" i="77"/>
  <c r="F36" i="77" s="1"/>
  <c r="H43" i="84"/>
  <c r="H50" i="84" s="1"/>
  <c r="C97" i="84" s="1"/>
  <c r="F50" i="84"/>
  <c r="H82" i="4"/>
  <c r="H5" i="76"/>
  <c r="D5" i="76"/>
  <c r="D3" i="76" s="1"/>
  <c r="I30" i="84"/>
  <c r="H30" i="84"/>
  <c r="D123" i="84"/>
  <c r="AZ74" i="4"/>
  <c r="DK55" i="4"/>
  <c r="J9" i="83"/>
  <c r="H27" i="84"/>
  <c r="I27" i="84"/>
  <c r="I33" i="84"/>
  <c r="I50" i="84"/>
  <c r="D97" i="84" s="1"/>
  <c r="H126" i="83"/>
  <c r="H130" i="83" s="1"/>
  <c r="CU74" i="4"/>
  <c r="F40" i="98"/>
  <c r="G40" i="98" s="1"/>
  <c r="H40" i="98" s="1"/>
  <c r="I40" i="98" s="1"/>
  <c r="AX74" i="4"/>
  <c r="C13" i="92"/>
  <c r="P13" i="92" s="1"/>
  <c r="C17" i="92"/>
  <c r="P17" i="92" s="1"/>
  <c r="C19" i="92"/>
  <c r="P19" i="92" s="1"/>
  <c r="DE69" i="4"/>
  <c r="CY74" i="4"/>
  <c r="BB69" i="4"/>
  <c r="CI69" i="4"/>
  <c r="T69" i="4"/>
  <c r="T60" i="94" s="1"/>
  <c r="U60" i="94" s="1"/>
  <c r="AK55" i="4"/>
  <c r="AK74" i="4" s="1"/>
  <c r="AR55" i="4"/>
  <c r="AR74" i="4" s="1"/>
  <c r="K7" i="75"/>
  <c r="C12" i="75"/>
  <c r="CQ55" i="4"/>
  <c r="CT55" i="4"/>
  <c r="CT74" i="4" s="1"/>
  <c r="CW69" i="4"/>
  <c r="O69" i="4"/>
  <c r="T22" i="94" s="1"/>
  <c r="U22" i="94" s="1"/>
  <c r="CZ55" i="4"/>
  <c r="CZ74" i="4" s="1"/>
  <c r="I120" i="73"/>
  <c r="AB55" i="4"/>
  <c r="M16" i="4"/>
  <c r="P224" i="94" l="1"/>
  <c r="O224" i="94" s="1"/>
  <c r="O222" i="94"/>
  <c r="BI10" i="85"/>
  <c r="BJ10" i="85" s="1"/>
  <c r="G93" i="84"/>
  <c r="D47" i="76"/>
  <c r="E182" i="98"/>
  <c r="C8" i="114"/>
  <c r="E86" i="98"/>
  <c r="E212" i="98" s="1"/>
  <c r="I175" i="73"/>
  <c r="C4" i="114"/>
  <c r="I164" i="73"/>
  <c r="C7" i="114"/>
  <c r="E217" i="98"/>
  <c r="E216" i="98" s="1"/>
  <c r="E113" i="98"/>
  <c r="AY2" i="85"/>
  <c r="C7" i="75"/>
  <c r="L5" i="75"/>
  <c r="D141" i="75"/>
  <c r="D143" i="75" s="1"/>
  <c r="D144" i="75" s="1"/>
  <c r="BI7" i="85"/>
  <c r="H8" i="98"/>
  <c r="I8" i="98" s="1"/>
  <c r="F86" i="98"/>
  <c r="F212" i="98" s="1"/>
  <c r="H7" i="98"/>
  <c r="I7" i="98" s="1"/>
  <c r="I177" i="73"/>
  <c r="T177" i="94"/>
  <c r="U177" i="94" s="1"/>
  <c r="BI38" i="85"/>
  <c r="BJ38" i="85" s="1"/>
  <c r="T200" i="94"/>
  <c r="U200" i="94" s="1"/>
  <c r="BI34" i="85"/>
  <c r="BJ34" i="85" s="1"/>
  <c r="T81" i="94"/>
  <c r="U81" i="94" s="1"/>
  <c r="BI47" i="85"/>
  <c r="BJ47" i="85" s="1"/>
  <c r="T194" i="94"/>
  <c r="U194" i="94" s="1"/>
  <c r="BI49" i="85"/>
  <c r="BJ49" i="85" s="1"/>
  <c r="T193" i="94"/>
  <c r="U193" i="94" s="1"/>
  <c r="BI36" i="85"/>
  <c r="BJ36" i="85" s="1"/>
  <c r="E47" i="76"/>
  <c r="H141" i="75"/>
  <c r="H143" i="75" s="1"/>
  <c r="P10" i="83"/>
  <c r="H29" i="84"/>
  <c r="H36" i="84" s="1"/>
  <c r="C96" i="84" s="1"/>
  <c r="T100" i="94"/>
  <c r="U100" i="94" s="1"/>
  <c r="T52" i="94"/>
  <c r="U52" i="94" s="1"/>
  <c r="T236" i="94"/>
  <c r="U236" i="94" s="1"/>
  <c r="F141" i="75"/>
  <c r="F143" i="75" s="1"/>
  <c r="C59" i="75"/>
  <c r="C139" i="75" s="1"/>
  <c r="C141" i="75" s="1"/>
  <c r="C143" i="75" s="1"/>
  <c r="E143" i="83"/>
  <c r="E144" i="83" s="1"/>
  <c r="C46" i="83"/>
  <c r="C44" i="83"/>
  <c r="B72" i="83"/>
  <c r="H132" i="83"/>
  <c r="B71" i="83"/>
  <c r="O9" i="83"/>
  <c r="C42" i="83"/>
  <c r="F36" i="84"/>
  <c r="C94" i="84" s="1"/>
  <c r="C95" i="84" s="1"/>
  <c r="C106" i="84" s="1"/>
  <c r="C125" i="84" s="1"/>
  <c r="B70" i="83"/>
  <c r="K99" i="83"/>
  <c r="O8" i="83"/>
  <c r="I123" i="83"/>
  <c r="C100" i="84"/>
  <c r="D100" i="84"/>
  <c r="I75" i="84"/>
  <c r="K141" i="75"/>
  <c r="K143" i="75" s="1"/>
  <c r="C18" i="92"/>
  <c r="P18" i="92" s="1"/>
  <c r="F142" i="83"/>
  <c r="Z55" i="4"/>
  <c r="Z74" i="4" s="1"/>
  <c r="AL55" i="4"/>
  <c r="AL74" i="4" s="1"/>
  <c r="I89" i="73"/>
  <c r="I87" i="73"/>
  <c r="BE55" i="4"/>
  <c r="BE74" i="4" s="1"/>
  <c r="DL74" i="4"/>
  <c r="CS55" i="4"/>
  <c r="DO57" i="4"/>
  <c r="BK55" i="4"/>
  <c r="BK74" i="4" s="1"/>
  <c r="DO39" i="4"/>
  <c r="I93" i="73"/>
  <c r="AY55" i="4"/>
  <c r="AY74" i="4" s="1"/>
  <c r="DO37" i="4"/>
  <c r="I117" i="73"/>
  <c r="CL55" i="4"/>
  <c r="CL74" i="4" s="1"/>
  <c r="DO68" i="4"/>
  <c r="J8" i="83"/>
  <c r="K9" i="83"/>
  <c r="L9" i="83"/>
  <c r="C99" i="84"/>
  <c r="D99" i="84"/>
  <c r="H75" i="84"/>
  <c r="DO27" i="4"/>
  <c r="DE74" i="4"/>
  <c r="DG55" i="4"/>
  <c r="DG74" i="4" s="1"/>
  <c r="I36" i="84"/>
  <c r="F143" i="83"/>
  <c r="C43" i="83"/>
  <c r="H27" i="98"/>
  <c r="I27" i="98" s="1"/>
  <c r="I92" i="73"/>
  <c r="I91" i="73"/>
  <c r="J140" i="87"/>
  <c r="K140" i="87" s="1"/>
  <c r="S7" i="91"/>
  <c r="R7" i="91"/>
  <c r="T7" i="91"/>
  <c r="P7" i="91"/>
  <c r="I100" i="73"/>
  <c r="I99" i="73"/>
  <c r="I145" i="73"/>
  <c r="U55" i="4"/>
  <c r="U74" i="4" s="1"/>
  <c r="DO45" i="4"/>
  <c r="I112" i="73"/>
  <c r="DO20" i="4"/>
  <c r="D165" i="98"/>
  <c r="I107" i="73"/>
  <c r="I90" i="73"/>
  <c r="DO19" i="4"/>
  <c r="I125" i="73"/>
  <c r="CP55" i="4"/>
  <c r="J145" i="87"/>
  <c r="K145" i="87" s="1"/>
  <c r="I138" i="73"/>
  <c r="DO60" i="4"/>
  <c r="DO32" i="4"/>
  <c r="E125" i="98" l="1"/>
  <c r="F125" i="98" s="1"/>
  <c r="G125" i="98" s="1"/>
  <c r="H125" i="98" s="1"/>
  <c r="I125" i="98" s="1"/>
  <c r="E132" i="98"/>
  <c r="F132" i="98" s="1"/>
  <c r="G132" i="98" s="1"/>
  <c r="H132" i="98" s="1"/>
  <c r="I132" i="98" s="1"/>
  <c r="E127" i="98"/>
  <c r="E124" i="98"/>
  <c r="E122" i="98"/>
  <c r="E144" i="98"/>
  <c r="F144" i="98" s="1"/>
  <c r="G144" i="98" s="1"/>
  <c r="H144" i="98" s="1"/>
  <c r="I144" i="98" s="1"/>
  <c r="E126" i="98"/>
  <c r="F126" i="98" s="1"/>
  <c r="G126" i="98" s="1"/>
  <c r="H126" i="98" s="1"/>
  <c r="I126" i="98" s="1"/>
  <c r="E155" i="98"/>
  <c r="F155" i="98" s="1"/>
  <c r="G155" i="98" s="1"/>
  <c r="H155" i="98" s="1"/>
  <c r="I155" i="98" s="1"/>
  <c r="E149" i="98"/>
  <c r="F149" i="98" s="1"/>
  <c r="G149" i="98" s="1"/>
  <c r="H149" i="98" s="1"/>
  <c r="I149" i="98" s="1"/>
  <c r="E128" i="98"/>
  <c r="E139" i="98"/>
  <c r="F139" i="98" s="1"/>
  <c r="G139" i="98" s="1"/>
  <c r="H139" i="98" s="1"/>
  <c r="I139" i="98" s="1"/>
  <c r="E131" i="98"/>
  <c r="AT2" i="85"/>
  <c r="K2" i="85"/>
  <c r="BD2" i="85"/>
  <c r="AE2" i="85"/>
  <c r="P2" i="85"/>
  <c r="BJ6" i="85"/>
  <c r="Z2" i="85"/>
  <c r="AJ2" i="85"/>
  <c r="AO2" i="85"/>
  <c r="G86" i="98"/>
  <c r="G212" i="98" s="1"/>
  <c r="E5" i="98"/>
  <c r="H9" i="98"/>
  <c r="I9" i="98" s="1"/>
  <c r="D94" i="84"/>
  <c r="F144" i="83"/>
  <c r="C24" i="92"/>
  <c r="P24" i="92" s="1"/>
  <c r="H123" i="83"/>
  <c r="P8" i="83"/>
  <c r="F146" i="83"/>
  <c r="B74" i="83"/>
  <c r="C70" i="83" s="1"/>
  <c r="P9" i="83"/>
  <c r="CS74" i="4"/>
  <c r="AA55" i="4"/>
  <c r="C47" i="83"/>
  <c r="K8" i="83"/>
  <c r="L8" i="83"/>
  <c r="D96" i="84"/>
  <c r="D93" i="84"/>
  <c r="E146" i="83"/>
  <c r="E148" i="83" s="1"/>
  <c r="J99" i="83"/>
  <c r="E82" i="98"/>
  <c r="D98" i="84"/>
  <c r="C98" i="84"/>
  <c r="H15" i="75"/>
  <c r="H5" i="75" s="1"/>
  <c r="H47" i="75" s="1"/>
  <c r="H144" i="75" s="1"/>
  <c r="I86" i="98" l="1"/>
  <c r="I212" i="98" s="1"/>
  <c r="F5" i="98"/>
  <c r="G5" i="98"/>
  <c r="G161" i="98"/>
  <c r="F161" i="98"/>
  <c r="H161" i="98"/>
  <c r="H5" i="98"/>
  <c r="D95" i="84"/>
  <c r="D106" i="84" s="1"/>
  <c r="D125" i="84" s="1"/>
  <c r="D151" i="84" s="1"/>
  <c r="C71" i="83"/>
  <c r="O11" i="83"/>
  <c r="F148" i="83"/>
  <c r="C73" i="83"/>
  <c r="C72" i="83"/>
  <c r="E47" i="83"/>
  <c r="E45" i="83"/>
  <c r="E44" i="83"/>
  <c r="E46" i="83"/>
  <c r="E42" i="83"/>
  <c r="H86" i="98"/>
  <c r="H212" i="98" s="1"/>
  <c r="F82" i="98"/>
  <c r="E43" i="83"/>
  <c r="I161" i="98" l="1"/>
  <c r="I5" i="98"/>
  <c r="P11" i="83"/>
  <c r="J123" i="83"/>
  <c r="Q11" i="83"/>
  <c r="Q10" i="83"/>
  <c r="Q8" i="83"/>
  <c r="Q9" i="83"/>
  <c r="I82" i="98"/>
  <c r="G82" i="98"/>
  <c r="F131" i="98"/>
  <c r="G128" i="98" l="1"/>
  <c r="I133" i="83"/>
  <c r="H133" i="83"/>
  <c r="H82" i="98"/>
  <c r="G131" i="98"/>
  <c r="G127" i="98" l="1"/>
  <c r="H128" i="98"/>
  <c r="H131" i="98"/>
  <c r="I131" i="98" s="1"/>
  <c r="I127" i="98" l="1"/>
  <c r="H127" i="98"/>
  <c r="J55" i="4"/>
  <c r="I128" i="98" l="1"/>
  <c r="CW34" i="4" l="1"/>
  <c r="CW52" i="4" s="1"/>
  <c r="CX55" i="4"/>
  <c r="CX74" i="4" s="1"/>
  <c r="J126" i="87" l="1"/>
  <c r="K126" i="87" s="1"/>
  <c r="CW55" i="4" l="1"/>
  <c r="CW74" i="4" l="1"/>
  <c r="AA58" i="4" l="1"/>
  <c r="AB69" i="4"/>
  <c r="AB74" i="4" s="1"/>
  <c r="BL58" i="4"/>
  <c r="BM69" i="4"/>
  <c r="AA69" i="4" l="1"/>
  <c r="C77" i="111" s="1"/>
  <c r="BL69" i="4"/>
  <c r="T112" i="94" l="1"/>
  <c r="U112" i="94" s="1"/>
  <c r="BI39" i="85"/>
  <c r="BJ39" i="85" s="1"/>
  <c r="T37" i="94"/>
  <c r="U37" i="94" s="1"/>
  <c r="BI44" i="85"/>
  <c r="BJ44" i="85" s="1"/>
  <c r="AA74" i="4"/>
  <c r="DQ36" i="4" l="1"/>
  <c r="DQ28" i="4"/>
  <c r="BD55" i="4" l="1"/>
  <c r="BD74" i="4" s="1"/>
  <c r="AO55" i="4" l="1"/>
  <c r="AO74" i="4" s="1"/>
  <c r="G15" i="75" l="1"/>
  <c r="G5" i="75" s="1"/>
  <c r="G47" i="75" s="1"/>
  <c r="G144" i="75" s="1"/>
  <c r="AD36" i="4" l="1"/>
  <c r="DN36" i="4" l="1"/>
  <c r="H36" i="4"/>
  <c r="I116" i="73" s="1"/>
  <c r="E148" i="98" l="1"/>
  <c r="F148" i="98" s="1"/>
  <c r="G148" i="98" s="1"/>
  <c r="H148" i="98" s="1"/>
  <c r="I148" i="98" s="1"/>
  <c r="DO36" i="4"/>
  <c r="D67" i="104" l="1"/>
  <c r="AM34" i="4" l="1"/>
  <c r="J69" i="87" l="1"/>
  <c r="K69" i="87" s="1"/>
  <c r="AD28" i="4"/>
  <c r="DN28" i="4" l="1"/>
  <c r="H28" i="4"/>
  <c r="AD22" i="4"/>
  <c r="J47" i="105" l="1"/>
  <c r="K47" i="105" s="1"/>
  <c r="I108" i="73"/>
  <c r="DO28" i="4"/>
  <c r="AM23" i="4"/>
  <c r="E140" i="98" l="1"/>
  <c r="F140" i="98" s="1"/>
  <c r="G140" i="98" s="1"/>
  <c r="H140" i="98" s="1"/>
  <c r="I140" i="98" s="1"/>
  <c r="AM22" i="4"/>
  <c r="AM58" i="4"/>
  <c r="AN69" i="4"/>
  <c r="AM35" i="4"/>
  <c r="J49" i="72" s="1"/>
  <c r="K49" i="72" s="1"/>
  <c r="J72" i="105" l="1"/>
  <c r="K72" i="105" s="1"/>
  <c r="AM52" i="4"/>
  <c r="AM69" i="4"/>
  <c r="AN55" i="4"/>
  <c r="AN74" i="4" s="1"/>
  <c r="AD34" i="4"/>
  <c r="BB35" i="4"/>
  <c r="J74" i="72" s="1"/>
  <c r="K74" i="72" s="1"/>
  <c r="J50" i="87" l="1"/>
  <c r="K50" i="87" s="1"/>
  <c r="T69" i="94"/>
  <c r="U69" i="94" s="1"/>
  <c r="BI42" i="85"/>
  <c r="BJ42" i="85" s="1"/>
  <c r="D159" i="105"/>
  <c r="BB34" i="4"/>
  <c r="AM55" i="4"/>
  <c r="AM74" i="4" s="1"/>
  <c r="J89" i="87" l="1"/>
  <c r="K89" i="87" s="1"/>
  <c r="BL25" i="4" l="1"/>
  <c r="BL24" i="4"/>
  <c r="BL23" i="4" l="1"/>
  <c r="AS24" i="4"/>
  <c r="AS25" i="4"/>
  <c r="DN24" i="4" l="1"/>
  <c r="H24" i="4"/>
  <c r="I104" i="73" s="1"/>
  <c r="AS23" i="4"/>
  <c r="H23" i="4" s="1"/>
  <c r="I72" i="4"/>
  <c r="E136" i="98" l="1"/>
  <c r="F136" i="98" s="1"/>
  <c r="G136" i="98" s="1"/>
  <c r="H136" i="98" s="1"/>
  <c r="I136" i="98" s="1"/>
  <c r="DN23" i="4"/>
  <c r="DO24" i="4"/>
  <c r="I103" i="73" l="1"/>
  <c r="DO23" i="4"/>
  <c r="E135" i="98" l="1"/>
  <c r="F135" i="98" s="1"/>
  <c r="G135" i="98" l="1"/>
  <c r="H135" i="98" l="1"/>
  <c r="I135" i="98" s="1"/>
  <c r="CI35" i="4" l="1"/>
  <c r="CI52" i="4" s="1"/>
  <c r="CK55" i="4"/>
  <c r="CK74" i="4" s="1"/>
  <c r="J113" i="72" l="1"/>
  <c r="K113" i="72" s="1"/>
  <c r="CI55" i="4"/>
  <c r="CI74" i="4" s="1"/>
  <c r="BH35" i="4" l="1"/>
  <c r="BH34" i="4"/>
  <c r="BI55" i="4"/>
  <c r="BJ55" i="4"/>
  <c r="BJ74" i="4" s="1"/>
  <c r="BH52" i="4" l="1"/>
  <c r="BH55" i="4" s="1"/>
  <c r="J99" i="87"/>
  <c r="K99" i="87" s="1"/>
  <c r="J82" i="72"/>
  <c r="K82" i="72" s="1"/>
  <c r="DO41" i="4" l="1"/>
  <c r="BV55" i="4"/>
  <c r="I121" i="73"/>
  <c r="E151" i="98" l="1"/>
  <c r="F151" i="98" s="1"/>
  <c r="G151" i="98" s="1"/>
  <c r="H151" i="98" s="1"/>
  <c r="I151" i="98" s="1"/>
  <c r="BV74" i="4"/>
  <c r="AP59" i="4" l="1"/>
  <c r="D51" i="106" l="1"/>
  <c r="CF35" i="4" l="1"/>
  <c r="CF52" i="4" s="1"/>
  <c r="O125" i="75" l="1"/>
  <c r="O139" i="75" s="1"/>
  <c r="O141" i="75" s="1"/>
  <c r="O143" i="75" s="1"/>
  <c r="O144" i="75" s="1"/>
  <c r="BZ35" i="4"/>
  <c r="J117" i="72"/>
  <c r="K117" i="72" s="1"/>
  <c r="CF55" i="4"/>
  <c r="CF74" i="4" s="1"/>
  <c r="BZ52" i="4" l="1"/>
  <c r="BZ55" i="4" s="1"/>
  <c r="BZ74" i="4" s="1"/>
  <c r="F10" i="121"/>
  <c r="L35" i="75"/>
  <c r="L31" i="75" s="1"/>
  <c r="L47" i="75" s="1"/>
  <c r="J135" i="72"/>
  <c r="K135" i="72" s="1"/>
  <c r="N125" i="75" l="1"/>
  <c r="L125" i="75" l="1"/>
  <c r="L139" i="75" s="1"/>
  <c r="L141" i="75" s="1"/>
  <c r="L143" i="75" s="1"/>
  <c r="L144" i="75" s="1"/>
  <c r="N139" i="75"/>
  <c r="N141" i="75" s="1"/>
  <c r="N143" i="75" s="1"/>
  <c r="N144" i="75" s="1"/>
  <c r="C35" i="75"/>
  <c r="C31" i="75" l="1"/>
  <c r="AP34" i="4" l="1"/>
  <c r="J75" i="87" l="1"/>
  <c r="K75" i="87" s="1"/>
  <c r="AP35" i="4"/>
  <c r="D182" i="87" l="1"/>
  <c r="J53" i="72"/>
  <c r="K53" i="72" s="1"/>
  <c r="BS35" i="4"/>
  <c r="J105" i="72" l="1"/>
  <c r="K105" i="72" s="1"/>
  <c r="BH58" i="4" l="1"/>
  <c r="BI69" i="4"/>
  <c r="BI74" i="4" s="1"/>
  <c r="BH69" i="4" l="1"/>
  <c r="BI31" i="85" s="1"/>
  <c r="BJ31" i="85" s="1"/>
  <c r="T109" i="94" l="1"/>
  <c r="U109" i="94" s="1"/>
  <c r="BH74" i="4"/>
  <c r="AV59" i="4" l="1"/>
  <c r="AW69" i="4"/>
  <c r="AW74" i="4" s="1"/>
  <c r="AV69" i="4" l="1"/>
  <c r="BI43" i="85" s="1"/>
  <c r="BJ43" i="85" s="1"/>
  <c r="T95" i="94" l="1"/>
  <c r="U95" i="94" s="1"/>
  <c r="AG35" i="4"/>
  <c r="AG52" i="4" s="1"/>
  <c r="AH55" i="4"/>
  <c r="AH74" i="4" s="1"/>
  <c r="BW35" i="4"/>
  <c r="BW52" i="4" s="1"/>
  <c r="BX55" i="4"/>
  <c r="BX74" i="4" s="1"/>
  <c r="J34" i="72" l="1"/>
  <c r="K34" i="72" s="1"/>
  <c r="AG55" i="4"/>
  <c r="AG74" i="4" s="1"/>
  <c r="J109" i="72"/>
  <c r="K109" i="72" s="1"/>
  <c r="BW55" i="4" l="1"/>
  <c r="D138" i="72"/>
  <c r="BW74" i="4" l="1"/>
  <c r="I239" i="94" l="1"/>
  <c r="E133" i="73" l="1"/>
  <c r="E96" i="73" l="1"/>
  <c r="D163" i="98"/>
  <c r="I133" i="73"/>
  <c r="E163" i="98" l="1"/>
  <c r="M57" i="94"/>
  <c r="O57" i="94" s="1"/>
  <c r="D169" i="98" l="1"/>
  <c r="M86" i="94" l="1"/>
  <c r="O86" i="94" s="1"/>
  <c r="AP58" i="4"/>
  <c r="AQ69" i="4"/>
  <c r="AP69" i="4" l="1"/>
  <c r="D175" i="98"/>
  <c r="BI50" i="85" l="1"/>
  <c r="BJ50" i="85" s="1"/>
  <c r="T86" i="94"/>
  <c r="U86" i="94" s="1"/>
  <c r="R69" i="4" l="1"/>
  <c r="DN38" i="4" l="1"/>
  <c r="I118" i="73" l="1"/>
  <c r="J14" i="87"/>
  <c r="K14" i="87" s="1"/>
  <c r="E150" i="98" l="1"/>
  <c r="F150" i="98" s="1"/>
  <c r="G150" i="98" s="1"/>
  <c r="H150" i="98" s="1"/>
  <c r="I150" i="98" s="1"/>
  <c r="DO38" i="4"/>
  <c r="J14" i="105"/>
  <c r="K14" i="105" s="1"/>
  <c r="N16" i="4" l="1"/>
  <c r="I88" i="73"/>
  <c r="N52" i="4"/>
  <c r="E123" i="98" l="1"/>
  <c r="F123" i="98" s="1"/>
  <c r="J13" i="104"/>
  <c r="K13" i="104" s="1"/>
  <c r="N55" i="4"/>
  <c r="N74" i="4" s="1"/>
  <c r="F127" i="98" l="1"/>
  <c r="F128" i="98"/>
  <c r="J7" i="106"/>
  <c r="K7" i="106" s="1"/>
  <c r="DN49" i="4" l="1"/>
  <c r="I129" i="73"/>
  <c r="L16" i="4"/>
  <c r="T74" i="94"/>
  <c r="U74" i="94" s="1"/>
  <c r="DO29" i="4"/>
  <c r="I109" i="73"/>
  <c r="E141" i="98" l="1"/>
  <c r="F141" i="98" s="1"/>
  <c r="E159" i="98"/>
  <c r="F159" i="98" s="1"/>
  <c r="G159" i="98" s="1"/>
  <c r="H159" i="98" s="1"/>
  <c r="I159" i="98" s="1"/>
  <c r="DO64" i="4"/>
  <c r="BI46" i="85"/>
  <c r="BJ46" i="85" s="1"/>
  <c r="I142" i="73"/>
  <c r="DO49" i="4"/>
  <c r="G141" i="98" l="1"/>
  <c r="H141" i="98" l="1"/>
  <c r="I141" i="98" l="1"/>
  <c r="DK69" i="4" l="1"/>
  <c r="BI48" i="85" l="1"/>
  <c r="BJ48" i="85" s="1"/>
  <c r="T197" i="94"/>
  <c r="U197" i="94" s="1"/>
  <c r="DK74" i="4"/>
  <c r="BC52" i="4" l="1"/>
  <c r="BB30" i="4" l="1"/>
  <c r="BC55" i="4"/>
  <c r="BC74" i="4" s="1"/>
  <c r="BB52" i="4" l="1"/>
  <c r="BB55" i="4" s="1"/>
  <c r="BB74" i="4" s="1"/>
  <c r="J32" i="106"/>
  <c r="K32" i="106" s="1"/>
  <c r="AD35" i="4" l="1"/>
  <c r="J30" i="72" l="1"/>
  <c r="K30" i="72" s="1"/>
  <c r="DO42" i="4" l="1"/>
  <c r="I122" i="73"/>
  <c r="E152" i="98" l="1"/>
  <c r="F152" i="98" l="1"/>
  <c r="G152" i="98" l="1"/>
  <c r="H152" i="98" l="1"/>
  <c r="I152" i="98" l="1"/>
  <c r="DD55" i="4" l="1"/>
  <c r="DD69" i="4"/>
  <c r="T224" i="94" l="1"/>
  <c r="U224" i="94" s="1"/>
  <c r="DD74" i="4"/>
  <c r="DQ26" i="4" l="1"/>
  <c r="CO55" i="4" l="1"/>
  <c r="CO74" i="4" s="1"/>
  <c r="DQ18" i="4"/>
  <c r="J145" i="105" l="1"/>
  <c r="K145" i="105" s="1"/>
  <c r="DA55" i="4"/>
  <c r="DA74" i="4" s="1"/>
  <c r="CP59" i="4" l="1"/>
  <c r="CQ69" i="4"/>
  <c r="CQ74" i="4" s="1"/>
  <c r="CP69" i="4" l="1"/>
  <c r="T78" i="94" s="1"/>
  <c r="U78" i="94" l="1"/>
  <c r="CP74" i="4"/>
  <c r="CM26" i="4" l="1"/>
  <c r="DN26" i="4" l="1"/>
  <c r="H26" i="4"/>
  <c r="CV69" i="4"/>
  <c r="T203" i="94" s="1"/>
  <c r="U203" i="94" s="1"/>
  <c r="DO26" i="4" l="1"/>
  <c r="CM61" i="4"/>
  <c r="CN69" i="4"/>
  <c r="CM18" i="4"/>
  <c r="CN55" i="4"/>
  <c r="I106" i="73"/>
  <c r="DN18" i="4" l="1"/>
  <c r="CM52" i="4"/>
  <c r="CM55" i="4" s="1"/>
  <c r="E138" i="98"/>
  <c r="F138" i="98" s="1"/>
  <c r="G138" i="98" s="1"/>
  <c r="H138" i="98" s="1"/>
  <c r="I138" i="98" s="1"/>
  <c r="I113" i="73"/>
  <c r="DO33" i="4"/>
  <c r="CN74" i="4"/>
  <c r="CM69" i="4"/>
  <c r="H18" i="4"/>
  <c r="E145" i="98" l="1"/>
  <c r="F145" i="98" s="1"/>
  <c r="G145" i="98" s="1"/>
  <c r="H145" i="98" s="1"/>
  <c r="I145" i="98" s="1"/>
  <c r="DO18" i="4"/>
  <c r="CM74" i="4"/>
  <c r="BO55" i="4"/>
  <c r="BO74" i="4" s="1"/>
  <c r="I111" i="73" l="1"/>
  <c r="DO31" i="4"/>
  <c r="E143" i="98" l="1"/>
  <c r="F143" i="98" s="1"/>
  <c r="G143" i="98" s="1"/>
  <c r="H143" i="98" s="1"/>
  <c r="I143" i="98" s="1"/>
  <c r="DO43" i="4"/>
  <c r="I123" i="73"/>
  <c r="E153" i="98" l="1"/>
  <c r="F153" i="98" s="1"/>
  <c r="G153" i="98" l="1"/>
  <c r="H153" i="98" l="1"/>
  <c r="I153" i="98" l="1"/>
  <c r="AQ52" i="4" l="1"/>
  <c r="AP25" i="4" l="1"/>
  <c r="AQ55" i="4"/>
  <c r="AQ74" i="4" s="1"/>
  <c r="AP52" i="4" l="1"/>
  <c r="AP55" i="4" l="1"/>
  <c r="AP74" i="4" l="1"/>
  <c r="AS59" i="4" l="1"/>
  <c r="AT69" i="4"/>
  <c r="AS69" i="4" l="1"/>
  <c r="C78" i="111" s="1"/>
  <c r="C92" i="111" s="1"/>
  <c r="T90" i="94" l="1"/>
  <c r="U90" i="94" s="1"/>
  <c r="BI30" i="85"/>
  <c r="BJ30" i="85" s="1"/>
  <c r="CC69" i="4" l="1"/>
  <c r="T190" i="94" l="1"/>
  <c r="U190" i="94" s="1"/>
  <c r="BI37" i="85"/>
  <c r="BJ37" i="85" s="1"/>
  <c r="BS34" i="4" l="1"/>
  <c r="J114" i="87" l="1"/>
  <c r="K114" i="87" s="1"/>
  <c r="BU52" i="4"/>
  <c r="BT52" i="4"/>
  <c r="BS30" i="4" l="1"/>
  <c r="H30" i="4" s="1"/>
  <c r="BT55" i="4"/>
  <c r="BU55" i="4"/>
  <c r="BU74" i="4" s="1"/>
  <c r="DQ30" i="4"/>
  <c r="DN30" i="4" l="1"/>
  <c r="BS52" i="4"/>
  <c r="BS55" i="4" s="1"/>
  <c r="J45" i="106"/>
  <c r="K45" i="106" s="1"/>
  <c r="I110" i="73" l="1"/>
  <c r="H50" i="106"/>
  <c r="H51" i="106" s="1"/>
  <c r="DO30" i="4"/>
  <c r="E142" i="98" l="1"/>
  <c r="AF52" i="4"/>
  <c r="F142" i="98" l="1"/>
  <c r="G142" i="98" s="1"/>
  <c r="H142" i="98" s="1"/>
  <c r="I142" i="98" s="1"/>
  <c r="AF55" i="4"/>
  <c r="AF74" i="4" s="1"/>
  <c r="DQ21" i="4"/>
  <c r="BN52" i="4" l="1"/>
  <c r="BN55" i="4" s="1"/>
  <c r="BN74" i="4" s="1"/>
  <c r="K21" i="117"/>
  <c r="K21" i="75"/>
  <c r="E21" i="117" l="1"/>
  <c r="K15" i="117"/>
  <c r="K5" i="117" s="1"/>
  <c r="K47" i="117" s="1"/>
  <c r="K143" i="117" s="1"/>
  <c r="E21" i="75"/>
  <c r="K15" i="75"/>
  <c r="K5" i="75" s="1"/>
  <c r="K47" i="75" s="1"/>
  <c r="K144" i="75" s="1"/>
  <c r="C21" i="117" l="1"/>
  <c r="C21" i="75"/>
  <c r="AE52" i="4" l="1"/>
  <c r="AD21" i="4" l="1"/>
  <c r="H21" i="4" s="1"/>
  <c r="AE55" i="4"/>
  <c r="H66" i="104" l="1"/>
  <c r="DN21" i="4"/>
  <c r="AD52" i="4"/>
  <c r="J48" i="104"/>
  <c r="K48" i="104" s="1"/>
  <c r="BM52" i="4"/>
  <c r="H67" i="104" l="1"/>
  <c r="BL35" i="4"/>
  <c r="BM55" i="4"/>
  <c r="BM74" i="4" s="1"/>
  <c r="I101" i="73"/>
  <c r="DO21" i="4"/>
  <c r="BL52" i="4" l="1"/>
  <c r="BL55" i="4" s="1"/>
  <c r="BL74" i="4" s="1"/>
  <c r="E133" i="98"/>
  <c r="F133" i="98" s="1"/>
  <c r="J79" i="72"/>
  <c r="K79" i="72" s="1"/>
  <c r="G133" i="98" l="1"/>
  <c r="H133" i="98" s="1"/>
  <c r="I133" i="98" s="1"/>
  <c r="J7" i="87" l="1"/>
  <c r="K7" i="87" s="1"/>
  <c r="CV52" i="4" l="1"/>
  <c r="J152" i="87"/>
  <c r="K152" i="87" s="1"/>
  <c r="CV55" i="4" l="1"/>
  <c r="CV74" i="4" l="1"/>
  <c r="BF12" i="85" l="1"/>
  <c r="P12" i="85"/>
  <c r="J12" i="85"/>
  <c r="K12" i="85"/>
  <c r="AD12" i="85"/>
  <c r="M12" i="85"/>
  <c r="L12" i="85"/>
  <c r="AV12" i="85"/>
  <c r="W12" i="85"/>
  <c r="AW12" i="85"/>
  <c r="Y12" i="85"/>
  <c r="AN12" i="85"/>
  <c r="U12" i="85"/>
  <c r="AZ12" i="85"/>
  <c r="AP12" i="85"/>
  <c r="AF12" i="85"/>
  <c r="AQ12" i="85"/>
  <c r="R12" i="85"/>
  <c r="AS12" i="85"/>
  <c r="AO12" i="85"/>
  <c r="Q12" i="85"/>
  <c r="BB12" i="85"/>
  <c r="BA12" i="85"/>
  <c r="V12" i="85"/>
  <c r="AM12" i="85"/>
  <c r="Z12" i="85"/>
  <c r="AG12" i="85"/>
  <c r="AX12" i="85"/>
  <c r="BE12" i="85"/>
  <c r="AU12" i="85"/>
  <c r="AA12" i="85"/>
  <c r="O12" i="85"/>
  <c r="AY12" i="85"/>
  <c r="AC12" i="85"/>
  <c r="BC12" i="85"/>
  <c r="N12" i="85"/>
  <c r="AR12" i="85"/>
  <c r="AJ12" i="85"/>
  <c r="H12" i="85"/>
  <c r="AK12" i="85"/>
  <c r="AI12" i="85"/>
  <c r="AT12" i="85"/>
  <c r="AB12" i="85"/>
  <c r="AE12" i="85"/>
  <c r="T12" i="85"/>
  <c r="I12" i="85"/>
  <c r="AL12" i="85"/>
  <c r="BD12" i="85"/>
  <c r="AH12" i="85"/>
  <c r="S12" i="85"/>
  <c r="X12" i="85"/>
  <c r="G12" i="85" l="1"/>
  <c r="BH12" i="85" s="1"/>
  <c r="E180" i="73" l="1"/>
  <c r="D130" i="98"/>
  <c r="D221" i="98" l="1"/>
  <c r="D209" i="98"/>
  <c r="G55" i="85" l="1"/>
  <c r="I51" i="73"/>
  <c r="F68" i="98"/>
  <c r="G68" i="98" s="1"/>
  <c r="H68" i="98" s="1"/>
  <c r="I68" i="98" s="1"/>
  <c r="I53" i="73"/>
  <c r="M73" i="1"/>
  <c r="E70" i="98" l="1"/>
  <c r="E75" i="98"/>
  <c r="F75" i="98" s="1"/>
  <c r="G75" i="98" s="1"/>
  <c r="H75" i="98" s="1"/>
  <c r="I75" i="98" s="1"/>
  <c r="D25" i="98"/>
  <c r="I27" i="73"/>
  <c r="C5" i="114" l="1"/>
  <c r="C9" i="114" s="1"/>
  <c r="BI8" i="85"/>
  <c r="BI11" i="85" s="1"/>
  <c r="F65" i="98"/>
  <c r="E25" i="98"/>
  <c r="E205" i="98" s="1"/>
  <c r="E32" i="103"/>
  <c r="I176" i="73"/>
  <c r="I174" i="73" s="1"/>
  <c r="I80" i="73"/>
  <c r="I157" i="73"/>
  <c r="E4" i="121" l="1"/>
  <c r="I81" i="73"/>
  <c r="F32" i="103"/>
  <c r="G65" i="98"/>
  <c r="F25" i="98"/>
  <c r="E220" i="98"/>
  <c r="E117" i="98"/>
  <c r="E34" i="103"/>
  <c r="E33" i="103"/>
  <c r="F205" i="98" l="1"/>
  <c r="F34" i="103"/>
  <c r="F33" i="103"/>
  <c r="F117" i="98"/>
  <c r="F220" i="98"/>
  <c r="H65" i="98"/>
  <c r="G25" i="98"/>
  <c r="G205" i="98" s="1"/>
  <c r="G19" i="85"/>
  <c r="BJ8" i="85"/>
  <c r="F222" i="98" l="1"/>
  <c r="G38" i="103"/>
  <c r="G33" i="103"/>
  <c r="G34" i="103"/>
  <c r="G117" i="98"/>
  <c r="G220" i="98"/>
  <c r="I65" i="98"/>
  <c r="I25" i="98" s="1"/>
  <c r="I205" i="98" s="1"/>
  <c r="H25" i="98"/>
  <c r="H205" i="98" s="1"/>
  <c r="I117" i="98" l="1"/>
  <c r="I220" i="98"/>
  <c r="H34" i="103"/>
  <c r="H33" i="103"/>
  <c r="H38" i="103"/>
  <c r="G222" i="98"/>
  <c r="H117" i="98"/>
  <c r="H220" i="98"/>
  <c r="I34" i="103" l="1"/>
  <c r="I33" i="103"/>
  <c r="I222" i="98"/>
  <c r="I38" i="103"/>
  <c r="H222" i="98"/>
  <c r="J33" i="103"/>
  <c r="J34" i="103"/>
  <c r="K32" i="103"/>
  <c r="BJ7" i="85"/>
  <c r="J38" i="103" l="1"/>
  <c r="K37" i="103"/>
  <c r="K33" i="103"/>
  <c r="K34" i="103"/>
  <c r="L32" i="103"/>
  <c r="BJ11" i="85"/>
  <c r="L37" i="103" l="1"/>
  <c r="K38" i="103"/>
  <c r="L33" i="103"/>
  <c r="L34" i="103"/>
  <c r="M32" i="103"/>
  <c r="M34" i="103" l="1"/>
  <c r="N32" i="103"/>
  <c r="M33" i="103"/>
  <c r="M37" i="103"/>
  <c r="L38" i="103"/>
  <c r="N37" i="103" l="1"/>
  <c r="M38" i="103"/>
  <c r="N34" i="103"/>
  <c r="O32" i="103"/>
  <c r="N33" i="103"/>
  <c r="O34" i="103" l="1"/>
  <c r="P32" i="103"/>
  <c r="O33" i="103"/>
  <c r="O37" i="103"/>
  <c r="N38" i="103"/>
  <c r="P37" i="103" l="1"/>
  <c r="O38" i="103"/>
  <c r="P34" i="103"/>
  <c r="Q32" i="103"/>
  <c r="P33" i="103"/>
  <c r="Q34" i="103" l="1"/>
  <c r="R32" i="103"/>
  <c r="Q33" i="103"/>
  <c r="Q37" i="103"/>
  <c r="P38" i="103"/>
  <c r="R37" i="103" l="1"/>
  <c r="Q38" i="103"/>
  <c r="R34" i="103"/>
  <c r="S32" i="103"/>
  <c r="R33" i="103"/>
  <c r="S34" i="103" l="1"/>
  <c r="T32" i="103"/>
  <c r="S33" i="103"/>
  <c r="S37" i="103"/>
  <c r="R38" i="103"/>
  <c r="T37" i="103" l="1"/>
  <c r="S38" i="103"/>
  <c r="T34" i="103"/>
  <c r="U32" i="103"/>
  <c r="T33" i="103"/>
  <c r="U37" i="103" l="1"/>
  <c r="T38" i="103"/>
  <c r="U34" i="103"/>
  <c r="V32" i="103"/>
  <c r="W32" i="103" s="1"/>
  <c r="U33" i="103"/>
  <c r="X32" i="103" l="1"/>
  <c r="W33" i="103"/>
  <c r="V37" i="103"/>
  <c r="V38" i="103" s="1"/>
  <c r="U38" i="103"/>
  <c r="V33" i="103"/>
  <c r="V34" i="103"/>
  <c r="Y32" i="103" l="1"/>
  <c r="X33" i="103"/>
  <c r="Z32" i="103" l="1"/>
  <c r="Z33" i="103" s="1"/>
  <c r="Y33" i="103"/>
  <c r="M14" i="94" l="1"/>
  <c r="O14" i="94" s="1"/>
  <c r="D196" i="98" l="1"/>
  <c r="D213" i="98" s="1"/>
  <c r="DN66" i="4"/>
  <c r="T14" i="94"/>
  <c r="U14" i="94" s="1"/>
  <c r="S69" i="4"/>
  <c r="DO66" i="4" l="1"/>
  <c r="BI21" i="85"/>
  <c r="I144" i="73"/>
  <c r="BJ21" i="85" l="1"/>
  <c r="G23" i="85"/>
  <c r="G51" i="85" s="1"/>
  <c r="G56" i="85" s="1"/>
  <c r="G59" i="85" s="1"/>
  <c r="G58" i="85" l="1"/>
  <c r="H19" i="85"/>
  <c r="H23" i="85" s="1"/>
  <c r="H51" i="85" s="1"/>
  <c r="H56" i="85" s="1"/>
  <c r="H59" i="85" s="1"/>
  <c r="H58" i="85" l="1"/>
  <c r="I5" i="85"/>
  <c r="I19" i="85" s="1"/>
  <c r="I23" i="85" s="1"/>
  <c r="I51" i="85" s="1"/>
  <c r="I56" i="85" s="1"/>
  <c r="I59" i="85" s="1"/>
  <c r="I58" i="85" l="1"/>
  <c r="J19" i="85"/>
  <c r="J23" i="85" s="1"/>
  <c r="J51" i="85" s="1"/>
  <c r="J56" i="85" s="1"/>
  <c r="J59" i="85" s="1"/>
  <c r="K5" i="85" l="1"/>
  <c r="K19" i="85" s="1"/>
  <c r="K23" i="85" s="1"/>
  <c r="K51" i="85" s="1"/>
  <c r="K56" i="85" s="1"/>
  <c r="K59" i="85" s="1"/>
  <c r="J58" i="85"/>
  <c r="K58" i="85" l="1"/>
  <c r="L5" i="85"/>
  <c r="L19" i="85" s="1"/>
  <c r="L23" i="85" s="1"/>
  <c r="L51" i="85" s="1"/>
  <c r="L56" i="85" s="1"/>
  <c r="L59" i="85" s="1"/>
  <c r="M5" i="85" l="1"/>
  <c r="M19" i="85" s="1"/>
  <c r="M23" i="85" s="1"/>
  <c r="M51" i="85" s="1"/>
  <c r="M56" i="85" s="1"/>
  <c r="M59" i="85" s="1"/>
  <c r="L58" i="85"/>
  <c r="M58" i="85" l="1"/>
  <c r="N5" i="85"/>
  <c r="N19" i="85" s="1"/>
  <c r="N23" i="85" s="1"/>
  <c r="N51" i="85" s="1"/>
  <c r="N56" i="85" s="1"/>
  <c r="N59" i="85" s="1"/>
  <c r="N58" i="85" l="1"/>
  <c r="O5" i="85"/>
  <c r="O19" i="85" s="1"/>
  <c r="O23" i="85" s="1"/>
  <c r="O51" i="85" s="1"/>
  <c r="O56" i="85" s="1"/>
  <c r="O59" i="85" s="1"/>
  <c r="P5" i="85" l="1"/>
  <c r="P19" i="85" s="1"/>
  <c r="P23" i="85" s="1"/>
  <c r="P51" i="85" s="1"/>
  <c r="P56" i="85" s="1"/>
  <c r="P59" i="85" s="1"/>
  <c r="O58" i="85"/>
  <c r="Q5" i="85" l="1"/>
  <c r="Q19" i="85" s="1"/>
  <c r="Q23" i="85" s="1"/>
  <c r="Q51" i="85" s="1"/>
  <c r="Q56" i="85" s="1"/>
  <c r="Q59" i="85" s="1"/>
  <c r="P58" i="85"/>
  <c r="Q58" i="85" l="1"/>
  <c r="R5" i="85"/>
  <c r="R19" i="85" s="1"/>
  <c r="R23" i="85" s="1"/>
  <c r="R51" i="85" s="1"/>
  <c r="R56" i="85" s="1"/>
  <c r="R59" i="85" s="1"/>
  <c r="R58" i="85" l="1"/>
  <c r="S5" i="85"/>
  <c r="S19" i="85" s="1"/>
  <c r="S23" i="85" s="1"/>
  <c r="S51" i="85" s="1"/>
  <c r="S56" i="85" s="1"/>
  <c r="S59" i="85" s="1"/>
  <c r="T5" i="85" l="1"/>
  <c r="T19" i="85" s="1"/>
  <c r="T23" i="85" s="1"/>
  <c r="T51" i="85" s="1"/>
  <c r="T56" i="85" s="1"/>
  <c r="T59" i="85" s="1"/>
  <c r="S58" i="85"/>
  <c r="T58" i="85" l="1"/>
  <c r="U5" i="85"/>
  <c r="U19" i="85" s="1"/>
  <c r="U23" i="85" s="1"/>
  <c r="U51" i="85" s="1"/>
  <c r="U56" i="85" s="1"/>
  <c r="U59" i="85" s="1"/>
  <c r="V5" i="85" l="1"/>
  <c r="V19" i="85" s="1"/>
  <c r="V23" i="85" s="1"/>
  <c r="V51" i="85" s="1"/>
  <c r="V56" i="85" s="1"/>
  <c r="V59" i="85" s="1"/>
  <c r="U58" i="85"/>
  <c r="V58" i="85" l="1"/>
  <c r="W5" i="85"/>
  <c r="W19" i="85" s="1"/>
  <c r="W23" i="85" s="1"/>
  <c r="W51" i="85" s="1"/>
  <c r="W56" i="85" s="1"/>
  <c r="W59" i="85" s="1"/>
  <c r="X5" i="85" l="1"/>
  <c r="X19" i="85" s="1"/>
  <c r="X23" i="85" s="1"/>
  <c r="X51" i="85" s="1"/>
  <c r="X56" i="85" s="1"/>
  <c r="X59" i="85" s="1"/>
  <c r="W58" i="85"/>
  <c r="X58" i="85" l="1"/>
  <c r="Y5" i="85"/>
  <c r="Y19" i="85" s="1"/>
  <c r="Y23" i="85" s="1"/>
  <c r="Y51" i="85" s="1"/>
  <c r="Y56" i="85" s="1"/>
  <c r="Y59" i="85" s="1"/>
  <c r="Y58" i="85" l="1"/>
  <c r="Z5" i="85"/>
  <c r="Z19" i="85" s="1"/>
  <c r="Z23" i="85" s="1"/>
  <c r="Z51" i="85" s="1"/>
  <c r="Z56" i="85" s="1"/>
  <c r="Z59" i="85" s="1"/>
  <c r="Z58" i="85" l="1"/>
  <c r="AA5" i="85"/>
  <c r="AA19" i="85" s="1"/>
  <c r="AA23" i="85" s="1"/>
  <c r="AA51" i="85" s="1"/>
  <c r="AA56" i="85" s="1"/>
  <c r="AA59" i="85" s="1"/>
  <c r="AB5" i="85" l="1"/>
  <c r="AB19" i="85" s="1"/>
  <c r="AB23" i="85" s="1"/>
  <c r="AB51" i="85" s="1"/>
  <c r="AB56" i="85" s="1"/>
  <c r="AB59" i="85" s="1"/>
  <c r="AA58" i="85"/>
  <c r="AB58" i="85" l="1"/>
  <c r="AC5" i="85"/>
  <c r="AC19" i="85" s="1"/>
  <c r="AC23" i="85" s="1"/>
  <c r="AC51" i="85" s="1"/>
  <c r="AC56" i="85" s="1"/>
  <c r="AC59" i="85" s="1"/>
  <c r="AC58" i="85" l="1"/>
  <c r="AD5" i="85"/>
  <c r="AD19" i="85" s="1"/>
  <c r="AD23" i="85" s="1"/>
  <c r="AD51" i="85" s="1"/>
  <c r="AD56" i="85" s="1"/>
  <c r="AD59" i="85" s="1"/>
  <c r="AD58" i="85" l="1"/>
  <c r="AE5" i="85"/>
  <c r="AE19" i="85" s="1"/>
  <c r="AE23" i="85" s="1"/>
  <c r="AE51" i="85" s="1"/>
  <c r="AE56" i="85" s="1"/>
  <c r="AE59" i="85" s="1"/>
  <c r="AF5" i="85" l="1"/>
  <c r="AF19" i="85" s="1"/>
  <c r="AF23" i="85" s="1"/>
  <c r="AF51" i="85" s="1"/>
  <c r="AF56" i="85" s="1"/>
  <c r="AF59" i="85" s="1"/>
  <c r="AE58" i="85"/>
  <c r="AG5" i="85" l="1"/>
  <c r="AG19" i="85" s="1"/>
  <c r="AG23" i="85" s="1"/>
  <c r="AG51" i="85" s="1"/>
  <c r="AG56" i="85" s="1"/>
  <c r="AF58" i="85"/>
  <c r="AG58" i="85" l="1"/>
  <c r="AH5" i="85"/>
  <c r="AH19" i="85" s="1"/>
  <c r="AH23" i="85" s="1"/>
  <c r="AH51" i="85" s="1"/>
  <c r="AH56" i="85" s="1"/>
  <c r="AH58" i="85" l="1"/>
  <c r="AI5" i="85"/>
  <c r="AI19" i="85" s="1"/>
  <c r="AI23" i="85" s="1"/>
  <c r="AI51" i="85" s="1"/>
  <c r="AI56" i="85" s="1"/>
  <c r="AJ5" i="85" l="1"/>
  <c r="AJ19" i="85" s="1"/>
  <c r="AJ23" i="85" s="1"/>
  <c r="AJ51" i="85" s="1"/>
  <c r="AJ56" i="85" s="1"/>
  <c r="AI58" i="85"/>
  <c r="AK5" i="85" l="1"/>
  <c r="AK19" i="85" s="1"/>
  <c r="AK23" i="85" s="1"/>
  <c r="AK51" i="85" s="1"/>
  <c r="AK56" i="85" s="1"/>
  <c r="AJ58" i="85"/>
  <c r="AL5" i="85" l="1"/>
  <c r="AL19" i="85" s="1"/>
  <c r="AL23" i="85" s="1"/>
  <c r="AL51" i="85" s="1"/>
  <c r="AL56" i="85" s="1"/>
  <c r="AK58" i="85"/>
  <c r="AL58" i="85" l="1"/>
  <c r="AM5" i="85"/>
  <c r="AM19" i="85" s="1"/>
  <c r="AM23" i="85" s="1"/>
  <c r="AM51" i="85" s="1"/>
  <c r="AM56" i="85" s="1"/>
  <c r="AN5" i="85" l="1"/>
  <c r="AN19" i="85" s="1"/>
  <c r="AN23" i="85" s="1"/>
  <c r="AN51" i="85" s="1"/>
  <c r="AN56" i="85" s="1"/>
  <c r="AM58" i="85"/>
  <c r="AN58" i="85" l="1"/>
  <c r="AO5" i="85"/>
  <c r="AO19" i="85" s="1"/>
  <c r="AO23" i="85" s="1"/>
  <c r="AO51" i="85" s="1"/>
  <c r="AO56" i="85" s="1"/>
  <c r="AO58" i="85" l="1"/>
  <c r="AP5" i="85"/>
  <c r="AP19" i="85" s="1"/>
  <c r="AP23" i="85" s="1"/>
  <c r="AP51" i="85" s="1"/>
  <c r="AP56" i="85" s="1"/>
  <c r="AP58" i="85" l="1"/>
  <c r="AQ5" i="85"/>
  <c r="AQ19" i="85" s="1"/>
  <c r="AQ23" i="85" s="1"/>
  <c r="AQ51" i="85" s="1"/>
  <c r="AQ56" i="85" s="1"/>
  <c r="AR5" i="85" l="1"/>
  <c r="AR19" i="85" s="1"/>
  <c r="AR23" i="85" s="1"/>
  <c r="AR51" i="85" s="1"/>
  <c r="AR56" i="85" s="1"/>
  <c r="AQ58" i="85"/>
  <c r="AR58" i="85" l="1"/>
  <c r="AS5" i="85"/>
  <c r="AS19" i="85" s="1"/>
  <c r="AS23" i="85" s="1"/>
  <c r="AS51" i="85" s="1"/>
  <c r="AS56" i="85" s="1"/>
  <c r="AS58" i="85" l="1"/>
  <c r="AT5" i="85"/>
  <c r="AT19" i="85" s="1"/>
  <c r="AT23" i="85" s="1"/>
  <c r="AT51" i="85" s="1"/>
  <c r="AT56" i="85" s="1"/>
  <c r="AU5" i="85" l="1"/>
  <c r="AU19" i="85" s="1"/>
  <c r="AU23" i="85" s="1"/>
  <c r="AU51" i="85" s="1"/>
  <c r="AU56" i="85" s="1"/>
  <c r="AT58" i="85"/>
  <c r="AU58" i="85" l="1"/>
  <c r="AV5" i="85"/>
  <c r="AV19" i="85" s="1"/>
  <c r="AV23" i="85" s="1"/>
  <c r="AV51" i="85" s="1"/>
  <c r="AV56" i="85" s="1"/>
  <c r="AW5" i="85" l="1"/>
  <c r="AW19" i="85" s="1"/>
  <c r="AW23" i="85" s="1"/>
  <c r="AW51" i="85" s="1"/>
  <c r="AW56" i="85" s="1"/>
  <c r="AV58" i="85"/>
  <c r="AX5" i="85" l="1"/>
  <c r="AX19" i="85" s="1"/>
  <c r="AX23" i="85" s="1"/>
  <c r="AX51" i="85" s="1"/>
  <c r="AX56" i="85" s="1"/>
  <c r="AW58" i="85"/>
  <c r="AX58" i="85" l="1"/>
  <c r="AY5" i="85"/>
  <c r="AY19" i="85" s="1"/>
  <c r="AY23" i="85" s="1"/>
  <c r="AY51" i="85" s="1"/>
  <c r="AY56" i="85" s="1"/>
  <c r="AY58" i="85" l="1"/>
  <c r="AZ5" i="85"/>
  <c r="AZ19" i="85" s="1"/>
  <c r="AZ23" i="85" s="1"/>
  <c r="AZ51" i="85" s="1"/>
  <c r="AZ56" i="85" s="1"/>
  <c r="BA5" i="85" l="1"/>
  <c r="BA19" i="85" s="1"/>
  <c r="BA23" i="85" s="1"/>
  <c r="BA51" i="85" s="1"/>
  <c r="BA56" i="85" s="1"/>
  <c r="AZ58" i="85"/>
  <c r="BA58" i="85" l="1"/>
  <c r="BB5" i="85"/>
  <c r="BB19" i="85" s="1"/>
  <c r="BB23" i="85" s="1"/>
  <c r="BB51" i="85" s="1"/>
  <c r="BB56" i="85" s="1"/>
  <c r="BB58" i="85" l="1"/>
  <c r="BC5" i="85"/>
  <c r="BC19" i="85" s="1"/>
  <c r="BC23" i="85" s="1"/>
  <c r="BC51" i="85" s="1"/>
  <c r="BC56" i="85" s="1"/>
  <c r="BC58" i="85" l="1"/>
  <c r="BD5" i="85"/>
  <c r="BD19" i="85" s="1"/>
  <c r="BD23" i="85" s="1"/>
  <c r="BD51" i="85" s="1"/>
  <c r="BD56" i="85" s="1"/>
  <c r="BE5" i="85" l="1"/>
  <c r="BE19" i="85" s="1"/>
  <c r="BE23" i="85" s="1"/>
  <c r="BE51" i="85" s="1"/>
  <c r="BE56" i="85" s="1"/>
  <c r="BD58" i="85"/>
  <c r="BE58" i="85" l="1"/>
  <c r="BF5" i="85"/>
  <c r="BF19" i="85" s="1"/>
  <c r="BF23" i="85" s="1"/>
  <c r="BF51" i="85" s="1"/>
  <c r="BF56" i="85" s="1"/>
  <c r="F73" i="1"/>
  <c r="E6" i="73"/>
  <c r="D14" i="98"/>
  <c r="D5" i="98" s="1"/>
  <c r="D117" i="98" s="1"/>
  <c r="BF58" i="85" l="1"/>
  <c r="BG5" i="85"/>
  <c r="BG19" i="85" s="1"/>
  <c r="E157" i="73"/>
  <c r="F38" i="103"/>
  <c r="D220" i="98"/>
  <c r="D222" i="98" s="1"/>
  <c r="E80" i="73"/>
  <c r="E81" i="73" s="1"/>
  <c r="D205" i="98"/>
  <c r="E175" i="73"/>
  <c r="BG23" i="85" l="1"/>
  <c r="E38" i="103"/>
  <c r="BG51" i="85" l="1"/>
  <c r="E93" i="73"/>
  <c r="D128" i="98" s="1"/>
  <c r="E92" i="73"/>
  <c r="D127" i="98" s="1"/>
  <c r="BG56" i="85" l="1"/>
  <c r="BG58" i="85" s="1"/>
  <c r="E88" i="73"/>
  <c r="D123" i="98" l="1"/>
  <c r="E94" i="73" l="1"/>
  <c r="D16" i="4"/>
  <c r="D55" i="4" s="1"/>
  <c r="D129" i="98" l="1"/>
  <c r="D121" i="98" s="1"/>
  <c r="D120" i="98" s="1"/>
  <c r="D206" i="98" s="1"/>
  <c r="D207" i="98" s="1"/>
  <c r="D210" i="98" s="1"/>
  <c r="D214" i="98" s="1"/>
  <c r="E86" i="73"/>
  <c r="E158" i="73" l="1"/>
  <c r="E159" i="73" s="1"/>
  <c r="E162" i="73" s="1"/>
  <c r="E166" i="73" s="1"/>
  <c r="E85" i="73"/>
  <c r="E184" i="73" s="1"/>
  <c r="E185" i="73" s="1"/>
  <c r="E148" i="73" l="1"/>
  <c r="D69" i="4"/>
  <c r="D74" i="4" s="1"/>
  <c r="D198" i="98" l="1"/>
  <c r="D197" i="98" s="1"/>
  <c r="D201" i="98" s="1"/>
  <c r="D202" i="98" s="1"/>
  <c r="E147" i="73"/>
  <c r="E152" i="73" s="1"/>
  <c r="DH69" i="4" l="1"/>
  <c r="M231" i="94" l="1"/>
  <c r="O231" i="94" s="1"/>
  <c r="BI35" i="85"/>
  <c r="BJ35" i="85" s="1"/>
  <c r="E192" i="98" s="1"/>
  <c r="T231" i="94"/>
  <c r="U231" i="94" l="1"/>
  <c r="D192" i="98"/>
  <c r="BI28" i="85" l="1"/>
  <c r="BJ28" i="85" s="1"/>
  <c r="E54" i="117" l="1"/>
  <c r="C54" i="117" s="1"/>
  <c r="E49" i="117"/>
  <c r="E55" i="117" l="1"/>
  <c r="C55" i="117" s="1"/>
  <c r="C49" i="117"/>
  <c r="E56" i="117" l="1"/>
  <c r="F140" i="117"/>
  <c r="F142" i="117" s="1"/>
  <c r="C56" i="117" l="1"/>
  <c r="C58" i="117" s="1"/>
  <c r="C140" i="117" s="1"/>
  <c r="C142" i="117" s="1"/>
  <c r="E58" i="117"/>
  <c r="E140" i="117" s="1"/>
  <c r="E142" i="117" s="1"/>
  <c r="DH52" i="4" l="1"/>
  <c r="DH55" i="4" s="1"/>
  <c r="DH74" i="4" s="1"/>
  <c r="J170" i="87"/>
  <c r="K170" i="87" s="1"/>
  <c r="L65" i="4" l="1"/>
  <c r="H65" i="4" s="1"/>
  <c r="I143" i="73" s="1"/>
  <c r="DF59" i="4" l="1"/>
  <c r="DF69" i="4" l="1"/>
  <c r="DF74" i="4" s="1"/>
  <c r="M15" i="94" l="1"/>
  <c r="O15" i="94" l="1"/>
  <c r="V61" i="4"/>
  <c r="M172" i="94" l="1"/>
  <c r="O172" i="94" s="1"/>
  <c r="M171" i="94"/>
  <c r="O171" i="94" s="1"/>
  <c r="M170" i="94" l="1"/>
  <c r="O170" i="94" s="1"/>
  <c r="M169" i="94"/>
  <c r="O169" i="94" s="1"/>
  <c r="M168" i="94" l="1"/>
  <c r="O168" i="94" s="1"/>
  <c r="M167" i="94"/>
  <c r="O167" i="94" s="1"/>
  <c r="M166" i="94" l="1"/>
  <c r="O166" i="94" s="1"/>
  <c r="M165" i="94"/>
  <c r="O165" i="94" s="1"/>
  <c r="M164" i="94" l="1"/>
  <c r="O164" i="94" s="1"/>
  <c r="M163" i="94"/>
  <c r="O163" i="94" s="1"/>
  <c r="M162" i="94" l="1"/>
  <c r="O162" i="94" s="1"/>
  <c r="M161" i="94"/>
  <c r="O161" i="94" s="1"/>
  <c r="M160" i="94" l="1"/>
  <c r="O160" i="94" s="1"/>
  <c r="M159" i="94"/>
  <c r="O159" i="94" s="1"/>
  <c r="M158" i="94" l="1"/>
  <c r="O158" i="94" s="1"/>
  <c r="M157" i="94"/>
  <c r="O157" i="94" s="1"/>
  <c r="M156" i="94"/>
  <c r="O156" i="94" s="1"/>
  <c r="M155" i="94"/>
  <c r="O155" i="94" s="1"/>
  <c r="M123" i="94" l="1"/>
  <c r="O123" i="94" s="1"/>
  <c r="M154" i="94"/>
  <c r="O154" i="94" s="1"/>
  <c r="M153" i="94"/>
  <c r="O153" i="94" s="1"/>
  <c r="M124" i="94" l="1"/>
  <c r="O124" i="94" s="1"/>
  <c r="M152" i="94" l="1"/>
  <c r="O152" i="94" s="1"/>
  <c r="M151" i="94"/>
  <c r="O151" i="94" s="1"/>
  <c r="M122" i="94" l="1"/>
  <c r="O122" i="94" s="1"/>
  <c r="M150" i="94" l="1"/>
  <c r="O150" i="94" s="1"/>
  <c r="M149" i="94"/>
  <c r="O149" i="94" s="1"/>
  <c r="M148" i="94"/>
  <c r="O148" i="94" s="1"/>
  <c r="M147" i="94"/>
  <c r="O147" i="94" s="1"/>
  <c r="M145" i="94"/>
  <c r="O145" i="94" s="1"/>
  <c r="M143" i="94"/>
  <c r="O143" i="94" s="1"/>
  <c r="M142" i="94"/>
  <c r="O142" i="94" s="1"/>
  <c r="M141" i="94"/>
  <c r="O141" i="94" s="1"/>
  <c r="M140" i="94"/>
  <c r="O140" i="94" s="1"/>
  <c r="M139" i="94"/>
  <c r="O139" i="94" s="1"/>
  <c r="M138" i="94"/>
  <c r="O138" i="94" s="1"/>
  <c r="M137" i="94"/>
  <c r="O137" i="94" s="1"/>
  <c r="M144" i="94" l="1"/>
  <c r="O144" i="94" s="1"/>
  <c r="M146" i="94"/>
  <c r="O146" i="94" s="1"/>
  <c r="M120" i="94" l="1"/>
  <c r="O120" i="94" s="1"/>
  <c r="M121" i="94"/>
  <c r="O121" i="94" s="1"/>
  <c r="M134" i="94" l="1"/>
  <c r="O134" i="94" s="1"/>
  <c r="M129" i="94"/>
  <c r="O129" i="94" s="1"/>
  <c r="M131" i="94"/>
  <c r="O131" i="94" s="1"/>
  <c r="M136" i="94"/>
  <c r="O136" i="94" s="1"/>
  <c r="M135" i="94"/>
  <c r="O135" i="94" s="1"/>
  <c r="M133" i="94"/>
  <c r="O133" i="94" s="1"/>
  <c r="M132" i="94"/>
  <c r="O132" i="94" s="1"/>
  <c r="M130" i="94"/>
  <c r="O130" i="94" s="1"/>
  <c r="M125" i="94" l="1"/>
  <c r="O125" i="94" s="1"/>
  <c r="M127" i="94" l="1"/>
  <c r="O127" i="94" s="1"/>
  <c r="M126" i="94"/>
  <c r="O126" i="94" s="1"/>
  <c r="BT58" i="4" l="1"/>
  <c r="BS58" i="4" s="1"/>
  <c r="M128" i="94"/>
  <c r="BT59" i="4"/>
  <c r="BS59" i="4" s="1"/>
  <c r="M176" i="94" l="1"/>
  <c r="O128" i="94"/>
  <c r="DN59" i="4"/>
  <c r="H59" i="4"/>
  <c r="I137" i="73" s="1"/>
  <c r="BT69" i="4"/>
  <c r="BT74" i="4" s="1"/>
  <c r="BS69" i="4"/>
  <c r="O176" i="94" l="1"/>
  <c r="BI27" i="85"/>
  <c r="BJ27" i="85" s="1"/>
  <c r="T176" i="94"/>
  <c r="U176" i="94" s="1"/>
  <c r="BS74" i="4"/>
  <c r="DO59" i="4"/>
  <c r="L46" i="4" l="1"/>
  <c r="DN46" i="4" l="1"/>
  <c r="H46" i="4"/>
  <c r="L52" i="4"/>
  <c r="L55" i="4" s="1"/>
  <c r="DO46" i="4" l="1"/>
  <c r="I126" i="73"/>
  <c r="E156" i="98" l="1"/>
  <c r="F156" i="98" s="1"/>
  <c r="G156" i="98" l="1"/>
  <c r="H156" i="98" l="1"/>
  <c r="I156" i="98" l="1"/>
  <c r="BR22" i="4" l="1"/>
  <c r="BQ22" i="4"/>
  <c r="BP22" i="4" l="1"/>
  <c r="S22" i="4"/>
  <c r="DQ22" i="4"/>
  <c r="J64" i="105" l="1"/>
  <c r="K64" i="105" s="1"/>
  <c r="H22" i="4"/>
  <c r="E9" i="121" s="1"/>
  <c r="DN22" i="4"/>
  <c r="DO22" i="4" l="1"/>
  <c r="H158" i="105"/>
  <c r="H159" i="105" s="1"/>
  <c r="I102" i="73"/>
  <c r="E134" i="98" l="1"/>
  <c r="BI14" i="85"/>
  <c r="CD25" i="4"/>
  <c r="CC25" i="4" l="1"/>
  <c r="BJ14" i="85"/>
  <c r="F134" i="98"/>
  <c r="G134" i="98" l="1"/>
  <c r="BR25" i="4"/>
  <c r="BQ25" i="4"/>
  <c r="BP25" i="4" l="1"/>
  <c r="S25" i="4"/>
  <c r="DQ25" i="4"/>
  <c r="H134" i="98"/>
  <c r="M114" i="94"/>
  <c r="O114" i="94" s="1"/>
  <c r="M115" i="94"/>
  <c r="O115" i="94" s="1"/>
  <c r="M116" i="94"/>
  <c r="O116" i="94" s="1"/>
  <c r="M117" i="94"/>
  <c r="O117" i="94" s="1"/>
  <c r="I134" i="98" l="1"/>
  <c r="DN25" i="4"/>
  <c r="H25" i="4"/>
  <c r="E8" i="121" s="1"/>
  <c r="DO25" i="4" l="1"/>
  <c r="I105" i="73"/>
  <c r="M113" i="94"/>
  <c r="O113" i="94" s="1"/>
  <c r="M119" i="94" l="1"/>
  <c r="O119" i="94" s="1"/>
  <c r="E137" i="98"/>
  <c r="BI15" i="85"/>
  <c r="D181" i="98" l="1"/>
  <c r="BJ15" i="85"/>
  <c r="F137" i="98"/>
  <c r="G137" i="98" l="1"/>
  <c r="H118" i="72"/>
  <c r="H122" i="72" s="1"/>
  <c r="H136" i="72" s="1"/>
  <c r="H136" i="87"/>
  <c r="H135" i="87"/>
  <c r="H137" i="87" l="1"/>
  <c r="H180" i="87" s="1"/>
  <c r="H137" i="98"/>
  <c r="BR34" i="4"/>
  <c r="BR58" i="4"/>
  <c r="CE34" i="4"/>
  <c r="CE35" i="4"/>
  <c r="CE52" i="4" l="1"/>
  <c r="I25" i="75"/>
  <c r="I25" i="117"/>
  <c r="S58" i="4"/>
  <c r="BR69" i="4"/>
  <c r="DQ58" i="4"/>
  <c r="DQ69" i="4" s="1"/>
  <c r="S34" i="4"/>
  <c r="DQ34" i="4"/>
  <c r="I137" i="98"/>
  <c r="BR35" i="4"/>
  <c r="BR52" i="4" s="1"/>
  <c r="BR55" i="4" s="1"/>
  <c r="BR74" i="4" l="1"/>
  <c r="E25" i="117"/>
  <c r="C25" i="117" s="1"/>
  <c r="I15" i="117"/>
  <c r="I5" i="117" s="1"/>
  <c r="I47" i="117" s="1"/>
  <c r="I143" i="117" s="1"/>
  <c r="E25" i="75"/>
  <c r="C25" i="75" s="1"/>
  <c r="I15" i="75"/>
  <c r="I5" i="75" s="1"/>
  <c r="I47" i="75" s="1"/>
  <c r="I144" i="75" s="1"/>
  <c r="S35" i="4"/>
  <c r="S52" i="4" s="1"/>
  <c r="S55" i="4" s="1"/>
  <c r="S74" i="4" s="1"/>
  <c r="F23" i="75"/>
  <c r="F23" i="117"/>
  <c r="DQ35" i="4"/>
  <c r="DQ52" i="4" s="1"/>
  <c r="DQ55" i="4" s="1"/>
  <c r="DQ74" i="4" s="1"/>
  <c r="S75" i="4" l="1"/>
  <c r="S76" i="4" s="1"/>
  <c r="F15" i="117"/>
  <c r="F5" i="117" s="1"/>
  <c r="F47" i="117" s="1"/>
  <c r="F143" i="117" s="1"/>
  <c r="E23" i="117"/>
  <c r="E23" i="75"/>
  <c r="F15" i="75"/>
  <c r="F5" i="75" s="1"/>
  <c r="F47" i="75" s="1"/>
  <c r="F144" i="75" s="1"/>
  <c r="C23" i="75" l="1"/>
  <c r="C15" i="75" s="1"/>
  <c r="E15" i="75"/>
  <c r="E5" i="75" s="1"/>
  <c r="E47" i="75" s="1"/>
  <c r="C23" i="117"/>
  <c r="C15" i="117" s="1"/>
  <c r="C5" i="117" s="1"/>
  <c r="E15" i="117"/>
  <c r="E5" i="117" s="1"/>
  <c r="E47" i="117" s="1"/>
  <c r="C5" i="75" l="1"/>
  <c r="C47" i="75" s="1"/>
  <c r="C144" i="75" s="1"/>
  <c r="Q47" i="117"/>
  <c r="E143" i="117"/>
  <c r="C47" i="117"/>
  <c r="C143" i="117" s="1"/>
  <c r="F48" i="117"/>
  <c r="E144" i="75"/>
  <c r="Q47" i="75"/>
  <c r="BQ35" i="4" l="1"/>
  <c r="BP35" i="4" s="1"/>
  <c r="J90" i="72" l="1"/>
  <c r="K90" i="72" s="1"/>
  <c r="AJ58" i="4" l="1"/>
  <c r="AJ61" i="4" l="1"/>
  <c r="DN61" i="4" l="1"/>
  <c r="H61" i="4"/>
  <c r="I139" i="73" s="1"/>
  <c r="AJ69" i="4"/>
  <c r="T65" i="94" l="1"/>
  <c r="U65" i="94" s="1"/>
  <c r="BI41" i="85"/>
  <c r="BJ41" i="85" s="1"/>
  <c r="DO61" i="4"/>
  <c r="BQ58" i="4" l="1"/>
  <c r="BQ34" i="4"/>
  <c r="AE58" i="4"/>
  <c r="BP34" i="4" l="1"/>
  <c r="BQ52" i="4"/>
  <c r="BQ55" i="4" s="1"/>
  <c r="BP58" i="4"/>
  <c r="BP69" i="4" s="1"/>
  <c r="BQ69" i="4"/>
  <c r="AD58" i="4"/>
  <c r="AE69" i="4"/>
  <c r="AE74" i="4" s="1"/>
  <c r="CD35" i="4"/>
  <c r="CC35" i="4" s="1"/>
  <c r="J122" i="72" l="1"/>
  <c r="K122" i="72" s="1"/>
  <c r="H35" i="4"/>
  <c r="DN35" i="4"/>
  <c r="BQ74" i="4"/>
  <c r="T119" i="94"/>
  <c r="U119" i="94" s="1"/>
  <c r="BI32" i="85"/>
  <c r="BJ32" i="85" s="1"/>
  <c r="J108" i="87"/>
  <c r="K108" i="87" s="1"/>
  <c r="BP52" i="4"/>
  <c r="AD69" i="4"/>
  <c r="H58" i="4"/>
  <c r="DN58" i="4"/>
  <c r="CD34" i="4"/>
  <c r="DO35" i="4" l="1"/>
  <c r="I115" i="73"/>
  <c r="E147" i="98" s="1"/>
  <c r="F147" i="98" s="1"/>
  <c r="G147" i="98" s="1"/>
  <c r="H147" i="98" s="1"/>
  <c r="I147" i="98" s="1"/>
  <c r="H137" i="72"/>
  <c r="H138" i="72" s="1"/>
  <c r="CC34" i="4"/>
  <c r="CD52" i="4"/>
  <c r="BP55" i="4"/>
  <c r="BP74" i="4" s="1"/>
  <c r="R8" i="91"/>
  <c r="R18" i="91" s="1"/>
  <c r="R27" i="91" s="1"/>
  <c r="S8" i="91"/>
  <c r="S18" i="91" s="1"/>
  <c r="S27" i="91" s="1"/>
  <c r="T8" i="91"/>
  <c r="T18" i="91" s="1"/>
  <c r="T27" i="91" s="1"/>
  <c r="P8" i="91"/>
  <c r="P18" i="91" s="1"/>
  <c r="P27" i="91" s="1"/>
  <c r="P31" i="91" s="1"/>
  <c r="P34" i="91" s="1"/>
  <c r="P37" i="91" s="1"/>
  <c r="P42" i="91" s="1"/>
  <c r="DO58" i="4"/>
  <c r="I136" i="73"/>
  <c r="T57" i="94"/>
  <c r="U57" i="94" s="1"/>
  <c r="J137" i="87" l="1"/>
  <c r="K137" i="87" s="1"/>
  <c r="CC52" i="4"/>
  <c r="CC55" i="4" s="1"/>
  <c r="CC74" i="4" s="1"/>
  <c r="DN34" i="4"/>
  <c r="H34" i="4"/>
  <c r="E10" i="121" s="1"/>
  <c r="DO34" i="4" l="1"/>
  <c r="I114" i="73"/>
  <c r="H181" i="87"/>
  <c r="H182" i="87" s="1"/>
  <c r="BI16" i="85" l="1"/>
  <c r="E146" i="98"/>
  <c r="F146" i="98" l="1"/>
  <c r="BJ16" i="85"/>
  <c r="G146" i="98" l="1"/>
  <c r="H146" i="98" l="1"/>
  <c r="I146" i="98" l="1"/>
  <c r="M16" i="94" l="1"/>
  <c r="O16" i="94" l="1"/>
  <c r="M18" i="94"/>
  <c r="O18" i="94" l="1"/>
  <c r="M237" i="94"/>
  <c r="O237" i="94" s="1"/>
  <c r="V62" i="4" l="1"/>
  <c r="H62" i="4" l="1"/>
  <c r="E19" i="121" s="1"/>
  <c r="DN62" i="4"/>
  <c r="V69" i="4"/>
  <c r="DO62" i="4" l="1"/>
  <c r="T18" i="94"/>
  <c r="U18" i="94" s="1"/>
  <c r="I140" i="73"/>
  <c r="I134" i="73" s="1"/>
  <c r="M238" i="94"/>
  <c r="M239" i="94" s="1"/>
  <c r="C37" i="114" l="1"/>
  <c r="E164" i="98"/>
  <c r="E213" i="98" s="1"/>
  <c r="I165" i="73"/>
  <c r="V15" i="4" l="1"/>
  <c r="V16" i="4" s="1"/>
  <c r="V55" i="4" s="1"/>
  <c r="V74" i="4" s="1"/>
  <c r="AJ15" i="4" l="1"/>
  <c r="AJ16" i="4" s="1"/>
  <c r="AJ55" i="4" s="1"/>
  <c r="AJ74" i="4" s="1"/>
  <c r="AD15" i="4"/>
  <c r="AD16" i="4" s="1"/>
  <c r="AD55" i="4" s="1"/>
  <c r="AD74" i="4" s="1"/>
  <c r="AV15" i="4"/>
  <c r="AV16" i="4" s="1"/>
  <c r="AV55" i="4" s="1"/>
  <c r="AV74" i="4" s="1"/>
  <c r="R15" i="4"/>
  <c r="R16" i="4" s="1"/>
  <c r="R55" i="4" s="1"/>
  <c r="R74" i="4" s="1"/>
  <c r="T15" i="4"/>
  <c r="T16" i="4" s="1"/>
  <c r="T55" i="4" s="1"/>
  <c r="T74" i="4" s="1"/>
  <c r="Y15" i="4"/>
  <c r="Y16" i="4" s="1"/>
  <c r="Y55" i="4" s="1"/>
  <c r="Y74" i="4" s="1"/>
  <c r="X15" i="4"/>
  <c r="X16" i="4" s="1"/>
  <c r="X55" i="4" s="1"/>
  <c r="X74" i="4" s="1"/>
  <c r="P15" i="4"/>
  <c r="W15" i="4"/>
  <c r="W16" i="4" s="1"/>
  <c r="W55" i="4" s="1"/>
  <c r="W74" i="4" s="1"/>
  <c r="O15" i="4" l="1"/>
  <c r="P16" i="4"/>
  <c r="P55" i="4" s="1"/>
  <c r="P74" i="4" s="1"/>
  <c r="O16" i="4" l="1"/>
  <c r="O55" i="4" s="1"/>
  <c r="O74" i="4" s="1"/>
  <c r="H15" i="4"/>
  <c r="H16" i="4" l="1"/>
  <c r="E7" i="121" s="1"/>
  <c r="I94" i="73"/>
  <c r="E129" i="98" l="1"/>
  <c r="I86" i="73"/>
  <c r="F77" i="111"/>
  <c r="BI13" i="85"/>
  <c r="BJ13" i="85" l="1"/>
  <c r="E121" i="98"/>
  <c r="F129" i="98"/>
  <c r="F121" i="98" l="1"/>
  <c r="G129" i="98"/>
  <c r="G121" i="98" l="1"/>
  <c r="H129" i="98"/>
  <c r="I129" i="98" l="1"/>
  <c r="I121" i="98" s="1"/>
  <c r="H121" i="98"/>
  <c r="M48" i="4" l="1"/>
  <c r="M52" i="4" l="1"/>
  <c r="M55" i="4" s="1"/>
  <c r="M74" i="4" s="1"/>
  <c r="DN48" i="4"/>
  <c r="H48" i="4"/>
  <c r="I128" i="73" l="1"/>
  <c r="E158" i="98" s="1"/>
  <c r="F158" i="98" s="1"/>
  <c r="G158" i="98" s="1"/>
  <c r="H158" i="98" s="1"/>
  <c r="I158" i="98" s="1"/>
  <c r="E13" i="121"/>
  <c r="DO48" i="4"/>
  <c r="K51" i="4" l="1"/>
  <c r="H51" i="4" l="1"/>
  <c r="DN51" i="4"/>
  <c r="K52" i="4"/>
  <c r="K55" i="4" s="1"/>
  <c r="K74" i="4" s="1"/>
  <c r="I131" i="73" l="1"/>
  <c r="E161" i="98" l="1"/>
  <c r="BI18" i="85"/>
  <c r="BJ18" i="85" l="1"/>
  <c r="I53" i="4" l="1"/>
  <c r="I55" i="4" l="1"/>
  <c r="I74" i="4" s="1"/>
  <c r="H53" i="4"/>
  <c r="DN53" i="4"/>
  <c r="I80" i="4"/>
  <c r="H80" i="4" s="1"/>
  <c r="BI20" i="85"/>
  <c r="BJ20" i="85" s="1"/>
  <c r="J71" i="4"/>
  <c r="AT44" i="4" l="1"/>
  <c r="DO53" i="4"/>
  <c r="I132" i="73"/>
  <c r="F79" i="111"/>
  <c r="J72" i="4"/>
  <c r="H71" i="4"/>
  <c r="J79" i="4"/>
  <c r="H79" i="4" s="1"/>
  <c r="H78" i="4" s="1"/>
  <c r="H87" i="4" s="1"/>
  <c r="DN71" i="4"/>
  <c r="DO71" i="4" s="1"/>
  <c r="AT52" i="4" l="1"/>
  <c r="AT55" i="4" s="1"/>
  <c r="AT74" i="4" s="1"/>
  <c r="AS44" i="4"/>
  <c r="E11" i="121"/>
  <c r="I150" i="73"/>
  <c r="F80" i="111"/>
  <c r="H72" i="4"/>
  <c r="J74" i="4"/>
  <c r="DN72" i="4"/>
  <c r="DO72" i="4" s="1"/>
  <c r="I180" i="73"/>
  <c r="E162" i="98"/>
  <c r="H44" i="4" l="1"/>
  <c r="H5" i="107"/>
  <c r="H12" i="107" s="1"/>
  <c r="J5" i="107"/>
  <c r="K5" i="107" s="1"/>
  <c r="DN44" i="4"/>
  <c r="DO44" i="4" s="1"/>
  <c r="AS52" i="4"/>
  <c r="AS55" i="4" s="1"/>
  <c r="AS74" i="4" s="1"/>
  <c r="I181" i="73"/>
  <c r="I179" i="73" s="1"/>
  <c r="E200" i="98"/>
  <c r="BI52" i="85"/>
  <c r="BJ52" i="85" s="1"/>
  <c r="I161" i="73"/>
  <c r="E12" i="121" l="1"/>
  <c r="E15" i="121" s="1"/>
  <c r="E17" i="121" s="1"/>
  <c r="H13" i="107"/>
  <c r="H14" i="107" s="1"/>
  <c r="I124" i="73"/>
  <c r="H52" i="4"/>
  <c r="E221" i="98"/>
  <c r="E222" i="98" s="1"/>
  <c r="E209" i="98"/>
  <c r="I172" i="73"/>
  <c r="I190" i="73"/>
  <c r="I191" i="73"/>
  <c r="F78" i="111" l="1"/>
  <c r="F92" i="111" s="1"/>
  <c r="D95" i="111" s="1"/>
  <c r="J95" i="111" s="1"/>
  <c r="H55" i="4"/>
  <c r="L75" i="4" s="1"/>
  <c r="L67" i="4" s="1"/>
  <c r="E154" i="98"/>
  <c r="BI17" i="85"/>
  <c r="I96" i="73"/>
  <c r="I189" i="73"/>
  <c r="BJ17" i="85" l="1"/>
  <c r="BI12" i="85"/>
  <c r="BJ12" i="85" s="1"/>
  <c r="I85" i="73"/>
  <c r="I158" i="73"/>
  <c r="I159" i="73" s="1"/>
  <c r="I162" i="73" s="1"/>
  <c r="I166" i="73" s="1"/>
  <c r="F154" i="98"/>
  <c r="E130" i="98"/>
  <c r="E120" i="98" s="1"/>
  <c r="E206" i="98" s="1"/>
  <c r="E207" i="98" s="1"/>
  <c r="E210" i="98" s="1"/>
  <c r="E214" i="98" s="1"/>
  <c r="DN67" i="4"/>
  <c r="H67" i="4"/>
  <c r="L69" i="4"/>
  <c r="L74" i="4" s="1"/>
  <c r="I148" i="73" l="1"/>
  <c r="H69" i="4"/>
  <c r="H74" i="4" s="1"/>
  <c r="H75" i="4" s="1"/>
  <c r="G154" i="98"/>
  <c r="F130" i="98"/>
  <c r="F120" i="98" s="1"/>
  <c r="I184" i="73"/>
  <c r="I185" i="73" s="1"/>
  <c r="C36" i="114"/>
  <c r="DO67" i="4"/>
  <c r="H154" i="98" l="1"/>
  <c r="G130" i="98"/>
  <c r="G120" i="98" s="1"/>
  <c r="F201" i="98"/>
  <c r="F202" i="98" s="1"/>
  <c r="F206" i="98"/>
  <c r="F207" i="98" s="1"/>
  <c r="F210" i="98" s="1"/>
  <c r="F214" i="98" s="1"/>
  <c r="I147" i="73"/>
  <c r="E198" i="98"/>
  <c r="E197" i="98" s="1"/>
  <c r="E201" i="98" s="1"/>
  <c r="E202" i="98" s="1"/>
  <c r="C38" i="114" l="1"/>
  <c r="I152" i="73"/>
  <c r="G201" i="98"/>
  <c r="G202" i="98" s="1"/>
  <c r="G206" i="98"/>
  <c r="G207" i="98" s="1"/>
  <c r="G210" i="98" s="1"/>
  <c r="G214" i="98" s="1"/>
  <c r="I154" i="98"/>
  <c r="I130" i="98" s="1"/>
  <c r="I120" i="98" s="1"/>
  <c r="H130" i="98"/>
  <c r="H120" i="98" s="1"/>
  <c r="H206" i="98" l="1"/>
  <c r="H207" i="98" s="1"/>
  <c r="H210" i="98" s="1"/>
  <c r="H214" i="98" s="1"/>
  <c r="H201" i="98"/>
  <c r="H202" i="98" s="1"/>
  <c r="I206" i="98"/>
  <c r="I207" i="98" s="1"/>
  <c r="I210" i="98" s="1"/>
  <c r="I214" i="98" s="1"/>
  <c r="I201" i="98"/>
  <c r="I202" i="98" s="1"/>
  <c r="I153" i="73"/>
  <c r="I154" i="73"/>
</calcChain>
</file>

<file path=xl/comments1.xml><?xml version="1.0" encoding="utf-8"?>
<comments xmlns="http://schemas.openxmlformats.org/spreadsheetml/2006/main">
  <authors>
    <author>Alexis Kimbembe</author>
  </authors>
  <commentList>
    <comment ref="M48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dotace rybáři 500 000 a 500 000,-Kč participativní rozpočet</t>
        </r>
      </text>
    </comment>
  </commentList>
</comments>
</file>

<file path=xl/comments2.xml><?xml version="1.0" encoding="utf-8"?>
<comments xmlns="http://schemas.openxmlformats.org/spreadsheetml/2006/main">
  <authors>
    <author>Jaroslav Špaček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město mělo pomoci s akontací, zbytek zaplatí TSMÚ, Já jsem chtěl koupit, rameno na traktor, vysavač na listí
pokud zde být nemá smaž, děkuji, ale u nás tedy musí figurovat v jiné výdajové kolonce.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šnekolis dehydrátor - náhrada za lis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počítáme 5% růst, dále snahu navýšit poměr paušálů u studnařů, přesná čísla budeme mít po sezení a nastavení cen s panem Kokrmentem, PVK přesnou cenu prozatím nestanovilo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rád bych dotáhl 2 roky odkládané věi z obnovy. S 1mil+1mil nic neuděláme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čekáme výrazný růst, zatím jsem zdrženlivý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počítáno s 13 platem a premií na pracovníka ve výši 3tis/měs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nová pozice, někdo kdo bude schopen zastupovat za Dostovou, Schwarzovou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+3 lidi na svozové vozidlo II.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rezerva 1 člověk služba pro ostatní obce, zbytek vykryjeme z VPS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2020 byl budget 879.018 - je zde pozice navíc - nutno prověřit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IČO a dohody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osazení páteřní sítě a dalších oblastí rádiovým odečtem, odsouhlaseno na Koordináku VaK</t>
        </r>
      </text>
    </comment>
    <comment ref="L10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růst nájmu bude mít jistě pozitivní dopad na výši obnovy VaK</t>
        </r>
      </text>
    </comment>
    <comment ref="M10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VRV poradenská činnost</t>
        </r>
      </text>
    </comment>
  </commentList>
</comments>
</file>

<file path=xl/comments3.xml><?xml version="1.0" encoding="utf-8"?>
<comments xmlns="http://schemas.openxmlformats.org/spreadsheetml/2006/main">
  <authors>
    <author>Alexis Kimbembe</author>
  </authors>
  <commentList>
    <comment ref="Z10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Dotace vodovod a kanalizace z roku 2010</t>
        </r>
      </text>
    </comment>
    <comment ref="AA10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Dotacde Holubek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daně</t>
        </r>
      </text>
    </comment>
  </commentList>
</comments>
</file>

<file path=xl/comments4.xml><?xml version="1.0" encoding="utf-8"?>
<comments xmlns="http://schemas.openxmlformats.org/spreadsheetml/2006/main">
  <authors>
    <author>Jitka Kuštová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
</t>
        </r>
      </text>
    </comment>
  </commentList>
</comments>
</file>

<file path=xl/sharedStrings.xml><?xml version="1.0" encoding="utf-8"?>
<sst xmlns="http://schemas.openxmlformats.org/spreadsheetml/2006/main" count="4517" uniqueCount="2052">
  <si>
    <t>Ukazatel</t>
  </si>
  <si>
    <t xml:space="preserve">Kapitola </t>
  </si>
  <si>
    <t>Celkem</t>
  </si>
  <si>
    <t>Investiční výdaje</t>
  </si>
  <si>
    <t>Dotace</t>
  </si>
  <si>
    <t>Rozdíl</t>
  </si>
  <si>
    <t xml:space="preserve">Název </t>
  </si>
  <si>
    <t>Úroky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</si>
  <si>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</si>
  <si>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</si>
  <si>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</si>
  <si>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</si>
  <si>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</si>
  <si>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</si>
  <si>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</si>
  <si>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</si>
  <si>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</si>
  <si>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</si>
  <si>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</si>
  <si>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</si>
  <si>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</si>
  <si>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</si>
  <si>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</si>
  <si>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</si>
  <si>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</si>
  <si>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</si>
  <si>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</si>
  <si>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</si>
  <si>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</si>
  <si>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</si>
  <si>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</si>
  <si>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</si>
  <si>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</si>
  <si>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</si>
  <si>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</si>
  <si>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</si>
  <si>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Úřad práce UZ13234</t>
  </si>
  <si>
    <t>2420</t>
  </si>
  <si>
    <t>Splátky půjček Sokol</t>
  </si>
  <si>
    <t>4111</t>
  </si>
  <si>
    <t>Neinv dotace PAP</t>
  </si>
  <si>
    <t>Neinvestiční přijaté dotace ze SR</t>
  </si>
  <si>
    <t>Neinvestiční přijaté dotace od obcí</t>
  </si>
  <si>
    <t>4216</t>
  </si>
  <si>
    <t>Dotace oprava hasičského auta</t>
  </si>
  <si>
    <t>Dotace auto pečovatelská služba</t>
  </si>
  <si>
    <t>pečovatelská sl. - příspěvek KÚ</t>
  </si>
  <si>
    <t>8115</t>
  </si>
  <si>
    <t>rezerva z daně z nemovitosti</t>
  </si>
  <si>
    <t>3121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</si>
  <si>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</si>
  <si>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</si>
  <si>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</si>
  <si>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</si>
  <si>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</si>
  <si>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</si>
  <si>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</si>
  <si>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</si>
  <si>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spec. škola - pronájem</t>
  </si>
  <si>
    <t>knihovna - poplatky</t>
  </si>
  <si>
    <t>Život Úval - inzerce</t>
  </si>
  <si>
    <t xml:space="preserve">kultura </t>
  </si>
  <si>
    <t>Koupaliště - pronájem</t>
  </si>
  <si>
    <t>Tesko - služby</t>
  </si>
  <si>
    <t>Tesko - pronájem</t>
  </si>
  <si>
    <t>2322</t>
  </si>
  <si>
    <t>pojistné náhrady-povodně</t>
  </si>
  <si>
    <t>zdrav. střed.- služby</t>
  </si>
  <si>
    <t>zdrav. střed.- pronájem</t>
  </si>
  <si>
    <t>byty - služby</t>
  </si>
  <si>
    <t>byty - pronájem</t>
  </si>
  <si>
    <t>3113</t>
  </si>
  <si>
    <t>byty – prodej majetku</t>
  </si>
  <si>
    <t>nebytové služby</t>
  </si>
  <si>
    <t>nebytové - pronájem</t>
  </si>
  <si>
    <t>hřbitov - služby</t>
  </si>
  <si>
    <t>nájemné Eltodo</t>
  </si>
  <si>
    <t>odpady - vratka za tříděný odpad</t>
  </si>
  <si>
    <t>hasiči - služby</t>
  </si>
  <si>
    <t>přijaté neinv.dary</t>
  </si>
  <si>
    <t>prodej dřeva z těžby</t>
  </si>
  <si>
    <t>vývěska, kopírování</t>
  </si>
  <si>
    <t>Příjmy  z úroků</t>
  </si>
  <si>
    <t>2211</t>
  </si>
  <si>
    <t>2131</t>
  </si>
  <si>
    <t>pronájem pozemků</t>
  </si>
  <si>
    <t>8123</t>
  </si>
  <si>
    <t>revolvingový úvěr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</si>
  <si>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</si>
  <si>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</si>
  <si>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</si>
  <si>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</si>
  <si>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</si>
  <si>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</si>
  <si>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</si>
  <si>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</si>
  <si>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</si>
  <si>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</si>
  <si>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</si>
  <si>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</si>
  <si>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</si>
  <si>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</si>
  <si>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</si>
  <si>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</si>
  <si>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</si>
  <si>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</si>
  <si>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</si>
  <si>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</si>
  <si>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</si>
  <si>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</si>
  <si>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</si>
  <si>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</si>
  <si>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</si>
  <si>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</si>
  <si>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</si>
  <si>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</si>
  <si>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</si>
  <si>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</si>
  <si>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</si>
  <si>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</si>
  <si>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</si>
  <si>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</si>
  <si>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</si>
  <si>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</si>
  <si>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</si>
  <si>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</si>
  <si>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</si>
  <si>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</si>
  <si>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</si>
  <si>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Finanční dary</t>
  </si>
  <si>
    <t>Převody vl. fondům</t>
  </si>
  <si>
    <t xml:space="preserve">příspěvky spolkům 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</si>
  <si>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</si>
  <si>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</si>
  <si>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</si>
  <si>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</si>
  <si>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</si>
  <si>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</si>
  <si>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</si>
  <si>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</si>
  <si>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</si>
  <si>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</si>
  <si>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</si>
  <si>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</si>
  <si>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</si>
  <si>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</si>
  <si>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</si>
  <si>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</si>
  <si>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</si>
  <si>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</si>
  <si>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</si>
  <si>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>Osobní náklady celkem</t>
  </si>
  <si>
    <t>skutečnost</t>
  </si>
  <si>
    <t>Počáteční zůstatek:</t>
  </si>
  <si>
    <t>Mzdy</t>
  </si>
  <si>
    <t>Energie</t>
  </si>
  <si>
    <t>Konečný zůstatek: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</si>
  <si>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</si>
  <si>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</si>
  <si>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</si>
  <si>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</si>
  <si>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</si>
  <si>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</si>
  <si>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peč. sl.</t>
  </si>
  <si>
    <t>Agentura SCSA</t>
  </si>
  <si>
    <t>MP</t>
  </si>
  <si>
    <t>kronika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</si>
  <si>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</si>
  <si>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</si>
  <si>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</si>
  <si>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</si>
  <si>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</si>
  <si>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</si>
  <si>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</si>
  <si>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</si>
  <si>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</si>
  <si>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ZŠ</t>
  </si>
  <si>
    <t>č.p. 65</t>
  </si>
  <si>
    <t>MDDM</t>
  </si>
  <si>
    <t>MŠ Koll</t>
  </si>
  <si>
    <t>Jíd. ZŠ</t>
  </si>
  <si>
    <t xml:space="preserve">Jíd. MŠ </t>
  </si>
  <si>
    <t>Úz.plán</t>
  </si>
  <si>
    <t>VO</t>
  </si>
  <si>
    <t>Silnice</t>
  </si>
  <si>
    <t>Vodovod</t>
  </si>
  <si>
    <t>Kanalizace</t>
  </si>
  <si>
    <t>Inž.sítě</t>
  </si>
  <si>
    <t>Lesy</t>
  </si>
  <si>
    <t>Popelnice</t>
  </si>
  <si>
    <t>Odpady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</si>
  <si>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</si>
  <si>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</si>
  <si>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</si>
  <si>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</si>
  <si>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</si>
  <si>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</si>
  <si>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</si>
  <si>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</si>
  <si>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</si>
  <si>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</si>
  <si>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</si>
  <si>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</si>
  <si>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</si>
  <si>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3412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</si>
  <si>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</si>
  <si>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</si>
  <si>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</si>
  <si>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</si>
  <si>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</si>
  <si>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</si>
  <si>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</si>
  <si>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</si>
  <si>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</si>
  <si>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</si>
  <si>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</si>
  <si>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</si>
  <si>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</si>
  <si>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</si>
  <si>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</si>
  <si>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</si>
  <si>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</si>
  <si>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červen</t>
  </si>
  <si>
    <t>červenec</t>
  </si>
  <si>
    <t>Spl.půjč.prostř.od obyvatelstva</t>
  </si>
  <si>
    <t>Příjmy od dlužniků za realizace záruk</t>
  </si>
  <si>
    <t>Knihovna</t>
  </si>
  <si>
    <t>3111-311</t>
  </si>
  <si>
    <t>3111-303</t>
  </si>
  <si>
    <t>3141-309</t>
  </si>
  <si>
    <t>3141-308</t>
  </si>
  <si>
    <t>2321-38</t>
  </si>
  <si>
    <t>drobné opravy</t>
  </si>
  <si>
    <t>5311/1</t>
  </si>
  <si>
    <t>2310-1</t>
  </si>
  <si>
    <t>3612-77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</si>
  <si>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</si>
  <si>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</si>
  <si>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</si>
  <si>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</si>
  <si>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</si>
  <si>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</si>
  <si>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</si>
  <si>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</si>
  <si>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</si>
  <si>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</si>
  <si>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</si>
  <si>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</si>
  <si>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</si>
  <si>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</si>
  <si>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</si>
  <si>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</si>
  <si>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</si>
  <si>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</si>
  <si>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stavební práce</t>
  </si>
  <si>
    <t>3111-306</t>
  </si>
  <si>
    <t>PD</t>
  </si>
  <si>
    <t>2321/1</t>
  </si>
  <si>
    <t>Příjmy</t>
  </si>
  <si>
    <t>Třída 1</t>
  </si>
  <si>
    <t>Daňové příjmy</t>
  </si>
  <si>
    <t>Třída 2</t>
  </si>
  <si>
    <t xml:space="preserve">Nedaňové příjmy 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</si>
  <si>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</si>
  <si>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</si>
  <si>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</si>
  <si>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</si>
  <si>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</si>
  <si>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</si>
  <si>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</si>
  <si>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</si>
  <si>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</si>
  <si>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Datoace IT EU</t>
  </si>
  <si>
    <t>Třída 8</t>
  </si>
  <si>
    <t>Financování</t>
  </si>
  <si>
    <t>Změna stavu krátk.prostř.na bankovních účtů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</si>
  <si>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</si>
  <si>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</si>
  <si>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</si>
  <si>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</si>
  <si>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</si>
  <si>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</si>
  <si>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</si>
  <si>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</si>
  <si>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</si>
  <si>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</si>
  <si>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</si>
  <si>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</si>
  <si>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</si>
  <si>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TSÚ</t>
  </si>
  <si>
    <t>Monitorovací zpráva</t>
  </si>
  <si>
    <t>projektový manažer</t>
  </si>
  <si>
    <t>MŠ Čuk.  celkem</t>
  </si>
  <si>
    <t>Kanalizace obn. celkem</t>
  </si>
  <si>
    <t>Inž.sítě  celkem</t>
  </si>
  <si>
    <t>cyklostezka - koupaliště - stavba</t>
  </si>
  <si>
    <t>Městská policie</t>
  </si>
  <si>
    <t>Hřbitov Celkem</t>
  </si>
  <si>
    <t>Silnice Celkem</t>
  </si>
  <si>
    <t>navrtávky</t>
  </si>
  <si>
    <t>Odstupné</t>
  </si>
  <si>
    <t>Rezervní fond</t>
  </si>
  <si>
    <t>Výnosy z úroků</t>
  </si>
  <si>
    <t>Ostatní výnosy</t>
  </si>
  <si>
    <t>Vodovod a kanalizace</t>
  </si>
  <si>
    <t>Příspěvek na investice</t>
  </si>
  <si>
    <t>řešení nádvoří čp. 897, lomu a propojení s čp. 95 - studie</t>
  </si>
  <si>
    <t>studie - tělocvična</t>
  </si>
  <si>
    <t>parkoviště a točna autobusů (terminál)</t>
  </si>
  <si>
    <t>parkoviště u nádraží</t>
  </si>
  <si>
    <t>chodník Na Spojce</t>
  </si>
  <si>
    <t>Jid.ZŠ</t>
  </si>
  <si>
    <t>Park Úvaly vinice</t>
  </si>
  <si>
    <t>3749/1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</si>
  <si>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</si>
  <si>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</si>
  <si>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</si>
  <si>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</si>
  <si>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</si>
  <si>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</si>
  <si>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</si>
  <si>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</si>
  <si>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</si>
  <si>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</si>
  <si>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</si>
  <si>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</si>
  <si>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</si>
  <si>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</si>
  <si>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</si>
  <si>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</si>
  <si>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</si>
  <si>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</si>
  <si>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</si>
  <si>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</si>
  <si>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</si>
  <si>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</si>
  <si>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</si>
  <si>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</si>
  <si>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</si>
  <si>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</si>
  <si>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</si>
  <si>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</si>
  <si>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</si>
  <si>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</si>
  <si>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park Úvaly Vinice(Amfiteatr )</t>
  </si>
  <si>
    <t>Koupaliště</t>
  </si>
  <si>
    <t>rekonstrukce</t>
  </si>
  <si>
    <t>Investiční příspěvek</t>
  </si>
  <si>
    <t>3749/2</t>
  </si>
  <si>
    <t>Rybníky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</si>
  <si>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</si>
  <si>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</si>
  <si>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</si>
  <si>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</si>
  <si>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</si>
  <si>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</si>
  <si>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</si>
  <si>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</si>
  <si>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</si>
  <si>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</si>
  <si>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</si>
  <si>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</si>
  <si>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</si>
  <si>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</si>
  <si>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</si>
  <si>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</si>
  <si>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</si>
  <si>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</si>
  <si>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</si>
  <si>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</si>
  <si>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</si>
  <si>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</si>
  <si>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</si>
  <si>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</si>
  <si>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</si>
  <si>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</si>
  <si>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</si>
  <si>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</si>
  <si>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</si>
  <si>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</si>
  <si>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</si>
  <si>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</si>
  <si>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</si>
  <si>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</si>
  <si>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</si>
  <si>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</si>
  <si>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</si>
  <si>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</si>
  <si>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</si>
  <si>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</si>
  <si>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</si>
  <si>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</si>
  <si>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</si>
  <si>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</si>
  <si>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</si>
  <si>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</si>
  <si>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chlornan sodný</t>
  </si>
  <si>
    <t>vodoměry</t>
  </si>
  <si>
    <t>nákup soli, štěrku, betonu a malty</t>
  </si>
  <si>
    <t>FKSP</t>
  </si>
  <si>
    <t>rok</t>
  </si>
  <si>
    <t>51-9x</t>
  </si>
  <si>
    <t xml:space="preserve">Neinvestiční přijaté dotace od obcí </t>
  </si>
  <si>
    <t>Neinvestiční přijaté dotace od obcí (MP)</t>
  </si>
  <si>
    <t>Veřejnoprávní smlouvy - MP</t>
  </si>
  <si>
    <t>oprava a údržba komunikací</t>
  </si>
  <si>
    <t>VPS</t>
  </si>
  <si>
    <t>svozové auto</t>
  </si>
  <si>
    <t>ostatní služby</t>
  </si>
  <si>
    <t>Dotace MŠ Cukrovar</t>
  </si>
  <si>
    <t>pojistná náhrada</t>
  </si>
  <si>
    <t>cvičák-psy</t>
  </si>
  <si>
    <t>rok 2014</t>
  </si>
  <si>
    <t>Přijaté transfery_Dotace</t>
  </si>
  <si>
    <t>Správa</t>
  </si>
  <si>
    <t>Poskytnuté nahrady</t>
  </si>
  <si>
    <t>Daňové příjmy-RUD</t>
  </si>
  <si>
    <t xml:space="preserve">Osobní náklady </t>
  </si>
  <si>
    <t xml:space="preserve">Celkem  výdaje </t>
  </si>
  <si>
    <t>Rok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</si>
  <si>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</si>
  <si>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</si>
  <si>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</si>
  <si>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</si>
  <si>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</si>
  <si>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</si>
  <si>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obnova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</si>
  <si>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</si>
  <si>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</si>
  <si>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</si>
  <si>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</si>
  <si>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</si>
  <si>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</si>
  <si>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</si>
  <si>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</si>
  <si>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</si>
  <si>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</si>
  <si>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</si>
  <si>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</si>
  <si>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</si>
  <si>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</si>
  <si>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</si>
  <si>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</si>
  <si>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</si>
  <si>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</si>
  <si>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</si>
  <si>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</si>
  <si>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</si>
  <si>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Město Úvaly + Stč. Kraj</t>
  </si>
  <si>
    <t>ANO</t>
  </si>
  <si>
    <t>ano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</si>
  <si>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</si>
  <si>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</si>
  <si>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</si>
  <si>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</si>
  <si>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</si>
  <si>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</si>
  <si>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</si>
  <si>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</si>
  <si>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</si>
  <si>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</si>
  <si>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</si>
  <si>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</si>
  <si>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</si>
  <si>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</si>
  <si>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</si>
  <si>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</si>
  <si>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</si>
  <si>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</si>
  <si>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</si>
  <si>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Kollárova</t>
  </si>
  <si>
    <t>ČÁST</t>
  </si>
  <si>
    <t>Hydroprojekt</t>
  </si>
  <si>
    <t>zažádáno</t>
  </si>
  <si>
    <t>Tigridova</t>
  </si>
  <si>
    <t>není</t>
  </si>
  <si>
    <t>Janáčkova</t>
  </si>
  <si>
    <t>K Hájovně</t>
  </si>
  <si>
    <t>?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</si>
  <si>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</si>
  <si>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</si>
  <si>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</si>
  <si>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</si>
  <si>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</si>
  <si>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</si>
  <si>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</si>
  <si>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</si>
  <si>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</si>
  <si>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</si>
  <si>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</si>
  <si>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</si>
  <si>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</si>
  <si>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</si>
  <si>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</si>
  <si>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</si>
  <si>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</si>
  <si>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</si>
  <si>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</si>
  <si>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</si>
  <si>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</si>
  <si>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</si>
  <si>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</si>
  <si>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</si>
  <si>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</si>
  <si>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</si>
  <si>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Rozšíření školní jídelny</t>
  </si>
  <si>
    <t>Zateplení ZŠ Úvaly budova B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</si>
  <si>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</si>
  <si>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</si>
  <si>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</si>
  <si>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</si>
  <si>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</si>
  <si>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</si>
  <si>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</si>
  <si>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</si>
  <si>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</si>
  <si>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</si>
  <si>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</si>
  <si>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</si>
  <si>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</si>
  <si>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</si>
  <si>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</si>
  <si>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</si>
  <si>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</si>
  <si>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</si>
  <si>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</si>
  <si>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</si>
  <si>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</si>
  <si>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</si>
  <si>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</si>
  <si>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</si>
  <si>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</si>
  <si>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</si>
  <si>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</si>
  <si>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</si>
  <si>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Běžné příjmy celkem</t>
  </si>
  <si>
    <t>Běžné výdaje před úrok</t>
  </si>
  <si>
    <t>Provozní přebytek/Deficit před úroky</t>
  </si>
  <si>
    <t>Provozní přebytek/Deficit po úrocích</t>
  </si>
  <si>
    <t>Přijaté kapitalové dotace</t>
  </si>
  <si>
    <t>Kapitalové výdaje</t>
  </si>
  <si>
    <t>Rozpočtový přebytek/Deficit</t>
  </si>
  <si>
    <t>Čerpání úvěru</t>
  </si>
  <si>
    <t>Změna stavu rozpočtových účtů</t>
  </si>
  <si>
    <t>Finacování celkem</t>
  </si>
  <si>
    <t>Běžný rozpočet</t>
  </si>
  <si>
    <t>Kapitalový rozpočet</t>
  </si>
  <si>
    <t>Peněžní tok</t>
  </si>
  <si>
    <t>Průběžně musí být aktualizován</t>
  </si>
  <si>
    <t>pečovatelská služba - klienti</t>
  </si>
  <si>
    <t>Odměny zastupitelů</t>
  </si>
  <si>
    <t>3111/306</t>
  </si>
  <si>
    <t>studie parku poliklinika</t>
  </si>
  <si>
    <t>Příspěvky do infrastruktury města dle plánovacích smluv</t>
  </si>
  <si>
    <t>Daň z  příjmu fyzických osob ze kap.výnosů</t>
  </si>
  <si>
    <t>odvod z VHP</t>
  </si>
  <si>
    <t>Pokuta PK, ŽP</t>
  </si>
  <si>
    <t>Pokuty MP</t>
  </si>
  <si>
    <t>cvičák-psi</t>
  </si>
  <si>
    <t>AÚ</t>
  </si>
  <si>
    <t>Sběrný dvůr</t>
  </si>
  <si>
    <t>UNC</t>
  </si>
  <si>
    <t>Avie</t>
  </si>
  <si>
    <t>nájemné Policie ČR</t>
  </si>
  <si>
    <t>monitorovací zprávy</t>
  </si>
  <si>
    <t>č.p 105</t>
  </si>
  <si>
    <t>čp. 75</t>
  </si>
  <si>
    <t>č.p. 181</t>
  </si>
  <si>
    <t>č.p. 1095 a 1096</t>
  </si>
  <si>
    <t>Kap.</t>
  </si>
  <si>
    <t>Č.P 65</t>
  </si>
  <si>
    <t xml:space="preserve"> MŠ Koll</t>
  </si>
  <si>
    <t>MŠ Cukr</t>
  </si>
  <si>
    <t>chodník podíl II/101</t>
  </si>
  <si>
    <t>autobusové zastávky</t>
  </si>
  <si>
    <t xml:space="preserve">rekonstrukce komunikace Kollárova </t>
  </si>
  <si>
    <t>křižovatka u Billy</t>
  </si>
  <si>
    <t>chodník ulice Dobročovická a I/12</t>
  </si>
  <si>
    <t>rekonstrukce komunikace Škvorecká</t>
  </si>
  <si>
    <t>Dostavba SK - II. etapa Zálesí/Hájovna, Nad Okrájkem, Horova</t>
  </si>
  <si>
    <t>Park Vinice</t>
  </si>
  <si>
    <t>monitorovací zpráva, administrace dotace - rozšíření ZŠ</t>
  </si>
  <si>
    <t>Zpracování PD MŠ Koll.</t>
  </si>
  <si>
    <t>úvěr</t>
  </si>
  <si>
    <t>práce VaK</t>
  </si>
  <si>
    <t>traktůrek</t>
  </si>
  <si>
    <t>mulčovací rameno</t>
  </si>
  <si>
    <t>kancelářské spotřeby</t>
  </si>
  <si>
    <t>koupaliště</t>
  </si>
  <si>
    <t>Vš.pokladna</t>
  </si>
  <si>
    <t>Zastupitelé</t>
  </si>
  <si>
    <t>Kronika</t>
  </si>
  <si>
    <t>Kultura</t>
  </si>
  <si>
    <t>3722/1</t>
  </si>
  <si>
    <t>Čer.skl.</t>
  </si>
  <si>
    <t>Sběrný.dvůr</t>
  </si>
  <si>
    <t xml:space="preserve">Výdaje na nákup služeb celkem </t>
  </si>
  <si>
    <t>akce Bezpečná sobota</t>
  </si>
  <si>
    <t>vazba, digitalizace dokumentů</t>
  </si>
  <si>
    <t>zpracování kronikářských zápisů</t>
  </si>
  <si>
    <t>tisk ŽÚ</t>
  </si>
  <si>
    <t>mimořádné posudky, či odhady</t>
  </si>
  <si>
    <t>revize</t>
  </si>
  <si>
    <t>OSM</t>
  </si>
  <si>
    <t>nebytové - pronájem č.p. 203</t>
  </si>
  <si>
    <t>nebytové služby č.p. 203</t>
  </si>
  <si>
    <t>stavba - I.etapa  rekonstrukce komunikace</t>
  </si>
  <si>
    <t>stavba - II. Etapa rekonstrukce komunikace</t>
  </si>
  <si>
    <t>jarní a podzimní kolečko</t>
  </si>
  <si>
    <t>Příspěvek zřizovatele na specifické činnosti</t>
  </si>
  <si>
    <t>Materiál na správu objektů města</t>
  </si>
  <si>
    <t>OŽPÚR</t>
  </si>
  <si>
    <t>výdaje města</t>
  </si>
  <si>
    <t>Koupaliště , hřiště a zahrada celkem</t>
  </si>
  <si>
    <t>Zpracoval: Petr Borecký, 3.3.2016, 22:55</t>
  </si>
  <si>
    <t>Autobusový terminál u nádraží + PR</t>
  </si>
  <si>
    <t>-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</si>
  <si>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</si>
  <si>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</si>
  <si>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</si>
  <si>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</si>
  <si>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</si>
  <si>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</si>
  <si>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</si>
  <si>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</si>
  <si>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Šrámkova</t>
  </si>
  <si>
    <t>Poděbradova</t>
  </si>
  <si>
    <t>Roháčova</t>
  </si>
  <si>
    <t>Diamantová + Dr. Strusky</t>
  </si>
  <si>
    <t>Město Úvaly + Horoušany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</si>
  <si>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</si>
  <si>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</si>
  <si>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</si>
  <si>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</si>
  <si>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</si>
  <si>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</si>
  <si>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</si>
  <si>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</si>
  <si>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</si>
  <si>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</si>
  <si>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</si>
  <si>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</si>
  <si>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</si>
  <si>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</si>
  <si>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</si>
  <si>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</si>
  <si>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</si>
  <si>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</si>
  <si>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276</t>
  </si>
  <si>
    <t>Projekty navržené k zařazení do III. etapy</t>
  </si>
  <si>
    <t>Zpracoval: Ing. Alexis Kimbembe</t>
  </si>
  <si>
    <t>5171 - Opravy a udržování celkem</t>
  </si>
  <si>
    <t xml:space="preserve"> WC - společná záchod včetně kan. přípojky</t>
  </si>
  <si>
    <t>rekonstrukce Úvalák včetně SK</t>
  </si>
  <si>
    <t>hřbitov</t>
  </si>
  <si>
    <t>Komentář</t>
  </si>
  <si>
    <t>dopravní značení</t>
  </si>
  <si>
    <t>postřiky na zeleň</t>
  </si>
  <si>
    <t>nákup květin</t>
  </si>
  <si>
    <t>nákup stromů</t>
  </si>
  <si>
    <t>přijaté pojistné náhrady</t>
  </si>
  <si>
    <t>2016_skut.1-10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</si>
  <si>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</si>
  <si>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</si>
  <si>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</si>
  <si>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</si>
  <si>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</si>
  <si>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</si>
  <si>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</si>
  <si>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</si>
  <si>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</si>
  <si>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</si>
  <si>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</si>
  <si>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</si>
  <si>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</si>
  <si>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</si>
  <si>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</si>
  <si>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</si>
  <si>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</si>
  <si>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</si>
  <si>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</si>
  <si>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</si>
  <si>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</si>
  <si>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</si>
  <si>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</si>
  <si>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</si>
  <si>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</si>
  <si>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>Úvěry</t>
  </si>
  <si>
    <t>Svoz odpadů</t>
  </si>
  <si>
    <t>ostatní</t>
  </si>
  <si>
    <t>Celkem výdaje kapitol</t>
  </si>
  <si>
    <t xml:space="preserve"> </t>
  </si>
  <si>
    <t>Odpad</t>
  </si>
  <si>
    <t>cyklostezky, Úvaly</t>
  </si>
  <si>
    <t>cyklostezka II/101</t>
  </si>
  <si>
    <t>Lávka u devíti oblouků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</si>
  <si>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</si>
  <si>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</si>
  <si>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</si>
  <si>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</si>
  <si>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</si>
  <si>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</si>
  <si>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</si>
  <si>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</si>
  <si>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</si>
  <si>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</si>
  <si>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</si>
  <si>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</si>
  <si>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</si>
  <si>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</si>
  <si>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</si>
  <si>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</si>
  <si>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</si>
  <si>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</si>
  <si>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</si>
  <si>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</si>
  <si>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</si>
  <si>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</si>
  <si>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</si>
  <si>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</si>
  <si>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</si>
  <si>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</si>
  <si>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</si>
  <si>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</si>
  <si>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</si>
  <si>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</si>
  <si>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</si>
  <si>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</si>
  <si>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</si>
  <si>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</si>
  <si>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</si>
  <si>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</si>
  <si>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</si>
  <si>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Projekty</t>
  </si>
  <si>
    <t>Stavba</t>
  </si>
  <si>
    <t>zateplení čp95- monitorovací zpráva</t>
  </si>
  <si>
    <t>zateplení multitec-monitorovací zpráva</t>
  </si>
  <si>
    <t>3141-310</t>
  </si>
  <si>
    <t>3111/307</t>
  </si>
  <si>
    <t>PD - II.etapa</t>
  </si>
  <si>
    <t>cyklostezka - koupaliště PD</t>
  </si>
  <si>
    <t>PD-Pod Slovany</t>
  </si>
  <si>
    <t>Projektová dokumentace-Ing. Štefl</t>
  </si>
  <si>
    <t>TSÚ Celkem</t>
  </si>
  <si>
    <t>Byty Celkem</t>
  </si>
  <si>
    <t>Nebyty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</si>
  <si>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</si>
  <si>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</si>
  <si>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</si>
  <si>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</si>
  <si>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</si>
  <si>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</si>
  <si>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</si>
  <si>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</si>
  <si>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</si>
  <si>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</si>
  <si>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</si>
  <si>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</si>
  <si>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</si>
  <si>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</si>
  <si>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</si>
  <si>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</si>
  <si>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měsícně</t>
  </si>
  <si>
    <t>Dokončení dne</t>
  </si>
  <si>
    <t>Zhotovitel</t>
  </si>
  <si>
    <t>Od</t>
  </si>
  <si>
    <t>Do</t>
  </si>
  <si>
    <t>Pontex+poplatek PD</t>
  </si>
  <si>
    <t>chodník podíl II/101 - PD</t>
  </si>
  <si>
    <t>autobusové zastávky-PD</t>
  </si>
  <si>
    <t>parkoviště a točna autobusů (terminál)-PD</t>
  </si>
  <si>
    <t>chodník Na Spojce - PD</t>
  </si>
  <si>
    <t>rekonstrukce komunikace Kollárova - PD</t>
  </si>
  <si>
    <t>křižovatka u Billy - PD</t>
  </si>
  <si>
    <t>chodník ulice Dobročovická a I/12-PD</t>
  </si>
  <si>
    <t>propojení v Radlické čtvrti</t>
  </si>
  <si>
    <t>propojení v Radlické čtvrti- PD</t>
  </si>
  <si>
    <t>Vodovod celkem</t>
  </si>
  <si>
    <t>Dostavba SK - II. etapa Zálesí/Hájovna, Nad Okrájkem, Horova- PD</t>
  </si>
  <si>
    <t>PD-Pod Slovany - PD</t>
  </si>
  <si>
    <t>monitorovcí zpráva - Hrad Skara a Stonehenge</t>
  </si>
  <si>
    <t>Vseob.pokladna</t>
  </si>
  <si>
    <t>Hasiči celkem</t>
  </si>
  <si>
    <t>Vseob.pokladna celkem</t>
  </si>
  <si>
    <t>Popis projektů</t>
  </si>
  <si>
    <t>Městská stezka</t>
  </si>
  <si>
    <t>3749/3</t>
  </si>
  <si>
    <t>Park Úvaly Vinice(Amfiteatr )</t>
  </si>
  <si>
    <t>Úprava PD Park Úvaly od HG Partner</t>
  </si>
  <si>
    <t>GP - Horova</t>
  </si>
  <si>
    <t>3111-307</t>
  </si>
  <si>
    <t>Dluhová služba</t>
  </si>
  <si>
    <t>Dluhová základna</t>
  </si>
  <si>
    <t>Ukazatel dluhové služby</t>
  </si>
  <si>
    <t>Dluhová služby</t>
  </si>
  <si>
    <t>třída 1</t>
  </si>
  <si>
    <t>třída 2</t>
  </si>
  <si>
    <t>třída 4</t>
  </si>
  <si>
    <t>Ukazatel dluhové služby ( dluhové služby / dluhová základna)</t>
  </si>
  <si>
    <t>RVG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</si>
  <si>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</si>
  <si>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</si>
  <si>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</si>
  <si>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</si>
  <si>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</si>
  <si>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</si>
  <si>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</si>
  <si>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</si>
  <si>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</si>
  <si>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</si>
  <si>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</si>
  <si>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</si>
  <si>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</si>
  <si>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</si>
  <si>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</si>
  <si>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Poplátek úvěr</t>
  </si>
  <si>
    <t>Úřad práce UZ13101</t>
  </si>
  <si>
    <t>navýšení</t>
  </si>
  <si>
    <t>Přesuny</t>
  </si>
  <si>
    <t>Poplatek úvěr</t>
  </si>
  <si>
    <t>DSCR-ukazatel</t>
  </si>
  <si>
    <t>dluhová služby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</si>
  <si>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</si>
  <si>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</si>
  <si>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</si>
  <si>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</si>
  <si>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</si>
  <si>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</si>
  <si>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Koupal. + Hřišť</t>
  </si>
  <si>
    <t>1-8/2017</t>
  </si>
  <si>
    <t>PD - rekonstrukce,vstupní portál, zeď, hygienické zázemí</t>
  </si>
  <si>
    <t>PD - č.p 105</t>
  </si>
  <si>
    <t>PD - čp. 75</t>
  </si>
  <si>
    <t>PD - č.p. 1095 a 1096</t>
  </si>
  <si>
    <t>PD - č.p. 181</t>
  </si>
  <si>
    <t xml:space="preserve">Rezerva na ztrátu hlásičů  </t>
  </si>
  <si>
    <t>parkoviště u nádraží PD</t>
  </si>
  <si>
    <t>chodník Diamantová - Horoušánky PD</t>
  </si>
  <si>
    <t xml:space="preserve">chodník Diamantová - Horoušánky </t>
  </si>
  <si>
    <t>Peč.služby</t>
  </si>
  <si>
    <t>auto</t>
  </si>
  <si>
    <t>Dotace ZŠ Úvaly - TESKO</t>
  </si>
  <si>
    <t>Kanalizace  celkem</t>
  </si>
  <si>
    <t>Dotace  Nachlingerův park</t>
  </si>
  <si>
    <t>y</t>
  </si>
  <si>
    <t>Výhled 2022</t>
  </si>
  <si>
    <t>Výhled 2023</t>
  </si>
  <si>
    <t xml:space="preserve">Hospodářský výsledek </t>
  </si>
  <si>
    <t>svoz odpadů</t>
  </si>
  <si>
    <t>příjmy ze separace odpadů</t>
  </si>
  <si>
    <t>obnova VaK - fakturace městu</t>
  </si>
  <si>
    <t>Počet zaměstnanců města Úvaly 2006 - 2018 (mimo příspěvkové organizace města - ZŠ, MŠ, MDDM, TS)</t>
  </si>
  <si>
    <t>2018 výhled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</si>
  <si>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</si>
  <si>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</si>
  <si>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</si>
  <si>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</si>
  <si>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</si>
  <si>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</si>
  <si>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</si>
  <si>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r>
      <rPr>
        <b/>
        <sz val="11"/>
        <color indexed="8"/>
        <rFont val="Calibri"/>
        <family val="2"/>
        <charset val="238"/>
      </rPr>
      <t xml:space="preserve">Městská policie  </t>
    </r>
    <r>
      <rPr>
        <sz val="10"/>
        <rFont val="Arial"/>
        <family val="2"/>
        <charset val="238"/>
      </rPr>
      <t>postupný nárůst pracovníků od roku 2014 - vznik MP, v roce 2017 navýšení o 1 strážníka</t>
    </r>
  </si>
  <si>
    <t>Dotace Výzva č.28 IT</t>
  </si>
  <si>
    <t>Plán</t>
  </si>
  <si>
    <t>Skut.</t>
  </si>
  <si>
    <t>Platba rok 2019 dle smlouvy</t>
  </si>
  <si>
    <t>I.KV 2018</t>
  </si>
  <si>
    <t>Příjmy z prodeje nemovitostí</t>
  </si>
  <si>
    <t>Převáděč</t>
  </si>
  <si>
    <t>zpět z město</t>
  </si>
  <si>
    <t>přededefin.</t>
  </si>
  <si>
    <t>RO Č.3                    rok 2018</t>
  </si>
  <si>
    <t>Klimatizace a vzduchotechnika pro objekt MDDM</t>
  </si>
  <si>
    <t>Klimatizace a vzduchotechnika pro objekt MDDM-PD</t>
  </si>
  <si>
    <t>řešení nádvoří čp. 897, lomu a propojení s čp. 95 - studie - PD</t>
  </si>
  <si>
    <t>Přechod ulice Bulharská</t>
  </si>
  <si>
    <t>MŠ Koll.</t>
  </si>
  <si>
    <t>U Horoušánek, Pod Slovany</t>
  </si>
  <si>
    <t>U Horoušánek, Pod Slovany - PD</t>
  </si>
  <si>
    <t>Sběrný dvůr -PD</t>
  </si>
  <si>
    <t>dotace</t>
  </si>
  <si>
    <t>archeologický průzkum sběrný dvůr</t>
  </si>
  <si>
    <t>projektová dokumentace sběrný dvůr</t>
  </si>
  <si>
    <t>Peč.sl.</t>
  </si>
  <si>
    <t>Kontrola</t>
  </si>
  <si>
    <t>RUD</t>
  </si>
  <si>
    <t>Hospodářský výsledek za rok  2019</t>
  </si>
  <si>
    <t>5137_DHIM</t>
  </si>
  <si>
    <t>5169_nákup služeb</t>
  </si>
  <si>
    <t>5139_Materiál</t>
  </si>
  <si>
    <t>5164_Nájemné</t>
  </si>
  <si>
    <t>MŠ Pražská</t>
  </si>
  <si>
    <t>3111/308</t>
  </si>
  <si>
    <t>Správce - tenis</t>
  </si>
  <si>
    <t>Správce - junák</t>
  </si>
  <si>
    <t>Koncepce rozvoje sportu</t>
  </si>
  <si>
    <t>Rekonstrukce čp. 95 -PD dvůr</t>
  </si>
  <si>
    <t>Rekonstrukce čp. 95 - dvůr</t>
  </si>
  <si>
    <t>Rekonstrukce čp. 276 - změna užívání na ZUŠ</t>
  </si>
  <si>
    <t>Rekonstrukce čp. 276 - změna užívání na ZUŠ-PD</t>
  </si>
  <si>
    <t>Klimatizace čp. 897</t>
  </si>
  <si>
    <t>Klimatizace čp. 897-PD</t>
  </si>
  <si>
    <t>IROP - fyzika, chemie, zeleň</t>
  </si>
  <si>
    <t>VZT-PD</t>
  </si>
  <si>
    <t>BUS zastávka I/12</t>
  </si>
  <si>
    <t>BUS zastávka I/12-PD</t>
  </si>
  <si>
    <t>kamerový systém</t>
  </si>
  <si>
    <t>Hálkova, cesta ke kostelu, lávka u 9-ti kanálů</t>
  </si>
  <si>
    <t>zajištění dodavatelských služeb</t>
  </si>
  <si>
    <t>Dotace SFDI  - kamerový systém</t>
  </si>
  <si>
    <t>Dotace SFDI - chodník Diamantová</t>
  </si>
  <si>
    <t>Dotace SFDI - přechod ulice Bulharská</t>
  </si>
  <si>
    <t>Dar - firma SATES</t>
  </si>
  <si>
    <t>Dotace - park Úvaly - Vinice</t>
  </si>
  <si>
    <t>skatepark, workout</t>
  </si>
  <si>
    <t>skatepark, workout - PD</t>
  </si>
  <si>
    <t>Přechod ulice Bulharská - PD</t>
  </si>
  <si>
    <t>rekonstrukce komunikace Škvorecká- PD</t>
  </si>
  <si>
    <t xml:space="preserve">rekonstrukce III/01214 - úsek č. 1 </t>
  </si>
  <si>
    <t>rekonstrukce III/01214 - úsek č. 1 - PD</t>
  </si>
  <si>
    <t>rekonstrukce Úvalák včetně SK-PD</t>
  </si>
  <si>
    <t>Lávka u devíti oblouků-PD</t>
  </si>
  <si>
    <t>Hálkova, cesta ke kostelu, lávka u 9-ti kanálů-PD</t>
  </si>
  <si>
    <t>DOTACE</t>
  </si>
  <si>
    <t>pronájem pozemku parc. č.3869/3(rekonstrukce rybníku Kalák)</t>
  </si>
  <si>
    <t>pozemky parc.č.3460/3,3460/4,3460/5,3460/6,3460/7(koupaliště hřiště)</t>
  </si>
  <si>
    <t>pozemek parc.č. 3928/1 Úvaly Development</t>
  </si>
  <si>
    <t>drobné opravy mimo reklamace</t>
  </si>
  <si>
    <t>nákupní centrum</t>
  </si>
  <si>
    <t>3749/4</t>
  </si>
  <si>
    <t>3749/5</t>
  </si>
  <si>
    <t>ZŠ hřiště</t>
  </si>
  <si>
    <t>Park Satjam</t>
  </si>
  <si>
    <t>Výměnu svítidel-dodační titul efekt</t>
  </si>
  <si>
    <t xml:space="preserve">Revize VO </t>
  </si>
  <si>
    <t>Nákup dalších ozdob</t>
  </si>
  <si>
    <t>Vánoční osvětlení-strom,dekory</t>
  </si>
  <si>
    <t>ČD - zřízení VB - VO</t>
  </si>
  <si>
    <t>Obnova veřejného osvětlení</t>
  </si>
  <si>
    <t>Obnova lamp ul. Hálkova</t>
  </si>
  <si>
    <t>Hlásiče - rozhlas</t>
  </si>
  <si>
    <t>menší opravy zařízení</t>
  </si>
  <si>
    <t>běžné opravy, čištění střechy</t>
  </si>
  <si>
    <t>běžné opravy, údržba, čištění střechy</t>
  </si>
  <si>
    <t>pravidelné nátěry prken,teras</t>
  </si>
  <si>
    <t>drobné opravy, údržba</t>
  </si>
  <si>
    <t>opravy mimo záruky</t>
  </si>
  <si>
    <t xml:space="preserve">MŠ Cukrovar </t>
  </si>
  <si>
    <t>Zásobník projektů města Úvaly 2019 - 2022</t>
  </si>
  <si>
    <t>Indikativní zásobník projektů města Úvaly 2019 -2022</t>
  </si>
  <si>
    <t>Stravenky</t>
  </si>
  <si>
    <t>3749-4</t>
  </si>
  <si>
    <t>3749-5</t>
  </si>
  <si>
    <t>ZŠ HŘÍŠTĚ</t>
  </si>
  <si>
    <t>Střednědobý rozpočtový výhled na rok 2019-2024</t>
  </si>
  <si>
    <t>Výhled 2024</t>
  </si>
  <si>
    <t>Celkový dluh města</t>
  </si>
  <si>
    <t>Developeři</t>
  </si>
  <si>
    <t>OPŽP -MZ</t>
  </si>
  <si>
    <t>Dotace - Kraj</t>
  </si>
  <si>
    <t>SFŽP</t>
  </si>
  <si>
    <t>Krajský úřad</t>
  </si>
  <si>
    <t>IROP MMR</t>
  </si>
  <si>
    <t>SFDI</t>
  </si>
  <si>
    <t>1.úvěr</t>
  </si>
  <si>
    <t>Čerpání  revolvingového úvěru      2.úvěr</t>
  </si>
  <si>
    <t xml:space="preserve">Výdaje na DHIM celkem </t>
  </si>
  <si>
    <t xml:space="preserve">Výdaje na materiály celkem </t>
  </si>
  <si>
    <t xml:space="preserve">Výdaje na nájemné celkem </t>
  </si>
  <si>
    <t>Dotace - park SATJAM</t>
  </si>
  <si>
    <t>Dotace -Sběrný dvůr</t>
  </si>
  <si>
    <t>Odchodné zastupitelé</t>
  </si>
  <si>
    <t>Mzdové náklady celkem</t>
  </si>
  <si>
    <t>Převody do sociálního fondu</t>
  </si>
  <si>
    <t>Poplatky z úvěru</t>
  </si>
  <si>
    <t>Rezervy na projekty 2019</t>
  </si>
  <si>
    <t>Splátky jistiny(úvěru)</t>
  </si>
  <si>
    <t>Zůstatek k 31.12.2019</t>
  </si>
  <si>
    <t>Přehled  příjmů jednotlivých kapitol a položek</t>
  </si>
  <si>
    <t>daň z hazardních her</t>
  </si>
  <si>
    <t>nebytové - služby č.p. 203</t>
  </si>
  <si>
    <t>hasiči - služby-byt</t>
  </si>
  <si>
    <t>hasiči - nájem-byt</t>
  </si>
  <si>
    <t>příjmy  z úroků</t>
  </si>
  <si>
    <t>pokuty SÚ</t>
  </si>
  <si>
    <t>věcná břemena(ČEZ, Pod Slovany atd.)</t>
  </si>
  <si>
    <t>Převody do soc. fondu</t>
  </si>
  <si>
    <t>Zastupitel-stva obcí</t>
  </si>
  <si>
    <t>Provoz veřejné silniční dopravy</t>
  </si>
  <si>
    <t>Pitná voda</t>
  </si>
  <si>
    <t>Pitná voda - obn.</t>
  </si>
  <si>
    <t>Odvádění a čištění odpadních vod</t>
  </si>
  <si>
    <t>Odvádění - obn.</t>
  </si>
  <si>
    <t>Inž.sítě-výstavba a obnova</t>
  </si>
  <si>
    <t>Správa v lesním hosp.</t>
  </si>
  <si>
    <t>Sběr a svoz</t>
  </si>
  <si>
    <t>Ostatní nakladání s odpady</t>
  </si>
  <si>
    <t>Ochrana proti povodním</t>
  </si>
  <si>
    <t>Ochrana přírody</t>
  </si>
  <si>
    <t>Sinice Dar</t>
  </si>
  <si>
    <t>RO Č.3               rok 2018</t>
  </si>
  <si>
    <t>50.týden</t>
  </si>
  <si>
    <t>51.týden</t>
  </si>
  <si>
    <t>52.týden</t>
  </si>
  <si>
    <t>5.týden</t>
  </si>
  <si>
    <t>6.týden</t>
  </si>
  <si>
    <t>7.týden</t>
  </si>
  <si>
    <t>8.týden</t>
  </si>
  <si>
    <t>9.týden</t>
  </si>
  <si>
    <t>10.týden</t>
  </si>
  <si>
    <t>11.týden</t>
  </si>
  <si>
    <t>12.týden</t>
  </si>
  <si>
    <t>13.týden</t>
  </si>
  <si>
    <t>14.týden</t>
  </si>
  <si>
    <t>15.týden</t>
  </si>
  <si>
    <t>16.týden</t>
  </si>
  <si>
    <t>17.týden</t>
  </si>
  <si>
    <t>18.týden</t>
  </si>
  <si>
    <t>19.týden</t>
  </si>
  <si>
    <t>20.týden</t>
  </si>
  <si>
    <t>21.týden</t>
  </si>
  <si>
    <t>22.týden</t>
  </si>
  <si>
    <t>23.týden</t>
  </si>
  <si>
    <t>24.týden</t>
  </si>
  <si>
    <t>25.týden</t>
  </si>
  <si>
    <t>26.týden</t>
  </si>
  <si>
    <t>27.týden</t>
  </si>
  <si>
    <t>28.týden</t>
  </si>
  <si>
    <t>29.týden</t>
  </si>
  <si>
    <t>30.týden</t>
  </si>
  <si>
    <t>31.týden</t>
  </si>
  <si>
    <t>32.týden</t>
  </si>
  <si>
    <t>33.týden</t>
  </si>
  <si>
    <t>34.týden</t>
  </si>
  <si>
    <t>35.týden</t>
  </si>
  <si>
    <t>36.týden</t>
  </si>
  <si>
    <t>37.týden</t>
  </si>
  <si>
    <t>38.týden</t>
  </si>
  <si>
    <t>39.týden</t>
  </si>
  <si>
    <t>40.týden</t>
  </si>
  <si>
    <t>41.týden</t>
  </si>
  <si>
    <t>42.týden</t>
  </si>
  <si>
    <t>43.týden</t>
  </si>
  <si>
    <t>44.týden</t>
  </si>
  <si>
    <t>45.týden</t>
  </si>
  <si>
    <t>46.týden</t>
  </si>
  <si>
    <t>47.týden</t>
  </si>
  <si>
    <t>48.týden</t>
  </si>
  <si>
    <t>49.týden</t>
  </si>
  <si>
    <t>Daňové příjmy RUD</t>
  </si>
  <si>
    <t>Služby+nákup+opravy</t>
  </si>
  <si>
    <t>MŠ Cukr.</t>
  </si>
  <si>
    <t>Výpočetní techniky</t>
  </si>
  <si>
    <t>Uz.plán</t>
  </si>
  <si>
    <t>Kontokorent</t>
  </si>
  <si>
    <t>dluhová služba/ peněžní  zůstatek+ investiční dotace</t>
  </si>
  <si>
    <t>Krytí krizové situace</t>
  </si>
  <si>
    <t>Dotace MDDM šablony II -zjednodušené vkazování nákladů</t>
  </si>
  <si>
    <t>Demolice ČOV Houroušánky</t>
  </si>
  <si>
    <t>fobalisti lesy</t>
  </si>
  <si>
    <t>hřiště, parková zahrada, hrad Skara - revize hřišť, WC servis, odzimovaní fontany</t>
  </si>
  <si>
    <t>Správce - fotbal</t>
  </si>
  <si>
    <t>chodník ul. Bratří Čapků</t>
  </si>
  <si>
    <t>Oprava chodníků Pařezina - Guth Jarkovského v ramci ČEZ akce</t>
  </si>
  <si>
    <t xml:space="preserve">Oprava mostů - dle závad zjištěných z prohlídek </t>
  </si>
  <si>
    <t>údržba hřišť, doplňování písku, kačírku, opravy, nátěry</t>
  </si>
  <si>
    <t>únik vody v ZŠ družina, nová přípojka</t>
  </si>
  <si>
    <t>Silnice - 5.května</t>
  </si>
  <si>
    <t>Rozpočet</t>
  </si>
  <si>
    <t>Zůstatek jistiny - úvěr z roku 2019</t>
  </si>
  <si>
    <t>Úvěr 2019</t>
  </si>
  <si>
    <t>3.úvěr</t>
  </si>
  <si>
    <t xml:space="preserve">Silnice </t>
  </si>
  <si>
    <t>městský mobiliář</t>
  </si>
  <si>
    <t xml:space="preserve">obnova </t>
  </si>
  <si>
    <t>byty</t>
  </si>
  <si>
    <t>č.p.65</t>
  </si>
  <si>
    <t>Pošembeři</t>
  </si>
  <si>
    <t>Cyklostezka</t>
  </si>
  <si>
    <t>úrok z úvěru 30 000 000,-Kč  roku 2019</t>
  </si>
  <si>
    <t>jistina z úvěru 30 000 000,-Kč roku 2019</t>
  </si>
  <si>
    <t>Datoace IT z národního fondu-šablony</t>
  </si>
  <si>
    <t>MŠ Kollárova</t>
  </si>
  <si>
    <t>Jídelna ZŠ</t>
  </si>
  <si>
    <t>3141/308</t>
  </si>
  <si>
    <t>Jídelna MŠ III.</t>
  </si>
  <si>
    <t>MŠ Cukrovar</t>
  </si>
  <si>
    <t>sběrný dvůr</t>
  </si>
  <si>
    <t>Investiční příspěvek TSÚ</t>
  </si>
  <si>
    <t xml:space="preserve">Hasiči </t>
  </si>
  <si>
    <t xml:space="preserve">Hřbitov </t>
  </si>
  <si>
    <t>komunikace 5.května</t>
  </si>
  <si>
    <t>Celkem dluh města</t>
  </si>
  <si>
    <t>Zůstatek k 31.12.2018</t>
  </si>
  <si>
    <t>Nový úvěr</t>
  </si>
  <si>
    <t>Uhrada sankcí</t>
  </si>
  <si>
    <t>průtah, 5.května - Povodí Labe</t>
  </si>
  <si>
    <t>Most Horova - Úřad pro zastupování státu</t>
  </si>
  <si>
    <t>průtah, III/01214 - Povodí Labe</t>
  </si>
  <si>
    <t>pronájem pozemku parc. č. 2153/2 (parkoviště pošta)</t>
  </si>
  <si>
    <t>pronájem pozemku parc. č. 3996/1 (Vinice)</t>
  </si>
  <si>
    <t>pronájem pozemku parc. č. 276/1 (kanalizační sběrač)</t>
  </si>
  <si>
    <t>pronájem pozemku parc. č. 3077/1 (most Horova)</t>
  </si>
  <si>
    <t>pronájem pozemku parc. č. 1891/1 (Jiráskova ulice)</t>
  </si>
  <si>
    <t>pronájem pozemku parc. č. 276/8 parkoviště dráhy</t>
  </si>
  <si>
    <t>Rezerva z daně z nemovitosti</t>
  </si>
  <si>
    <t>PD - Hoffmann</t>
  </si>
  <si>
    <t>Suma</t>
  </si>
  <si>
    <t>Vlastní zdroje a úvěr</t>
  </si>
  <si>
    <t xml:space="preserve">štěrk, kůra, zemina apod. </t>
  </si>
  <si>
    <t>Svazková škola -PD</t>
  </si>
  <si>
    <t>Úvěr</t>
  </si>
  <si>
    <t>Splátky</t>
  </si>
  <si>
    <t>Zůstátek</t>
  </si>
  <si>
    <t>opravy kopírek, tiskáren, aut…</t>
  </si>
  <si>
    <t>pneumatiky</t>
  </si>
  <si>
    <t>auta, masážní vana..</t>
  </si>
  <si>
    <t>podlaha v prádelně</t>
  </si>
  <si>
    <t>vozidla, kancelářská technika, radar</t>
  </si>
  <si>
    <t>instalatérské práce</t>
  </si>
  <si>
    <t>oprava či výměna spotřebičů do bytů-boiler,sporák...</t>
  </si>
  <si>
    <t>Výmalba bytovek-veřej.pr.</t>
  </si>
  <si>
    <t>větší rekonstrukce bytu</t>
  </si>
  <si>
    <t>oprava shnilých oken + nátěr</t>
  </si>
  <si>
    <t>mytí oken</t>
  </si>
  <si>
    <t>Odstranění vlhkosti, oprava narušené hydroizolace - sál, režiem sklad,chodby PP</t>
  </si>
  <si>
    <t>drobné opravy, oprava piána</t>
  </si>
  <si>
    <t>instalatérské práce, materiál k opravě, odstraňování závad - nebytové prostory</t>
  </si>
  <si>
    <t>lakování cisterny</t>
  </si>
  <si>
    <t>drobné opravy, revize</t>
  </si>
  <si>
    <t>údržba, výtahu, kotle</t>
  </si>
  <si>
    <t>výměna podlahové krytiny, modernizace umývacích center</t>
  </si>
  <si>
    <t>oprava dlažby na chodbě, položení koberce na podiu, výměna plovoučky - tan.sál, oprava oken, 300 000 Kč zatím vyřazeno</t>
  </si>
  <si>
    <t>Oprava obkladů WC, oprava dlažby</t>
  </si>
  <si>
    <t>běžné opravy</t>
  </si>
  <si>
    <t>drobné opravy - sociálek, čištění potrubí, výměna dveří na WC</t>
  </si>
  <si>
    <t>odstranění závad dle revizí, větší opravy</t>
  </si>
  <si>
    <t>opravy</t>
  </si>
  <si>
    <t>opravy DK</t>
  </si>
  <si>
    <t>Sanace kanalizace -bezvýk.techn</t>
  </si>
  <si>
    <t>opravy šachet, nákupy poklopů</t>
  </si>
  <si>
    <t>oprava fasády + barva</t>
  </si>
  <si>
    <t>vizitky, parkovné, tisk…</t>
  </si>
  <si>
    <t>inzerce, odchytová služba,  tisk (vizitky, blahopřání, letáky), skartace…..logo</t>
  </si>
  <si>
    <t>GDPR - pověřenec</t>
  </si>
  <si>
    <t>stravenky</t>
  </si>
  <si>
    <t>tiskařské služby, mytí aut..</t>
  </si>
  <si>
    <t>honoráře účinkujícím</t>
  </si>
  <si>
    <t>street art+veřejné prostory</t>
  </si>
  <si>
    <t>akce Advent</t>
  </si>
  <si>
    <t>vyúčtování přeplatků - vratky nájemníkům</t>
  </si>
  <si>
    <t>odečty ISTA, revize plyn, has. Přístroje, komíny, školení obsluhy</t>
  </si>
  <si>
    <t>vratky  nájemcům</t>
  </si>
  <si>
    <t>revize-výtah, has. Přístroje</t>
  </si>
  <si>
    <t>revize plyn, has. Přístroje, komíny, výtah, prohlídky BOZP</t>
  </si>
  <si>
    <t>geometrické plány</t>
  </si>
  <si>
    <t>revize, kontroly-rozhlas, výtah, UPC, komíny</t>
  </si>
  <si>
    <t>dodavatelské služby</t>
  </si>
  <si>
    <t>reinstalace technologie ozvučení</t>
  </si>
  <si>
    <t xml:space="preserve">nákup nových dveří - sociálky, </t>
  </si>
  <si>
    <t>povinné revize, kontroly</t>
  </si>
  <si>
    <t>revize výtah, vzduchotechniky, dodavatelské služby</t>
  </si>
  <si>
    <t>dodavatelské služby, revize</t>
  </si>
  <si>
    <t>revize vzduchotechnika</t>
  </si>
  <si>
    <t>revize komínů, has.přístr.</t>
  </si>
  <si>
    <t>revize kotlů</t>
  </si>
  <si>
    <t>Průzkumy, posudky</t>
  </si>
  <si>
    <t>smlouvy, geometrické plány, zaměření souvísejí s vodovodem</t>
  </si>
  <si>
    <t>poslechovky</t>
  </si>
  <si>
    <t>deratizace SK a DK</t>
  </si>
  <si>
    <t>Těžba, zalesňování, pěstební a výchovné práce</t>
  </si>
  <si>
    <t>Geometrické plány k provedeným stavbám SK, zaměření</t>
  </si>
  <si>
    <t>Čištění vpustí, kamerové prohlídky</t>
  </si>
  <si>
    <t>Sběr a svoz směsného komunálního a kontejnerové nádoby na třídění odpad</t>
  </si>
  <si>
    <t>tříděného odpadu (TSÚ)</t>
  </si>
  <si>
    <t>Jarní a podzimní svoz (kolečko)</t>
  </si>
  <si>
    <t>Rekonstrukce kontejnerových stání</t>
  </si>
  <si>
    <t>Průběžná likvidace černých skládek</t>
  </si>
  <si>
    <t>Údržba hrází a toků</t>
  </si>
  <si>
    <t>zapůjčka SIM + provozování internet.Serveru</t>
  </si>
  <si>
    <t xml:space="preserve">Provoz sběrného dvora </t>
  </si>
  <si>
    <t>praní potahů, generální úklid</t>
  </si>
  <si>
    <t>servis výtah</t>
  </si>
  <si>
    <t>5.května</t>
  </si>
  <si>
    <t>aktualizace: Alexis Kimbembe 25.4.2019</t>
  </si>
  <si>
    <t>Pozemky (ČD)</t>
  </si>
  <si>
    <t>šamalová</t>
  </si>
  <si>
    <t>Příjmy provozní</t>
  </si>
  <si>
    <t>Výdaje provozní</t>
  </si>
  <si>
    <t>Provozní sáldo</t>
  </si>
  <si>
    <t>Splátky úvěru</t>
  </si>
  <si>
    <t>Provozní sáldo po odečtení  úvěru</t>
  </si>
  <si>
    <t>Prostředky na investic</t>
  </si>
  <si>
    <t>Celkové saldo běžného provozu</t>
  </si>
  <si>
    <t>Financovaní celkového sadla</t>
  </si>
  <si>
    <t>zapojení úspor z minulých let</t>
  </si>
  <si>
    <t>zapojení úvěru na investic</t>
  </si>
  <si>
    <t>dlouhová služby</t>
  </si>
  <si>
    <t>ukazatel dluhové služby</t>
  </si>
  <si>
    <t xml:space="preserve">Nákup pozemky </t>
  </si>
  <si>
    <t xml:space="preserve">Rekonstrukce autobusových zastávek (4 ks) </t>
  </si>
  <si>
    <t>Prostředky na investic dotace</t>
  </si>
  <si>
    <t>Pohádková cesta lesem</t>
  </si>
  <si>
    <t>Hasičarny</t>
  </si>
  <si>
    <t>Měsíční dluhy a úroky města Úvaly</t>
  </si>
  <si>
    <t>ke dni</t>
  </si>
  <si>
    <t>účet</t>
  </si>
  <si>
    <t>úrok</t>
  </si>
  <si>
    <t>35-8384</t>
  </si>
  <si>
    <t>57.272.722,-</t>
  </si>
  <si>
    <t>121.438,37</t>
  </si>
  <si>
    <t>105.323.967,-</t>
  </si>
  <si>
    <t>124.434,-</t>
  </si>
  <si>
    <t xml:space="preserve">ČMRZ </t>
  </si>
  <si>
    <t>625.000,-</t>
  </si>
  <si>
    <t>0,-</t>
  </si>
  <si>
    <t xml:space="preserve">CELKEM </t>
  </si>
  <si>
    <t>163.221.689,-</t>
  </si>
  <si>
    <t>245.872.-</t>
  </si>
  <si>
    <t>56.363.631,-</t>
  </si>
  <si>
    <t>105.477,27</t>
  </si>
  <si>
    <t>129.899,56</t>
  </si>
  <si>
    <t>ČMRZ</t>
  </si>
  <si>
    <t>162.312.598,-</t>
  </si>
  <si>
    <t>235.376,-</t>
  </si>
  <si>
    <t>55.454.540,-</t>
  </si>
  <si>
    <t>107.263,-</t>
  </si>
  <si>
    <t>110.000.000.,-</t>
  </si>
  <si>
    <t>136.151,-</t>
  </si>
  <si>
    <t>500.000,-</t>
  </si>
  <si>
    <t>165.954.540,-</t>
  </si>
  <si>
    <t>243.414,-</t>
  </si>
  <si>
    <t>54.545.449,-</t>
  </si>
  <si>
    <t>105.533,-</t>
  </si>
  <si>
    <t>110.000.000,-</t>
  </si>
  <si>
    <t>174.411,-</t>
  </si>
  <si>
    <t>165.045.449,-</t>
  </si>
  <si>
    <t>279.944,-</t>
  </si>
  <si>
    <t>53.636.358,-</t>
  </si>
  <si>
    <t>93.757,-</t>
  </si>
  <si>
    <t>195.066,67</t>
  </si>
  <si>
    <t>164.136.358,-</t>
  </si>
  <si>
    <t>288.823,-</t>
  </si>
  <si>
    <t>52.727.267,-</t>
  </si>
  <si>
    <t>95.487,-</t>
  </si>
  <si>
    <t>215.966,66</t>
  </si>
  <si>
    <t>375.000,-</t>
  </si>
  <si>
    <t>163.102.267,-</t>
  </si>
  <si>
    <t>311.453,66</t>
  </si>
  <si>
    <t>51.818.176,-</t>
  </si>
  <si>
    <t>103.589,-</t>
  </si>
  <si>
    <t>100.167. 981,50</t>
  </si>
  <si>
    <t>201.527,67</t>
  </si>
  <si>
    <t>152.361.157,5</t>
  </si>
  <si>
    <t>305.116,67</t>
  </si>
  <si>
    <t>50.909.085,-</t>
  </si>
  <si>
    <t>98.612,86</t>
  </si>
  <si>
    <t>100.167.981,50</t>
  </si>
  <si>
    <t>196.663,14</t>
  </si>
  <si>
    <t>4.054.944,24</t>
  </si>
  <si>
    <t>155.507.010,74</t>
  </si>
  <si>
    <t>295.276,-</t>
  </si>
  <si>
    <t>30.6.2019      CELKEM</t>
  </si>
  <si>
    <t>Pohádková cesta</t>
  </si>
  <si>
    <t>Posembeři</t>
  </si>
  <si>
    <t xml:space="preserve">                                                                                                 Příjem daní za 1-12/ 2016 </t>
  </si>
  <si>
    <t>daň FO</t>
  </si>
  <si>
    <t>daň PO</t>
  </si>
  <si>
    <t>DPH</t>
  </si>
  <si>
    <t>daň z nem</t>
  </si>
  <si>
    <t>CELKEM</t>
  </si>
  <si>
    <t xml:space="preserve">                                                                                                 Příjem daní za 1-12 2017 </t>
  </si>
  <si>
    <t xml:space="preserve">                                                                                                 Příjem daní za 1-12 2018 </t>
  </si>
  <si>
    <t>k 31.12.2018</t>
  </si>
  <si>
    <t xml:space="preserve">                                                                                                 Příjem daní za 1-12 2019 </t>
  </si>
  <si>
    <t>plán 2019</t>
  </si>
  <si>
    <t>ÚVĚR</t>
  </si>
  <si>
    <t>propočet</t>
  </si>
  <si>
    <t>RO 2019</t>
  </si>
  <si>
    <t>odvody za odnětí půdy</t>
  </si>
  <si>
    <t>volby 2019 EP</t>
  </si>
  <si>
    <t>příjmy z poskytovaných služeb</t>
  </si>
  <si>
    <t>přijaté pojistní náhrady</t>
  </si>
  <si>
    <t>přijaté neinvestiční dary</t>
  </si>
  <si>
    <t>sankce přijaté</t>
  </si>
  <si>
    <t>sankční platby</t>
  </si>
  <si>
    <t>Volby</t>
  </si>
  <si>
    <t>Sekrétariat</t>
  </si>
  <si>
    <t>Návrh rozpočtu 2020</t>
  </si>
  <si>
    <t>Návrh rozpočtu TSÚ 2020</t>
  </si>
  <si>
    <t>Plán 2020</t>
  </si>
  <si>
    <t xml:space="preserve">                                                                                                 Příjem daní za 1-12 2020</t>
  </si>
  <si>
    <t>RO 2020</t>
  </si>
  <si>
    <t>v případě pořízení nových věcí</t>
  </si>
  <si>
    <t>úklidové prostředky, nová výzdoba sálu</t>
  </si>
  <si>
    <t>podsedáky, ubrusy</t>
  </si>
  <si>
    <t>označení hrobových míst</t>
  </si>
  <si>
    <t>přechody osvětlení</t>
  </si>
  <si>
    <t>nákup materiálů  do bytů ( drobné věcí, baterie)</t>
  </si>
  <si>
    <t>pronájem pozemku parc. č. 1059/40</t>
  </si>
  <si>
    <t>pronájem pozemku parc. č. 1056/1,1057/2</t>
  </si>
  <si>
    <t>kopírky, tiskárny, PC, drobnosti nad 1000,- Kč</t>
  </si>
  <si>
    <t>kancelářské potřeby, papír, obálky, čisticí prostředky…</t>
  </si>
  <si>
    <t>kancelářské potřeby, rukavice…</t>
  </si>
  <si>
    <t>ozvučení sálu</t>
  </si>
  <si>
    <t>úklidové prostředky, návleky</t>
  </si>
  <si>
    <t>kancelářské potřeby</t>
  </si>
  <si>
    <t>den účitelů sokolovna</t>
  </si>
  <si>
    <t>stánky(látkové)</t>
  </si>
  <si>
    <t>pronájem sálu - městský ples</t>
  </si>
  <si>
    <t>pronájem ozvučení a stanu Advent</t>
  </si>
  <si>
    <t>kancelářské potřeby, papír</t>
  </si>
  <si>
    <t>Smlouva s ČRS</t>
  </si>
  <si>
    <t>OID/OSM</t>
  </si>
  <si>
    <t>Sportovní zařízení +koupaliště</t>
  </si>
  <si>
    <t>OID/OŽPÚR</t>
  </si>
  <si>
    <t>OSM/OSPR</t>
  </si>
  <si>
    <t>Rozpočet  na rok 2020</t>
  </si>
  <si>
    <t>Kapitálové výdaje  2020_ projekty</t>
  </si>
  <si>
    <t>Rok 2019</t>
  </si>
  <si>
    <t>k 31.12.2019</t>
  </si>
  <si>
    <t>k 31.12.2020</t>
  </si>
  <si>
    <t>Číslo řádku</t>
  </si>
  <si>
    <t>Označení</t>
  </si>
  <si>
    <t>Text 1</t>
  </si>
  <si>
    <t>Plán rok 2019</t>
  </si>
  <si>
    <t>Skutečnost TSÚ CELKEM</t>
  </si>
  <si>
    <t>%</t>
  </si>
  <si>
    <t>CELKEM Plán 2020</t>
  </si>
  <si>
    <t>Plán 100 SPRÁVA CELKEM 2019</t>
  </si>
  <si>
    <t>Skutečnost 100 SPRÁVA CELKEM 2019</t>
  </si>
  <si>
    <t>SPRÁVA Plán 2020</t>
  </si>
  <si>
    <t>Plán 300 VPS CELKEM 2019</t>
  </si>
  <si>
    <t>Skutečnost 300 VPS CELKEM 2019</t>
  </si>
  <si>
    <t>VPS CELKEM Plán 2020</t>
  </si>
  <si>
    <t>Plán 301 VEŘEJNÉ OSVĚTLENÍ 2019</t>
  </si>
  <si>
    <t>Skutečnost 301 VEŘEJNÉ OSVĚTLENÍ 2019</t>
  </si>
  <si>
    <t>VO Plán 2020</t>
  </si>
  <si>
    <t>Plán 302 ODPADY 2019</t>
  </si>
  <si>
    <t>Skutečnost 302 ODPADY 2019</t>
  </si>
  <si>
    <t>ODPADY Plán 2020</t>
  </si>
  <si>
    <t>Plán 303 HŘBITOV 2019</t>
  </si>
  <si>
    <t>Skutečnost 303 HŘBITOV 2019</t>
  </si>
  <si>
    <t>HŘBITOV Plán 2020</t>
  </si>
  <si>
    <t>Plán 2020 SBĚRNÝ DVŮR</t>
  </si>
  <si>
    <t>Plán 2020 DEŠŤOVÁ KANALIZACE</t>
  </si>
  <si>
    <t>Plán 309 VPS OSTATNÍ 2019</t>
  </si>
  <si>
    <t>Skutečnost 309 VPS OSTATNÍ 2019</t>
  </si>
  <si>
    <t>VPS OST. Plán 2020</t>
  </si>
  <si>
    <t>Plán 200 VAK CELKEM 2019</t>
  </si>
  <si>
    <t>Skutečnost 200 VAK CELKEM 2019</t>
  </si>
  <si>
    <t>VAK CeLKEM Plán 2020</t>
  </si>
  <si>
    <t>Plán 203 VAK REŽIE 2019</t>
  </si>
  <si>
    <t>Skutečnost 203 VAK REŽIE 2019</t>
  </si>
  <si>
    <t>VAK REŽIE Plán 2020</t>
  </si>
  <si>
    <t>Plán 201 VODA 2019</t>
  </si>
  <si>
    <t>Skutečnost 201 VODA 2019</t>
  </si>
  <si>
    <t>VODA Plán 2020</t>
  </si>
  <si>
    <t>Plán 202 KANALIZACE  2019</t>
  </si>
  <si>
    <t>Skutečnost 202 KANALIZACE 2019</t>
  </si>
  <si>
    <t>KANALIZACE Plán 2020</t>
  </si>
  <si>
    <t>Plán 204 PŘIVADĚČ 2019</t>
  </si>
  <si>
    <t>Skutečnost 204 PŘIVADĚČ 2019</t>
  </si>
  <si>
    <t>PŘIVADĚČ Plán 2020</t>
  </si>
  <si>
    <t>6720100</t>
  </si>
  <si>
    <t>6720200</t>
  </si>
  <si>
    <t>Dotace - popelnice, IS TSÚ</t>
  </si>
  <si>
    <t/>
  </si>
  <si>
    <t>602211101</t>
  </si>
  <si>
    <t>602211102</t>
  </si>
  <si>
    <t>602211103</t>
  </si>
  <si>
    <t>6032132</t>
  </si>
  <si>
    <t>603213301</t>
  </si>
  <si>
    <t>603213302</t>
  </si>
  <si>
    <t>603213303</t>
  </si>
  <si>
    <t>6092139</t>
  </si>
  <si>
    <t>6442112</t>
  </si>
  <si>
    <t>6492111</t>
  </si>
  <si>
    <t>Ostatní výnosy z činnosti</t>
  </si>
  <si>
    <t>6620100</t>
  </si>
  <si>
    <t>VÝNOSY celkem</t>
  </si>
  <si>
    <t>5011</t>
  </si>
  <si>
    <t>5021</t>
  </si>
  <si>
    <t>5031</t>
  </si>
  <si>
    <t>5032</t>
  </si>
  <si>
    <t>5169</t>
  </si>
  <si>
    <t>5499</t>
  </si>
  <si>
    <t>5038</t>
  </si>
  <si>
    <t>5178</t>
  </si>
  <si>
    <t>Bonetti sypač,zametač</t>
  </si>
  <si>
    <t>Holder</t>
  </si>
  <si>
    <t>5132</t>
  </si>
  <si>
    <t>5134</t>
  </si>
  <si>
    <t>5136</t>
  </si>
  <si>
    <t>5137</t>
  </si>
  <si>
    <t>5139</t>
  </si>
  <si>
    <t>513901</t>
  </si>
  <si>
    <t>Úklidové prostředky</t>
  </si>
  <si>
    <t>513902</t>
  </si>
  <si>
    <t>Síran</t>
  </si>
  <si>
    <t>513903</t>
  </si>
  <si>
    <t>Flokulant</t>
  </si>
  <si>
    <t>513904</t>
  </si>
  <si>
    <t>Chlornan sodný</t>
  </si>
  <si>
    <t>513905</t>
  </si>
  <si>
    <t>Vodoměry</t>
  </si>
  <si>
    <t>513906</t>
  </si>
  <si>
    <t>Materiál - kancelářské potřeby</t>
  </si>
  <si>
    <t>513907</t>
  </si>
  <si>
    <t>Materiál - dopravní značení</t>
  </si>
  <si>
    <t>513908</t>
  </si>
  <si>
    <t>Materiál - sůl, štěrk, beton, malta, recyklát, hlína</t>
  </si>
  <si>
    <t>513909</t>
  </si>
  <si>
    <t>Materiál - postřik zeleň</t>
  </si>
  <si>
    <t>513910</t>
  </si>
  <si>
    <t>Materiál - nákup květin</t>
  </si>
  <si>
    <t>513911</t>
  </si>
  <si>
    <t>Materiál - nákup stromů</t>
  </si>
  <si>
    <t>513915</t>
  </si>
  <si>
    <t>Materiál - elektromateriál</t>
  </si>
  <si>
    <t>513916</t>
  </si>
  <si>
    <t>Materiál - spojovací a ostatní</t>
  </si>
  <si>
    <t>513917</t>
  </si>
  <si>
    <t>Spotřeba materiálu - ostatní materiál</t>
  </si>
  <si>
    <t>513918</t>
  </si>
  <si>
    <t>Spotřeba materiálu - nádoby na odpad</t>
  </si>
  <si>
    <t>513919</t>
  </si>
  <si>
    <t>Materiál - nářadí</t>
  </si>
  <si>
    <t>513920</t>
  </si>
  <si>
    <t>Materiál - náhradní díly na techniku</t>
  </si>
  <si>
    <t>513921</t>
  </si>
  <si>
    <t>Materiál - instalatérský</t>
  </si>
  <si>
    <t>513922</t>
  </si>
  <si>
    <t>Materiál - lakýrnický</t>
  </si>
  <si>
    <t>513923</t>
  </si>
  <si>
    <t>Materiál - psí koše a sáčky</t>
  </si>
  <si>
    <t>513924</t>
  </si>
  <si>
    <t>Materiál - zednický</t>
  </si>
  <si>
    <t>513925</t>
  </si>
  <si>
    <t>Materiál - dřevo a řezivo</t>
  </si>
  <si>
    <t>5151</t>
  </si>
  <si>
    <t>Spotřeba energie - voda</t>
  </si>
  <si>
    <t>Spotřeba jiných neskladovatelných dodávek - voda</t>
  </si>
  <si>
    <t>5153</t>
  </si>
  <si>
    <t>Spotřeba energie - plyn</t>
  </si>
  <si>
    <t>5154</t>
  </si>
  <si>
    <t>Spotřeba energie - elektřina</t>
  </si>
  <si>
    <t>5156</t>
  </si>
  <si>
    <t>Materiál - pohonné hmoty a maziva</t>
  </si>
  <si>
    <t>5161</t>
  </si>
  <si>
    <t>Ostatní služby - poštovné</t>
  </si>
  <si>
    <t>5162</t>
  </si>
  <si>
    <t>Ostatní služby - telefony</t>
  </si>
  <si>
    <t>5163</t>
  </si>
  <si>
    <t>Ostatní služby - pojištění, bankovní poplatky</t>
  </si>
  <si>
    <t>5164</t>
  </si>
  <si>
    <t>Ostatní služby - nájemné</t>
  </si>
  <si>
    <t>5166</t>
  </si>
  <si>
    <t>Ostatní služby - právní služby</t>
  </si>
  <si>
    <t>5167</t>
  </si>
  <si>
    <t>Ostatní služby - školení, vzdělávání</t>
  </si>
  <si>
    <t>5168</t>
  </si>
  <si>
    <t>Ostatní služby - služby IT</t>
  </si>
  <si>
    <t>Ostatní služby</t>
  </si>
  <si>
    <t>516901</t>
  </si>
  <si>
    <t>Ostatní služby - Horoušánky</t>
  </si>
  <si>
    <t>516902</t>
  </si>
  <si>
    <t>Ostatní služby - služby VaK (Kolařík,Schütz,Hovorka,Bernardy)</t>
  </si>
  <si>
    <t>516904</t>
  </si>
  <si>
    <t>Ostatní služby - BOZP a revize</t>
  </si>
  <si>
    <t>516905</t>
  </si>
  <si>
    <t>Ostatní služby - laboratoř</t>
  </si>
  <si>
    <t>516906</t>
  </si>
  <si>
    <t>Ostatní služby - vypouštění odpadních vod</t>
  </si>
  <si>
    <t>516907</t>
  </si>
  <si>
    <t>Ostatní služby - prohlídky, programy pro zaměstnance</t>
  </si>
  <si>
    <t>516908</t>
  </si>
  <si>
    <t>Ostatní služby - odpad, černé skládky</t>
  </si>
  <si>
    <t>516909</t>
  </si>
  <si>
    <t>Ostatní služby - údržba lesa</t>
  </si>
  <si>
    <t>516910</t>
  </si>
  <si>
    <t>Ostatní služby - poplatek za uložení SKO</t>
  </si>
  <si>
    <t>516912</t>
  </si>
  <si>
    <t>Ostatní služby - bioodpad</t>
  </si>
  <si>
    <t>516916</t>
  </si>
  <si>
    <t>Ostatní služby - poradenské služby - Rubikon</t>
  </si>
  <si>
    <t>516918</t>
  </si>
  <si>
    <t>Ostatní služby - stravenky - daňové (provize,doprava)</t>
  </si>
  <si>
    <t>516919</t>
  </si>
  <si>
    <t>Ostatní služby - stravenky - nedaňové (provize,doprava)</t>
  </si>
  <si>
    <t>516920</t>
  </si>
  <si>
    <t>Ostatní služby - ostatní</t>
  </si>
  <si>
    <t>516921</t>
  </si>
  <si>
    <t>Ostatní služby - elektroinstalační práce</t>
  </si>
  <si>
    <t>516922</t>
  </si>
  <si>
    <t>Ostatní služby - Ostraha objektů</t>
  </si>
  <si>
    <t>516923</t>
  </si>
  <si>
    <t>Ostatní služby - jarní a podzimní kolečko</t>
  </si>
  <si>
    <t>5171</t>
  </si>
  <si>
    <t>517101</t>
  </si>
  <si>
    <t>Opravy a udržování - automobily</t>
  </si>
  <si>
    <t>517102</t>
  </si>
  <si>
    <t>Opravy a udržování - nářadí, zařízení a stroje</t>
  </si>
  <si>
    <t>517103</t>
  </si>
  <si>
    <t>Opravy a udržování - budovy a haly</t>
  </si>
  <si>
    <t>517104</t>
  </si>
  <si>
    <t>Opravy a udržování - VaK</t>
  </si>
  <si>
    <t>5173</t>
  </si>
  <si>
    <t>5175</t>
  </si>
  <si>
    <t>Náklady na reprezentaci - občerstvení</t>
  </si>
  <si>
    <t>5179</t>
  </si>
  <si>
    <t>Ostatní služby - ostatní nákupy jinde nezařazené</t>
  </si>
  <si>
    <t>5362</t>
  </si>
  <si>
    <t>Odpisy dlouhodobého majetku</t>
  </si>
  <si>
    <t>5149</t>
  </si>
  <si>
    <t>Ostatní náklady z činnosti</t>
  </si>
  <si>
    <t>5310100</t>
  </si>
  <si>
    <t>Silniční daň</t>
  </si>
  <si>
    <t>5380100</t>
  </si>
  <si>
    <t>Jiné daně a poplatky</t>
  </si>
  <si>
    <t>5445139</t>
  </si>
  <si>
    <t>Prodaný materiál</t>
  </si>
  <si>
    <t>5625163</t>
  </si>
  <si>
    <t>5910100</t>
  </si>
  <si>
    <t>Daň z příjmů</t>
  </si>
  <si>
    <t>NÁKLADY celkem</t>
  </si>
  <si>
    <t>TSÚ celkem</t>
  </si>
  <si>
    <t>VPS celkem</t>
  </si>
  <si>
    <t>VPS ostatní</t>
  </si>
  <si>
    <t>VAK CELKEM</t>
  </si>
  <si>
    <t>VaK REŽIE</t>
  </si>
  <si>
    <t>VODA</t>
  </si>
  <si>
    <t>KANALIZACE</t>
  </si>
  <si>
    <t>PŘIVADĚČ</t>
  </si>
  <si>
    <t>5</t>
  </si>
  <si>
    <t>Náklady celkem</t>
  </si>
  <si>
    <t>6</t>
  </si>
  <si>
    <t>Výnosy celkem</t>
  </si>
  <si>
    <t>6-5</t>
  </si>
  <si>
    <t>Zisk/ztráta</t>
  </si>
  <si>
    <t>Výnosy z prodeje služeb VaK - ostatní služby</t>
  </si>
  <si>
    <t>Výnosy z prodeje služeb VPS</t>
  </si>
  <si>
    <t>Výnosy z  ostatních nemovitostí</t>
  </si>
  <si>
    <t>Výnosy z pronájmu VPS - plošina</t>
  </si>
  <si>
    <t>Výnosy z pronájmu VPS - ostatní vozidla</t>
  </si>
  <si>
    <t>Výnosy z pronájmu VPS - kontejner</t>
  </si>
  <si>
    <t>Jiné výnosy z vlastních výkonů</t>
  </si>
  <si>
    <t>1)</t>
  </si>
  <si>
    <t>škola</t>
  </si>
  <si>
    <t>3)</t>
  </si>
  <si>
    <t>nákup pražská MŠ</t>
  </si>
  <si>
    <t>4)</t>
  </si>
  <si>
    <t>nákup pozemku ČD</t>
  </si>
  <si>
    <t>5)</t>
  </si>
  <si>
    <t>6)</t>
  </si>
  <si>
    <t>7)</t>
  </si>
  <si>
    <t>8)</t>
  </si>
  <si>
    <t>MŠ</t>
  </si>
  <si>
    <t>9)</t>
  </si>
  <si>
    <t>10)</t>
  </si>
  <si>
    <t>11)</t>
  </si>
  <si>
    <t>hotel Budka</t>
  </si>
  <si>
    <t>parkovací systém</t>
  </si>
  <si>
    <t>ul.</t>
  </si>
  <si>
    <t>Neinvestice</t>
  </si>
  <si>
    <t>mzdy</t>
  </si>
  <si>
    <t xml:space="preserve">ostatní </t>
  </si>
  <si>
    <t>jistína</t>
  </si>
  <si>
    <t>ostatní příjmy daně</t>
  </si>
  <si>
    <t>nedaňové příjmy</t>
  </si>
  <si>
    <t>Tranféry</t>
  </si>
  <si>
    <t>12)</t>
  </si>
  <si>
    <t>2)</t>
  </si>
  <si>
    <t>13)</t>
  </si>
  <si>
    <t>rekonstrukce č.p. 276</t>
  </si>
  <si>
    <t>14)</t>
  </si>
  <si>
    <t>15)</t>
  </si>
  <si>
    <t>přiváděč</t>
  </si>
  <si>
    <t>Návrh rozpočtu  na rok 2020</t>
  </si>
  <si>
    <t>6171/1</t>
  </si>
  <si>
    <t>Příspěvek zřizovatele celkem</t>
  </si>
  <si>
    <t>Příspěvek zřizovatele na specifické činnosti VO, Odpad a hřbitov</t>
  </si>
  <si>
    <t>3612</t>
  </si>
  <si>
    <t>Příspěvek zřizovatele na specifické činnosti odborů - OID/byty</t>
  </si>
  <si>
    <t>Příspěvek zřizovatele na specifické činnosti odborů - OID/DPS</t>
  </si>
  <si>
    <t>Příspěvek zřizovatele na specifické činnosti odborů - OID/nebyty</t>
  </si>
  <si>
    <t>Příspěvek zřizovatele na specifické činnosti odborů - OID/hřiště+koupaliště</t>
  </si>
  <si>
    <t>Příspěvek zřizovatele na specifické činnosti odborů - OID/ZŠ</t>
  </si>
  <si>
    <t>3141/09</t>
  </si>
  <si>
    <t>Příspěvek zřizovatele na specifické činnosti odborů - OID/Jídelna ZŠ</t>
  </si>
  <si>
    <t>3114</t>
  </si>
  <si>
    <t>Příspěvek zřizovatele na specifické činnosti odborů - OID/č.p. 65</t>
  </si>
  <si>
    <t>3421</t>
  </si>
  <si>
    <t>Příspěvek zřizovatele na specifické činnosti odborů - OID/MDDM</t>
  </si>
  <si>
    <t>Příspěvek zřizovatele na specifické činnosti odborů - OID/MŠ Pražská</t>
  </si>
  <si>
    <t>Příspěvek zřizovatele na specifické činnosti odborů - OID/MŠ Kollárova</t>
  </si>
  <si>
    <t>Příspěvek zřizovatele na specifické činnosti odborů - OID/MŠ Cukrovar</t>
  </si>
  <si>
    <t>Příspěvek zřizovatele na specifické činnosti odborů - OID/silnice</t>
  </si>
  <si>
    <t>Příspěvek zřizovatele na specifické činnosti odborů - OŽPUR/jarní a podzimní kolečko</t>
  </si>
  <si>
    <t>3749</t>
  </si>
  <si>
    <t>Příspěvek zřizovatele na specifické činnosti odborů - OŽPUR/péče o veřejnou zeleň</t>
  </si>
  <si>
    <t>3729</t>
  </si>
  <si>
    <t>Příspěvek zřizovatele na specifické činnosti odborů - OŽPUR/ost. nakládání s odpady</t>
  </si>
  <si>
    <t>6171</t>
  </si>
  <si>
    <t>Příspěvek zřizovatele na specifické činnosti odborů - Správa</t>
  </si>
  <si>
    <t>PzVČ - Výnosy z prodeje služeb VaK - vodné a stočné</t>
  </si>
  <si>
    <t>PzVČ - Výnosy z prodeje služeb VaK - ostatní služby</t>
  </si>
  <si>
    <t>PzVČ - Výnosy z prodeje služeb VPS</t>
  </si>
  <si>
    <t>PzVČ - Výnosy z  ostatních nemovitostí</t>
  </si>
  <si>
    <t>PzVČ - Výnosy z pronájmu VPS - plošina</t>
  </si>
  <si>
    <t>PzVČ - Výnosy z pronájmu VPS - ostatní vozidla</t>
  </si>
  <si>
    <t>PzVČ - Výnosy z pronájmu VPS - kontejner</t>
  </si>
  <si>
    <t>PzVČ - Jiné výnosy z vlastních výkonů</t>
  </si>
  <si>
    <t>PzVČ - Výnosy z prodeje materiálu</t>
  </si>
  <si>
    <t>Kontejnerové vozidlo</t>
  </si>
  <si>
    <t>Svozové auto II</t>
  </si>
  <si>
    <t>Nástavba na multicar - dešťová kanalizace</t>
  </si>
  <si>
    <t>majetek nad 40 tis.</t>
  </si>
  <si>
    <t>Dešťová kanal.</t>
  </si>
  <si>
    <t>VaK režie</t>
  </si>
  <si>
    <t>Opravy a udržování bytů</t>
  </si>
  <si>
    <t>Opravy a udržování nebytů</t>
  </si>
  <si>
    <t>Opravy a udržování sportovní zař.+koup.</t>
  </si>
  <si>
    <t>Opravy a udržování MŠ Pražska</t>
  </si>
  <si>
    <t>Opravy a udržování Jid. ZŠ</t>
  </si>
  <si>
    <t>Opravy a udržování MŠ Koll.+MŠ Cukr.</t>
  </si>
  <si>
    <t xml:space="preserve"> Výnosy z prodeje služeb VaK - vodné a stočné</t>
  </si>
  <si>
    <t>flokuluant</t>
  </si>
  <si>
    <t>Majetek nad 40tis.Kč</t>
  </si>
  <si>
    <t>Ostatní služby - služby VaK (Kolařík,Hovorka,Bernardy)</t>
  </si>
  <si>
    <t>Zateplení čp. 1347 a 1346</t>
  </si>
  <si>
    <t>PD - č.p. 1347 a 1346</t>
  </si>
  <si>
    <t>Nákup MŠ Pražská</t>
  </si>
  <si>
    <t>světelná křižovatka</t>
  </si>
  <si>
    <t>zaměření, GP</t>
  </si>
  <si>
    <t>dopravní značky</t>
  </si>
  <si>
    <t>Průtah III/01214 - úsek č. 3</t>
  </si>
  <si>
    <t>Průtah III/01214 - úsek č. 3 PD</t>
  </si>
  <si>
    <t>kamerový systém - parkování v Úvalech</t>
  </si>
  <si>
    <t>kamerový systém - parkování v Úvalech PD</t>
  </si>
  <si>
    <t>Jirenská a Pražská (okružní křižovatka)</t>
  </si>
  <si>
    <t>Jirenská a Pražská (okružní křižovatka)-PD</t>
  </si>
  <si>
    <t>psí výběh Slovany (pozemek parc. č. 3928/362)</t>
  </si>
  <si>
    <t>Horova oddělovák</t>
  </si>
  <si>
    <t>poradenství pro UVAK</t>
  </si>
  <si>
    <t>Rozšíření ČOV</t>
  </si>
  <si>
    <t>Rozšíření ČOV-PD</t>
  </si>
  <si>
    <t>Nová odběrná místa, Čez, příp.skříně</t>
  </si>
  <si>
    <t>Opravy a udržování místnosti MěÚ</t>
  </si>
  <si>
    <t>oprava hydroizolace objektu</t>
  </si>
  <si>
    <t>nový výtah</t>
  </si>
  <si>
    <t>nová kuchyně</t>
  </si>
  <si>
    <t xml:space="preserve">oprava přístřešku </t>
  </si>
  <si>
    <t>hasičský vůz</t>
  </si>
  <si>
    <t>TSÚ drobný nákup</t>
  </si>
  <si>
    <t>oprava zídky u plotu</t>
  </si>
  <si>
    <t>oprava pracovní desky v kuchyni</t>
  </si>
  <si>
    <t>vnitřní schodiště, nátěr, dřevěné obložení</t>
  </si>
  <si>
    <t>obklady a nová umyvadla</t>
  </si>
  <si>
    <t>linoleum chodby a přípravná kuchyně</t>
  </si>
  <si>
    <t>vzduchotechnika</t>
  </si>
  <si>
    <t>nákup nových věcí na osvětlení</t>
  </si>
  <si>
    <t>další ozdoby</t>
  </si>
  <si>
    <t>další dekory</t>
  </si>
  <si>
    <t>revize rozhlas</t>
  </si>
  <si>
    <t>Služba-parkování a kamery</t>
  </si>
  <si>
    <t>Ul. Šafaříkova-podkladní vrstvy, obrubníky, vyr.uzávěrů</t>
  </si>
  <si>
    <t>oprava výtluků komunikací</t>
  </si>
  <si>
    <t>opravy - šachty, hrníčky</t>
  </si>
  <si>
    <t>Vydláždění ČOV</t>
  </si>
  <si>
    <t>čištění kanalizace</t>
  </si>
  <si>
    <t>Vyhodnocení POH</t>
  </si>
  <si>
    <t>ozeleňování města dřevčice</t>
  </si>
  <si>
    <t>zahradník Drsek</t>
  </si>
  <si>
    <t xml:space="preserve">Pohádková odpadová cesta </t>
  </si>
  <si>
    <t>Cedule</t>
  </si>
  <si>
    <t xml:space="preserve">SD-nebezpečné odpady, ostatní odpady, provoz sběrného dvora </t>
  </si>
  <si>
    <t>nájemné sokolovna</t>
  </si>
  <si>
    <t>RO č.1                  rok 2020</t>
  </si>
  <si>
    <r>
      <t xml:space="preserve">Služby zpracování podkladů </t>
    </r>
    <r>
      <rPr>
        <i/>
        <sz val="10"/>
        <rFont val="Courier New"/>
        <family val="3"/>
        <charset val="238"/>
      </rPr>
      <t>IT</t>
    </r>
  </si>
  <si>
    <t>Dotace hlásiče.povodňový plán</t>
  </si>
  <si>
    <t>Dotace Pohádková cesta</t>
  </si>
  <si>
    <t>vratka za tříděný odpad</t>
  </si>
  <si>
    <t>příjmy z pronájmu Koupaliště</t>
  </si>
  <si>
    <t>finanční vypořádání z minulých let volby</t>
  </si>
  <si>
    <t>Neinvestiční přijaté dotace Technické služby</t>
  </si>
  <si>
    <t>Dotace Výzva č.28 IT Technické služby</t>
  </si>
  <si>
    <t>č.p. 1347 oprava -  kotel</t>
  </si>
  <si>
    <t>Kaméry na koupaliště</t>
  </si>
  <si>
    <t>Štěpkovač</t>
  </si>
  <si>
    <t>Nádoby</t>
  </si>
  <si>
    <t>Lis</t>
  </si>
  <si>
    <t>3722-34</t>
  </si>
  <si>
    <t>připojení kamery</t>
  </si>
  <si>
    <t>Návrh rozpočtu  rok 2020</t>
  </si>
  <si>
    <t>Zeleneč</t>
  </si>
  <si>
    <t>dí TSÚ</t>
  </si>
  <si>
    <t>Svozové auto II - platí TSÚ 1 850 000</t>
  </si>
  <si>
    <t>Svozové auto II- hradí TSÚ z inv.účtu 1 850 000,-</t>
  </si>
  <si>
    <t>FKSP z rozpočtu města</t>
  </si>
  <si>
    <t>Dotace Nachlingerův park neiv.</t>
  </si>
  <si>
    <t>dotace výzva 28-neinvestiční</t>
  </si>
  <si>
    <t>RO  č.4      rok 2019</t>
  </si>
  <si>
    <t xml:space="preserve">Agregát </t>
  </si>
  <si>
    <t>2020 výhled</t>
  </si>
  <si>
    <r>
      <rPr>
        <b/>
        <sz val="11"/>
        <color indexed="8"/>
        <rFont val="Courier New"/>
        <family val="3"/>
        <charset val="238"/>
      </rPr>
      <t xml:space="preserve">Městská policie  </t>
    </r>
    <r>
      <rPr>
        <sz val="10"/>
        <rFont val="Courier New"/>
        <family val="3"/>
        <charset val="238"/>
      </rPr>
      <t>postupný nárůst pracovníků od roku 2014 - vznik MP, v roce 2017 navýšení o 1 strážníka</t>
    </r>
  </si>
  <si>
    <t>Počet zaměstnanců města Úvaly 2006 - 2020 (mimo příspěvkové organizace města - ZŠ, MŠ, MDDM, TSÚ)</t>
  </si>
  <si>
    <t>VIZ LIST 5169 NÁKUP SLUŽEB</t>
  </si>
  <si>
    <t>VIZ LIST 5171 OPRAVY A UDRUŽBY</t>
  </si>
  <si>
    <t>VIZ INVESTICE</t>
  </si>
  <si>
    <t>ul. Štefaniková</t>
  </si>
  <si>
    <t>ul. Štefaniková PD</t>
  </si>
  <si>
    <t>advent  navýšení jističe</t>
  </si>
  <si>
    <t>Kamera</t>
  </si>
  <si>
    <t>vysavač na fontánu</t>
  </si>
  <si>
    <t>Běžné přijaté dotace</t>
  </si>
  <si>
    <t>Neivestiční příspěvek, přísp.org., sociální fond</t>
  </si>
  <si>
    <t>Běžné přijaté-přijaté transféry SR a obci</t>
  </si>
  <si>
    <t>RO Č.1</t>
  </si>
  <si>
    <t>Daňové příjmy - ostatní</t>
  </si>
  <si>
    <t>6 - 12</t>
  </si>
  <si>
    <t>13 - 19</t>
  </si>
  <si>
    <t>20 - 26</t>
  </si>
  <si>
    <t>3 - 9</t>
  </si>
  <si>
    <t>17 - 23</t>
  </si>
  <si>
    <t>2 - 8</t>
  </si>
  <si>
    <t>9 - 15</t>
  </si>
  <si>
    <t>16 - 22</t>
  </si>
  <si>
    <t>23 - 29</t>
  </si>
  <si>
    <t>30 - 5</t>
  </si>
  <si>
    <t>27 - 3</t>
  </si>
  <si>
    <t>4 - 10</t>
  </si>
  <si>
    <t>11 - 17</t>
  </si>
  <si>
    <t>18 - 24</t>
  </si>
  <si>
    <t>25 - 31</t>
  </si>
  <si>
    <t>1 - 7</t>
  </si>
  <si>
    <t>10 - 16</t>
  </si>
  <si>
    <t>24 - 30</t>
  </si>
  <si>
    <t>31 - 6</t>
  </si>
  <si>
    <t>7 - 13</t>
  </si>
  <si>
    <t>14 - 20</t>
  </si>
  <si>
    <t>21 - 27</t>
  </si>
  <si>
    <t>5 - 11</t>
  </si>
  <si>
    <t>12 - 18</t>
  </si>
  <si>
    <t>19 - 25</t>
  </si>
  <si>
    <t>28 - 3</t>
  </si>
  <si>
    <t>Rezerva</t>
  </si>
  <si>
    <t>VIZ LIST 5137 DHIM</t>
  </si>
  <si>
    <t>RO Č.2</t>
  </si>
  <si>
    <t>RO č.2                  rok 2020</t>
  </si>
  <si>
    <t>49.999.994,-</t>
  </si>
  <si>
    <t>87.507,06</t>
  </si>
  <si>
    <t>100.167.981,5</t>
  </si>
  <si>
    <t>190.319,16</t>
  </si>
  <si>
    <t>12.910.208,28</t>
  </si>
  <si>
    <t>250.000,-</t>
  </si>
  <si>
    <t>163.328.183,78</t>
  </si>
  <si>
    <t>277.826,22</t>
  </si>
  <si>
    <t>49.090.903,-</t>
  </si>
  <si>
    <t>101.291,66</t>
  </si>
  <si>
    <t>202.506,27</t>
  </si>
  <si>
    <t>23.255.726,93</t>
  </si>
  <si>
    <t>172.514.611,43</t>
  </si>
  <si>
    <t>303.797,93</t>
  </si>
  <si>
    <t>48.181.812,-</t>
  </si>
  <si>
    <t>90.409,-</t>
  </si>
  <si>
    <t>100.167.981,-</t>
  </si>
  <si>
    <t>209.601,-</t>
  </si>
  <si>
    <t>26.537.538,-</t>
  </si>
  <si>
    <t>175.137.331,-</t>
  </si>
  <si>
    <t>300.010,-</t>
  </si>
  <si>
    <t>47.272.721,-</t>
  </si>
  <si>
    <t>91.692,66</t>
  </si>
  <si>
    <t>90.000.000,-</t>
  </si>
  <si>
    <t>31.500,-</t>
  </si>
  <si>
    <t>30.000.000,-</t>
  </si>
  <si>
    <t>163.761,01</t>
  </si>
  <si>
    <t>125.000,-</t>
  </si>
  <si>
    <t>30.09.2019  CELKEM</t>
  </si>
  <si>
    <t>167.397.721,-</t>
  </si>
  <si>
    <t>46.363.630,-</t>
  </si>
  <si>
    <t>89.962,62</t>
  </si>
  <si>
    <t>89.146.918,-</t>
  </si>
  <si>
    <t>69.419,43</t>
  </si>
  <si>
    <t>31.10.2019 CELKEM</t>
  </si>
  <si>
    <t>165.635.548,-</t>
  </si>
  <si>
    <t>159.382,05</t>
  </si>
  <si>
    <t>45.454.539,-</t>
  </si>
  <si>
    <t>82.540,14</t>
  </si>
  <si>
    <t>88.720.377,-</t>
  </si>
  <si>
    <t>66.860,19</t>
  </si>
  <si>
    <t>31.11.2019 CELKEM</t>
  </si>
  <si>
    <t>164.299.916,-</t>
  </si>
  <si>
    <t>149.400,33</t>
  </si>
  <si>
    <t>89.292,91</t>
  </si>
  <si>
    <t>68.758,29</t>
  </si>
  <si>
    <t>201.600,-</t>
  </si>
  <si>
    <t>31.12.2019  CELKEM</t>
  </si>
  <si>
    <t>164.174.916,-</t>
  </si>
  <si>
    <t>359.651,2</t>
  </si>
  <si>
    <t>43.636.357,-</t>
  </si>
  <si>
    <t>84.772,-</t>
  </si>
  <si>
    <t>87.867.295,-</t>
  </si>
  <si>
    <t>68.427,-</t>
  </si>
  <si>
    <t>31.1.2020     CELKEM</t>
  </si>
  <si>
    <t>161.503.652,-</t>
  </si>
  <si>
    <t>153.199,-</t>
  </si>
  <si>
    <t>42.727.266,-</t>
  </si>
  <si>
    <t>75.006,05</t>
  </si>
  <si>
    <t>87.440.754,-</t>
  </si>
  <si>
    <t>63.703,79</t>
  </si>
  <si>
    <t>29.2.2020     CELKEM</t>
  </si>
  <si>
    <t>160.168.020,-</t>
  </si>
  <si>
    <t>138.709,84</t>
  </si>
  <si>
    <t>ostatní VPS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</si>
  <si>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</si>
  <si>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</si>
  <si>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</si>
  <si>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</si>
  <si>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</si>
  <si>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</si>
  <si>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</si>
  <si>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</si>
  <si>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</si>
  <si>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</si>
  <si>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</si>
  <si>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</si>
  <si>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náklad Zeleneč</t>
  </si>
  <si>
    <t>PVK</t>
  </si>
  <si>
    <t>Počáteční</t>
  </si>
  <si>
    <t>Koncový</t>
  </si>
  <si>
    <t>Spotřeba</t>
  </si>
  <si>
    <t>Paušál</t>
  </si>
  <si>
    <t>Fakturace</t>
  </si>
  <si>
    <t>výnos Zeleneč</t>
  </si>
  <si>
    <t>na VaK Zápy</t>
  </si>
  <si>
    <t>Ztráta</t>
  </si>
  <si>
    <t>od VaK Zápy</t>
  </si>
  <si>
    <t>VHS Benešov Horoušany</t>
  </si>
  <si>
    <t>výnos pro 20000004 přivaděč Zeleneč</t>
  </si>
  <si>
    <t>VHS Benešov Horoušánky</t>
  </si>
  <si>
    <t>VHS Benešov Horoušánky U Tří svatých</t>
  </si>
  <si>
    <t>VHS Benešov Horoušánky Višňovka</t>
  </si>
  <si>
    <t>spotřeba</t>
  </si>
  <si>
    <t>fa VHS Benešov</t>
  </si>
  <si>
    <t>výnos Zeleneč / náklad Úvaly</t>
  </si>
  <si>
    <t>Úvaly   Fibichova</t>
  </si>
  <si>
    <t>Fakturace Přivaděč 20000004 na Vodovod 20000001</t>
  </si>
  <si>
    <t>Úvaly Zálesí</t>
  </si>
  <si>
    <t>Úvaly U Horoušánek</t>
  </si>
  <si>
    <t>Hodov</t>
  </si>
  <si>
    <t>spotřeba pro Úvaly 2018-2019</t>
  </si>
  <si>
    <t>Tawesco</t>
  </si>
  <si>
    <t>(ESSA)</t>
  </si>
  <si>
    <t>spotřeba m3</t>
  </si>
  <si>
    <t>fa na středisko 20000001</t>
  </si>
  <si>
    <t>Úvaly občany-výnos</t>
  </si>
  <si>
    <t xml:space="preserve">Počáteční </t>
  </si>
  <si>
    <t xml:space="preserve">Paušál </t>
  </si>
  <si>
    <t>náklad Úvaly</t>
  </si>
  <si>
    <t>Od Vodosu</t>
  </si>
  <si>
    <t>výnos Úvaly</t>
  </si>
  <si>
    <t>na Vodos</t>
  </si>
  <si>
    <t>ČOV 1</t>
  </si>
  <si>
    <t>Konečný</t>
  </si>
  <si>
    <t>ČOV 2</t>
  </si>
  <si>
    <t>ŠACHTA Horoušánky (k potoku)</t>
  </si>
  <si>
    <t>požár</t>
  </si>
  <si>
    <t>cca 350 m3</t>
  </si>
  <si>
    <t>Nákup(PVK, ZÁPY)</t>
  </si>
  <si>
    <t>Prodej přivaděc</t>
  </si>
  <si>
    <t>Nákup( Úvaly a Vodos)</t>
  </si>
  <si>
    <t>Úvaly prodej vč. Vodos</t>
  </si>
  <si>
    <t>Úvaly prodej občanů</t>
  </si>
  <si>
    <t xml:space="preserve">      </t>
  </si>
  <si>
    <t>počet obyvatelů 6744*934</t>
  </si>
  <si>
    <t>Dle predikce MF</t>
  </si>
  <si>
    <t>Snížení o 20%?????</t>
  </si>
  <si>
    <t>Odhad</t>
  </si>
  <si>
    <t>Daň z příjmu PO</t>
  </si>
  <si>
    <t>DPFO vybíraná srážkou</t>
  </si>
  <si>
    <t>DPFO placená poplatníky(z přiznání)</t>
  </si>
  <si>
    <t>DPFO placená plátci(ze závisle činnosti)</t>
  </si>
  <si>
    <t>Snížení o 17%</t>
  </si>
  <si>
    <t>Dosádba Park Vinice</t>
  </si>
  <si>
    <t>3749/8</t>
  </si>
  <si>
    <t>3749-8</t>
  </si>
  <si>
    <t xml:space="preserve">Park Úvaly Vinice - dotace - spolúčast 5% Města </t>
  </si>
  <si>
    <t>Zpracování závěrecného výhodnocení SB</t>
  </si>
  <si>
    <r>
      <t xml:space="preserve">35-1458 </t>
    </r>
    <r>
      <rPr>
        <sz val="8"/>
        <color theme="1"/>
        <rFont val="Calibri"/>
        <family val="2"/>
        <charset val="238"/>
        <scheme val="minor"/>
      </rPr>
      <t>od r. 2017</t>
    </r>
  </si>
  <si>
    <r>
      <t xml:space="preserve">35-171687 </t>
    </r>
    <r>
      <rPr>
        <sz val="9"/>
        <color theme="1"/>
        <rFont val="Calibri"/>
        <family val="2"/>
        <charset val="238"/>
        <scheme val="minor"/>
      </rPr>
      <t>od r. 2019</t>
    </r>
  </si>
  <si>
    <r>
      <t xml:space="preserve">35-1458 </t>
    </r>
    <r>
      <rPr>
        <sz val="9"/>
        <color theme="1"/>
        <rFont val="Calibri"/>
        <family val="2"/>
        <charset val="238"/>
        <scheme val="minor"/>
      </rPr>
      <t>od r. 2017</t>
    </r>
  </si>
  <si>
    <r>
      <t xml:space="preserve">35-1458 </t>
    </r>
    <r>
      <rPr>
        <sz val="10"/>
        <color theme="1"/>
        <rFont val="Calibri"/>
        <family val="2"/>
        <charset val="238"/>
        <scheme val="minor"/>
      </rPr>
      <t>od r. 2017</t>
    </r>
  </si>
  <si>
    <r>
      <t>35-1458</t>
    </r>
    <r>
      <rPr>
        <sz val="10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</si>
  <si>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10"/>
        <color theme="1"/>
        <rFont val="Calibri"/>
        <family val="2"/>
        <charset val="238"/>
        <scheme val="minor"/>
      </rPr>
      <t xml:space="preserve"> od r. 2019</t>
    </r>
  </si>
  <si>
    <t>41.818.175,-</t>
  </si>
  <si>
    <t>83.935,-</t>
  </si>
  <si>
    <t>87.014.213,-</t>
  </si>
  <si>
    <t>67.766,-</t>
  </si>
  <si>
    <t>210.408,-</t>
  </si>
  <si>
    <t xml:space="preserve">31.3.2020     CELKEM                </t>
  </si>
  <si>
    <t>158.832.388,-</t>
  </si>
  <si>
    <t>362.109,-</t>
  </si>
  <si>
    <t>40.909.084,-</t>
  </si>
  <si>
    <t>77.015,-</t>
  </si>
  <si>
    <t>86.587.672,-</t>
  </si>
  <si>
    <t>65.260,-</t>
  </si>
  <si>
    <t>157.496.756,-</t>
  </si>
  <si>
    <t>142.275,-</t>
  </si>
  <si>
    <t>39.999.993,-</t>
  </si>
  <si>
    <t>72.829,-</t>
  </si>
  <si>
    <r>
      <t>35-1458</t>
    </r>
    <r>
      <rPr>
        <sz val="9"/>
        <color theme="1"/>
        <rFont val="Calibri"/>
        <family val="2"/>
        <charset val="238"/>
        <scheme val="minor"/>
      </rPr>
      <t xml:space="preserve"> od r. 2017</t>
    </r>
  </si>
  <si>
    <t>86.161.131,-</t>
  </si>
  <si>
    <t>67.105,-</t>
  </si>
  <si>
    <t>31.5.2020 CELKEM</t>
  </si>
  <si>
    <t>156.161.124,-</t>
  </si>
  <si>
    <t>139.934,-</t>
  </si>
  <si>
    <t>MŠ pražská celkem</t>
  </si>
  <si>
    <t>MŠ pražská</t>
  </si>
  <si>
    <t>nákup</t>
  </si>
  <si>
    <t>Infrastrutura Vinice-PD</t>
  </si>
  <si>
    <t>nový úvěr 2020</t>
  </si>
  <si>
    <t>25 - 1</t>
  </si>
  <si>
    <t xml:space="preserve">chodníky - Úvaly </t>
  </si>
  <si>
    <t>úrok z úvěru 15 000 000,-Kč  roku 2020</t>
  </si>
  <si>
    <t>jistina z úvěru 15 000 000,-Kč roku 2020</t>
  </si>
  <si>
    <t>jistina z úvěru 2 500 000,-Kč roku 2020</t>
  </si>
  <si>
    <t>úrok z úvěru 2 500 000,-Kč  roku 2020</t>
  </si>
  <si>
    <t>Úvěr 2020</t>
  </si>
  <si>
    <t>RO Č.3</t>
  </si>
  <si>
    <t>Zůstatek jistiny z úvěru roku 2020</t>
  </si>
  <si>
    <t>26 - 3</t>
  </si>
  <si>
    <t>29 - 4</t>
  </si>
  <si>
    <t>22 - 28</t>
  </si>
  <si>
    <t>15 - 21</t>
  </si>
  <si>
    <t>8 - 14</t>
  </si>
  <si>
    <t>27 - 2</t>
  </si>
  <si>
    <t>28 - 5</t>
  </si>
  <si>
    <t>7 -13</t>
  </si>
  <si>
    <t>29 - 6</t>
  </si>
  <si>
    <t>18 - 23</t>
  </si>
  <si>
    <t>39.090.902,-</t>
  </si>
  <si>
    <t>78.577,-</t>
  </si>
  <si>
    <t>85.734.590,-</t>
  </si>
  <si>
    <t>64.620,-</t>
  </si>
  <si>
    <r>
      <t>35-171687</t>
    </r>
    <r>
      <rPr>
        <sz val="9"/>
        <color theme="1"/>
        <rFont val="Calibri"/>
        <family val="2"/>
        <charset val="238"/>
        <scheme val="minor"/>
      </rPr>
      <t xml:space="preserve"> od r. 2019</t>
    </r>
  </si>
  <si>
    <t>149.500,-</t>
  </si>
  <si>
    <t>30.6.2020 CELKEM</t>
  </si>
  <si>
    <t>154.825.492,-</t>
  </si>
  <si>
    <t>292.697,-</t>
  </si>
  <si>
    <t>Návrh rozpočtu Města Úvaly na rok 2021</t>
  </si>
  <si>
    <t>Návrh rozpočtu 2021</t>
  </si>
  <si>
    <t>Rozpočet 2021</t>
  </si>
  <si>
    <t>Přehled  výdajů jednotlivých kapitol a položek 2021</t>
  </si>
  <si>
    <t>Návrh rozpočtu  na rok 2021</t>
  </si>
  <si>
    <t>Návrh rozpočtu TSÚ 2021</t>
  </si>
  <si>
    <t>Rozpočet  na rok 2021</t>
  </si>
  <si>
    <t>Návrh rozpočtu  rok 2021</t>
  </si>
  <si>
    <t>Plán 2021</t>
  </si>
  <si>
    <t>3749/6</t>
  </si>
  <si>
    <t>PD svazková škola</t>
  </si>
  <si>
    <t>Daň z příjmu fyz. osob ZÁVISLÉ ČINNOSTI</t>
  </si>
  <si>
    <t>Daň z příjmu fyzických osob vybírana srážkou dle zvlaštní sazby</t>
  </si>
  <si>
    <t>Daň z příjmu fyzických osob ze samostatné výdělečné činnosti</t>
  </si>
  <si>
    <t>Daň z příjmu fyzických osob ze zaměstnanci</t>
  </si>
  <si>
    <t>rezerva z přebytku 2020</t>
  </si>
  <si>
    <t>VIZ LIST 5139 Materiál</t>
  </si>
  <si>
    <t>TSÚ, ZŠ, MDDM, MŠ</t>
  </si>
  <si>
    <t>600 000,-Kč participativní rozpočet: 500 000,-Kč Rybaří: 450 000,-Kč fond starosta</t>
  </si>
  <si>
    <t>Dotace pořízení hasičského auta</t>
  </si>
  <si>
    <t>Dotace  hasičské budovy</t>
  </si>
  <si>
    <t>Dotace pečovatelská služba nový vytah, kuchyně a hydroizolace budovy</t>
  </si>
  <si>
    <t>Výsadba stromů</t>
  </si>
  <si>
    <t>studie PD, změna provedení stavby + TDI,AD, příprava admin.</t>
  </si>
  <si>
    <t>kolumbárium</t>
  </si>
  <si>
    <t>Doplnění lamp - V. Špály</t>
  </si>
  <si>
    <t>Realizace - Čelakovského, Foersterova, Bezručova a Guth Jarkovského</t>
  </si>
  <si>
    <t xml:space="preserve">Doplnění lamp -  Švermova </t>
  </si>
  <si>
    <t>VEŘEJNÉ Osvětlení v Úvalech generel VO</t>
  </si>
  <si>
    <t>nájem rozhledna</t>
  </si>
  <si>
    <t>oprava bytů, odstraňování závad z revizí</t>
  </si>
  <si>
    <t>překládka střechy č.p. 95 Arnošta z Pardubic</t>
  </si>
  <si>
    <t>výměna koberců za PVC- 6 místností OID</t>
  </si>
  <si>
    <t>hřiště - koupaliště</t>
  </si>
  <si>
    <t>provoz koupaliště</t>
  </si>
  <si>
    <t xml:space="preserve"> drobné opravy, chata</t>
  </si>
  <si>
    <t>demontáž nákladního výtahu</t>
  </si>
  <si>
    <t>plot okolo školky</t>
  </si>
  <si>
    <t>zimní údržba - štěrk, recyklát, sůl, kačírek</t>
  </si>
  <si>
    <t>opravy silnice po i před zimou - DODAVATELSKÝ -ŽEHLIČKA, turbo</t>
  </si>
  <si>
    <t>Kamerový systém Gemos-revize,servis,oprava,údržba</t>
  </si>
  <si>
    <t xml:space="preserve">Oprava komunikací </t>
  </si>
  <si>
    <t>Oprava komunikací -Poděbradova</t>
  </si>
  <si>
    <t>Oprava komunikací - Roháčova</t>
  </si>
  <si>
    <t>Oprava komunikací - Kupkova</t>
  </si>
  <si>
    <t>Oprava komunikací - Palackého</t>
  </si>
  <si>
    <t>opravy vodoměrných soustav</t>
  </si>
  <si>
    <t>úložiště</t>
  </si>
  <si>
    <t>rozšíření zálohovacího software</t>
  </si>
  <si>
    <t>elektrokola (skutr)</t>
  </si>
  <si>
    <t xml:space="preserve">Parkovácí portál </t>
  </si>
  <si>
    <t>ozvučení sálu DPS</t>
  </si>
  <si>
    <t>??????</t>
  </si>
  <si>
    <t>osobní kamery +do aut</t>
  </si>
  <si>
    <t>fotopasti</t>
  </si>
  <si>
    <t>defibrilátor do druhého auta</t>
  </si>
  <si>
    <t>Oslavy 30let MP</t>
  </si>
  <si>
    <t>bibliobox (spoluáčast k dotaci)</t>
  </si>
  <si>
    <t>městský ples (kapela+zvukař)</t>
  </si>
  <si>
    <t xml:space="preserve"> Advent</t>
  </si>
  <si>
    <t>Letní kino</t>
  </si>
  <si>
    <t xml:space="preserve"> Čarodějnice (kapela+zvukař)+čerty</t>
  </si>
  <si>
    <t>termokamera</t>
  </si>
  <si>
    <t>regály do skladu PHM</t>
  </si>
  <si>
    <t>rekonstrukce příručního skladu PHM</t>
  </si>
  <si>
    <t>výměna pneu T148</t>
  </si>
  <si>
    <t>nové hlásiče</t>
  </si>
  <si>
    <t>30.000,- Kč lesní sazenice, 130.000,- stromy ul. - třešně + truhlíky, 60 000,- ovocné remízky v polích a kaštany</t>
  </si>
  <si>
    <t>Květinář</t>
  </si>
  <si>
    <t>300.000,- Městský arborista Karburka, 25.000,- Kč sečení Králičina - Agrochemický podnik Mstětice, údržba Nachlinger 25.000,- Kč, AV CZ zádržné cestička Nachlinger 17.532,-Kč, obnova značení městská stezka 8000,-Kč, zádržné NOWASTAV 120 000,- Kč</t>
  </si>
  <si>
    <t>výsadba stromů</t>
  </si>
  <si>
    <t>Provozní řád - AKTUALIZACE, vyhodnocení POH</t>
  </si>
  <si>
    <t>chodníky - Úvaly-PD</t>
  </si>
  <si>
    <t>Infrastrutura Vinice</t>
  </si>
  <si>
    <t>chodníky -Poliklinika PD</t>
  </si>
  <si>
    <t>chodníky -Poliklinika</t>
  </si>
  <si>
    <t>ul. Smetanova PD</t>
  </si>
  <si>
    <t xml:space="preserve">ul. Smetanova </t>
  </si>
  <si>
    <t>ul. Sovova</t>
  </si>
  <si>
    <t>ul. Sovova PD</t>
  </si>
  <si>
    <t>splátky</t>
  </si>
  <si>
    <t>Škola</t>
  </si>
  <si>
    <t>Hasiče</t>
  </si>
  <si>
    <t>Neinvest. přísp. org.+TSÚ</t>
  </si>
  <si>
    <t xml:space="preserve"> rok  2021</t>
  </si>
  <si>
    <t>Investice</t>
  </si>
  <si>
    <t>provozní</t>
  </si>
  <si>
    <t>Daně a ostatní výdaje</t>
  </si>
  <si>
    <t>silnice</t>
  </si>
  <si>
    <t>příroda</t>
  </si>
  <si>
    <t>Výhled 2025</t>
  </si>
  <si>
    <t>Výhled 2026</t>
  </si>
  <si>
    <t>nárůst nájmu</t>
  </si>
  <si>
    <t>ideálně zachovat 2020</t>
  </si>
  <si>
    <r>
      <t xml:space="preserve">Svozové auto II- </t>
    </r>
    <r>
      <rPr>
        <b/>
        <sz val="10"/>
        <rFont val="Courier New"/>
        <family val="3"/>
        <charset val="238"/>
      </rPr>
      <t xml:space="preserve">hradí TSÚ </t>
    </r>
  </si>
  <si>
    <t>Dehydrator</t>
  </si>
  <si>
    <t>Ostatní služby - služby VaK (Kolařík,Hovorka,Bernardy,VRV</t>
  </si>
  <si>
    <t>4.úvěr</t>
  </si>
  <si>
    <t>Zůstatek k 31.10.2020</t>
  </si>
  <si>
    <t>RO č.1</t>
  </si>
  <si>
    <t>zadrzné</t>
  </si>
  <si>
    <t xml:space="preserve">                                                                                                 Příjem daní za 1-12 2021</t>
  </si>
  <si>
    <t>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</si>
</sst>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#,##0_ ;\-#,##0\ "/>
    <numFmt numFmtId="173" formatCode="#,##0.00_ ;[Red]\-#,##0.00\ "/>
    <numFmt numFmtId="174" formatCode="#,##0.00\ _K_č"/>
  </numFmts>
  <fonts count="9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2" tint="-0.749992370372631"/>
      <name val="Calibri"/>
      <family val="2"/>
      <charset val="238"/>
      <scheme val="minor"/>
    </font>
    <font>
      <b/>
      <sz val="10"/>
      <color theme="2" tint="-0.89999084444715716"/>
      <name val="Calibri"/>
      <family val="2"/>
      <charset val="238"/>
      <scheme val="minor"/>
    </font>
    <font>
      <sz val="10"/>
      <color theme="2" tint="-0.749992370372631"/>
      <name val="Calibri"/>
      <family val="2"/>
      <charset val="238"/>
      <scheme val="minor"/>
    </font>
    <font>
      <sz val="10"/>
      <color theme="2" tint="-0.89999084444715716"/>
      <name val="Calibri"/>
      <family val="2"/>
      <charset val="238"/>
      <scheme val="minor"/>
    </font>
    <font>
      <b/>
      <sz val="12"/>
      <name val="Courier New"/>
      <family val="3"/>
      <charset val="238"/>
    </font>
    <font>
      <sz val="10"/>
      <name val="Courier New"/>
      <family val="3"/>
      <charset val="238"/>
    </font>
    <font>
      <sz val="10"/>
      <color theme="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0"/>
      <name val="Courier New"/>
      <family val="3"/>
      <charset val="238"/>
    </font>
    <font>
      <sz val="10"/>
      <color rgb="FFFF0000"/>
      <name val="Courier New"/>
      <family val="3"/>
      <charset val="238"/>
    </font>
    <font>
      <b/>
      <sz val="10"/>
      <color rgb="FFFF0000"/>
      <name val="Courier New"/>
      <family val="3"/>
      <charset val="238"/>
    </font>
    <font>
      <sz val="10"/>
      <color rgb="FF002060"/>
      <name val="Courier New"/>
      <family val="3"/>
      <charset val="238"/>
    </font>
    <font>
      <i/>
      <sz val="10"/>
      <name val="Courier New"/>
      <family val="3"/>
      <charset val="238"/>
    </font>
    <font>
      <sz val="10"/>
      <color rgb="FF0070C0"/>
      <name val="Courier New"/>
      <family val="3"/>
      <charset val="238"/>
    </font>
    <font>
      <sz val="10"/>
      <color rgb="FF00B050"/>
      <name val="Courier New"/>
      <family val="3"/>
      <charset val="238"/>
    </font>
    <font>
      <sz val="12"/>
      <name val="Courier New"/>
      <family val="3"/>
      <charset val="238"/>
    </font>
    <font>
      <b/>
      <sz val="10"/>
      <color rgb="FF0070C0"/>
      <name val="Courier New"/>
      <family val="3"/>
      <charset val="238"/>
    </font>
    <font>
      <b/>
      <sz val="10"/>
      <color rgb="FF00B050"/>
      <name val="Courier New"/>
      <family val="3"/>
      <charset val="238"/>
    </font>
    <font>
      <sz val="12"/>
      <color rgb="FFFF0000"/>
      <name val="Courier New"/>
      <family val="3"/>
      <charset val="238"/>
    </font>
    <font>
      <sz val="12"/>
      <color rgb="FF0070C0"/>
      <name val="Courier New"/>
      <family val="3"/>
      <charset val="238"/>
    </font>
    <font>
      <b/>
      <sz val="12"/>
      <color rgb="FFFF0000"/>
      <name val="Courier New"/>
      <family val="3"/>
      <charset val="238"/>
    </font>
    <font>
      <b/>
      <sz val="12"/>
      <color rgb="FF0070C0"/>
      <name val="Courier New"/>
      <family val="3"/>
      <charset val="238"/>
    </font>
    <font>
      <b/>
      <sz val="12"/>
      <color theme="0"/>
      <name val="Courier New"/>
      <family val="3"/>
      <charset val="238"/>
    </font>
    <font>
      <sz val="10"/>
      <color theme="0" tint="-0.14999847407452621"/>
      <name val="Courier New"/>
      <family val="3"/>
      <charset val="238"/>
    </font>
    <font>
      <b/>
      <sz val="11"/>
      <color rgb="FFFF0000"/>
      <name val="Courier New"/>
      <family val="3"/>
      <charset val="238"/>
    </font>
    <font>
      <b/>
      <sz val="11"/>
      <color theme="0" tint="-0.14999847407452621"/>
      <name val="Courier New"/>
      <family val="3"/>
      <charset val="238"/>
    </font>
    <font>
      <b/>
      <sz val="11"/>
      <name val="Courier New"/>
      <family val="3"/>
      <charset val="238"/>
    </font>
    <font>
      <sz val="11"/>
      <color rgb="FFFF0000"/>
      <name val="Courier New"/>
      <family val="3"/>
      <charset val="238"/>
    </font>
    <font>
      <sz val="11"/>
      <color theme="0" tint="-0.14999847407452621"/>
      <name val="Courier New"/>
      <family val="3"/>
      <charset val="238"/>
    </font>
    <font>
      <sz val="9"/>
      <color rgb="FFFF0000"/>
      <name val="Courier New"/>
      <family val="3"/>
      <charset val="238"/>
    </font>
    <font>
      <b/>
      <sz val="9"/>
      <color rgb="FFFF0000"/>
      <name val="Courier New"/>
      <family val="3"/>
      <charset val="238"/>
    </font>
    <font>
      <b/>
      <sz val="9"/>
      <color theme="0" tint="-0.14999847407452621"/>
      <name val="Courier New"/>
      <family val="3"/>
      <charset val="238"/>
    </font>
    <font>
      <b/>
      <sz val="10"/>
      <color rgb="FF002060"/>
      <name val="Courier New"/>
      <family val="3"/>
      <charset val="238"/>
    </font>
    <font>
      <b/>
      <sz val="12"/>
      <color theme="0" tint="-0.14999847407452621"/>
      <name val="Courier New"/>
      <family val="3"/>
      <charset val="238"/>
    </font>
    <font>
      <b/>
      <sz val="12"/>
      <color rgb="FF002060"/>
      <name val="Courier New"/>
      <family val="3"/>
      <charset val="238"/>
    </font>
    <font>
      <b/>
      <sz val="11"/>
      <color rgb="FF002060"/>
      <name val="Courier New"/>
      <family val="3"/>
      <charset val="238"/>
    </font>
    <font>
      <sz val="14"/>
      <color theme="1"/>
      <name val="Courier New"/>
      <family val="3"/>
      <charset val="238"/>
    </font>
    <font>
      <sz val="12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i/>
      <sz val="10"/>
      <color rgb="FFFF0000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10"/>
      <color theme="1"/>
      <name val="Courier New"/>
      <family val="3"/>
      <charset val="238"/>
    </font>
    <font>
      <b/>
      <sz val="11"/>
      <color theme="0"/>
      <name val="Courier New"/>
      <family val="3"/>
      <charset val="238"/>
    </font>
    <font>
      <b/>
      <sz val="11"/>
      <color theme="0" tint="-0.249977111117893"/>
      <name val="Courier New"/>
      <family val="3"/>
      <charset val="238"/>
    </font>
    <font>
      <b/>
      <sz val="11"/>
      <color rgb="FF0070C0"/>
      <name val="Courier New"/>
      <family val="3"/>
      <charset val="238"/>
    </font>
    <font>
      <b/>
      <sz val="11"/>
      <color rgb="FF00B050"/>
      <name val="Courier New"/>
      <family val="3"/>
      <charset val="238"/>
    </font>
    <font>
      <sz val="10"/>
      <color rgb="FF00B0F0"/>
      <name val="Courier New"/>
      <family val="3"/>
      <charset val="238"/>
    </font>
    <font>
      <sz val="11"/>
      <color theme="1"/>
      <name val="Courier New"/>
      <family val="3"/>
      <charset val="238"/>
    </font>
    <font>
      <i/>
      <sz val="10"/>
      <color theme="1"/>
      <name val="Courier New"/>
      <family val="3"/>
      <charset val="238"/>
    </font>
    <font>
      <i/>
      <sz val="10"/>
      <color theme="6"/>
      <name val="Courier New"/>
      <family val="3"/>
      <charset val="238"/>
    </font>
    <font>
      <b/>
      <i/>
      <sz val="10"/>
      <color theme="1"/>
      <name val="Courier New"/>
      <family val="3"/>
      <charset val="238"/>
    </font>
    <font>
      <sz val="10"/>
      <name val="Times New Roman"/>
      <family val="1"/>
      <charset val="238"/>
    </font>
    <font>
      <b/>
      <sz val="11"/>
      <color indexed="8"/>
      <name val="Courier New"/>
      <family val="3"/>
      <charset val="238"/>
    </font>
    <font>
      <b/>
      <i/>
      <sz val="10"/>
      <name val="Courier New"/>
      <family val="3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ourier New"/>
      <family val="3"/>
      <charset val="238"/>
    </font>
    <font>
      <b/>
      <sz val="10"/>
      <color rgb="FFFF000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9A663"/>
        <bgColor indexed="64"/>
      </patternFill>
    </fill>
    <fill>
      <patternFill patternType="solid">
        <fgColor rgb="FF629C5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31" fillId="26" borderId="77" applyNumberFormat="0" applyAlignment="0" applyProtection="0"/>
    <xf numFmtId="0" fontId="1" fillId="27" borderId="0" applyNumberFormat="0" applyBorder="0" applyAlignment="0" applyProtection="0"/>
  </cellStyleXfs>
  <cellXfs count="2328">
    <xf numFmtId="0" fontId="0" fillId="0" borderId="0" xfId="0"/>
    <xf numFmtId="0" fontId="11" fillId="0" borderId="0" xfId="0" applyFont="1"/>
    <xf numFmtId="3" fontId="12" fillId="0" borderId="0" xfId="0" applyNumberFormat="1" applyFont="1"/>
    <xf numFmtId="3" fontId="11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5" fillId="0" borderId="0" xfId="0" applyFont="1"/>
    <xf numFmtId="3" fontId="0" fillId="0" borderId="0" xfId="0" applyNumberFormat="1"/>
    <xf numFmtId="0" fontId="19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left"/>
    </xf>
    <xf numFmtId="0" fontId="0" fillId="0" borderId="0" xfId="0" applyFont="1"/>
    <xf numFmtId="0" fontId="8" fillId="0" borderId="0" xfId="0" applyFont="1"/>
    <xf numFmtId="3" fontId="8" fillId="0" borderId="0" xfId="0" applyNumberFormat="1" applyFont="1"/>
    <xf numFmtId="0" fontId="20" fillId="0" borderId="0" xfId="0" applyFont="1"/>
    <xf numFmtId="0" fontId="5" fillId="0" borderId="47" xfId="0" applyFont="1" applyBorder="1"/>
    <xf numFmtId="3" fontId="5" fillId="0" borderId="47" xfId="0" applyNumberFormat="1" applyFont="1" applyBorder="1"/>
    <xf numFmtId="3" fontId="9" fillId="0" borderId="47" xfId="0" applyNumberFormat="1" applyFont="1" applyBorder="1"/>
    <xf numFmtId="0" fontId="9" fillId="0" borderId="47" xfId="0" applyFont="1" applyBorder="1"/>
    <xf numFmtId="0" fontId="0" fillId="0" borderId="47" xfId="0" applyBorder="1"/>
    <xf numFmtId="0" fontId="8" fillId="0" borderId="47" xfId="0" applyFont="1" applyBorder="1"/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17" fillId="0" borderId="0" xfId="0" applyFont="1"/>
    <xf numFmtId="4" fontId="12" fillId="0" borderId="0" xfId="0" applyNumberFormat="1" applyFont="1"/>
    <xf numFmtId="3" fontId="0" fillId="0" borderId="0" xfId="0" applyNumberFormat="1" applyFont="1"/>
    <xf numFmtId="3" fontId="20" fillId="0" borderId="0" xfId="0" applyNumberFormat="1" applyFont="1"/>
    <xf numFmtId="0" fontId="0" fillId="5" borderId="0" xfId="0" applyFill="1"/>
    <xf numFmtId="3" fontId="0" fillId="0" borderId="14" xfId="0" applyNumberFormat="1" applyBorder="1"/>
    <xf numFmtId="0" fontId="15" fillId="0" borderId="0" xfId="0" applyFont="1" applyBorder="1"/>
    <xf numFmtId="9" fontId="0" fillId="0" borderId="0" xfId="8" applyFont="1"/>
    <xf numFmtId="4" fontId="0" fillId="0" borderId="0" xfId="0" applyNumberFormat="1"/>
    <xf numFmtId="4" fontId="20" fillId="0" borderId="0" xfId="0" applyNumberFormat="1" applyFont="1" applyAlignment="1">
      <alignment horizontal="center"/>
    </xf>
    <xf numFmtId="4" fontId="2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14" xfId="0" applyFont="1" applyBorder="1"/>
    <xf numFmtId="4" fontId="20" fillId="0" borderId="14" xfId="0" applyNumberFormat="1" applyFont="1" applyBorder="1" applyAlignment="1">
      <alignment horizontal="center"/>
    </xf>
    <xf numFmtId="4" fontId="0" fillId="0" borderId="14" xfId="0" applyNumberFormat="1" applyBorder="1"/>
    <xf numFmtId="4" fontId="20" fillId="0" borderId="14" xfId="1" applyNumberFormat="1" applyFont="1" applyBorder="1" applyAlignment="1">
      <alignment horizontal="center"/>
    </xf>
    <xf numFmtId="0" fontId="6" fillId="0" borderId="0" xfId="0" applyFont="1"/>
    <xf numFmtId="0" fontId="0" fillId="0" borderId="0" xfId="0" applyFill="1" applyBorder="1" applyAlignment="1">
      <alignment horizontal="center"/>
    </xf>
    <xf numFmtId="3" fontId="11" fillId="0" borderId="0" xfId="0" applyNumberFormat="1" applyFont="1" applyFill="1" applyBorder="1"/>
    <xf numFmtId="0" fontId="0" fillId="0" borderId="69" xfId="0" applyBorder="1"/>
    <xf numFmtId="0" fontId="0" fillId="12" borderId="0" xfId="0" applyFill="1"/>
    <xf numFmtId="9" fontId="20" fillId="0" borderId="0" xfId="8" applyFont="1" applyAlignment="1">
      <alignment horizontal="center"/>
    </xf>
    <xf numFmtId="4" fontId="20" fillId="0" borderId="0" xfId="1" applyNumberFormat="1" applyFont="1" applyBorder="1" applyAlignment="1">
      <alignment horizontal="center"/>
    </xf>
    <xf numFmtId="1" fontId="20" fillId="0" borderId="0" xfId="8" applyNumberFormat="1" applyFont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59" xfId="0" applyBorder="1"/>
    <xf numFmtId="0" fontId="0" fillId="0" borderId="0" xfId="0" applyBorder="1"/>
    <xf numFmtId="0" fontId="9" fillId="0" borderId="39" xfId="0" applyFont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9" fillId="0" borderId="6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/>
    <xf numFmtId="0" fontId="0" fillId="0" borderId="7" xfId="0" applyBorder="1"/>
    <xf numFmtId="0" fontId="9" fillId="0" borderId="59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0" fillId="0" borderId="59" xfId="0" applyFont="1" applyBorder="1"/>
    <xf numFmtId="0" fontId="10" fillId="0" borderId="0" xfId="0" applyFont="1" applyBorder="1"/>
    <xf numFmtId="3" fontId="10" fillId="0" borderId="39" xfId="0" applyNumberFormat="1" applyFont="1" applyBorder="1"/>
    <xf numFmtId="0" fontId="10" fillId="0" borderId="0" xfId="0" applyFont="1"/>
    <xf numFmtId="0" fontId="10" fillId="0" borderId="0" xfId="0" applyFont="1" applyBorder="1" applyAlignment="1">
      <alignment horizontal="right"/>
    </xf>
    <xf numFmtId="3" fontId="10" fillId="0" borderId="36" xfId="0" applyNumberFormat="1" applyFont="1" applyBorder="1"/>
    <xf numFmtId="0" fontId="22" fillId="0" borderId="65" xfId="0" applyFont="1" applyBorder="1"/>
    <xf numFmtId="0" fontId="22" fillId="0" borderId="45" xfId="0" applyFont="1" applyBorder="1"/>
    <xf numFmtId="3" fontId="22" fillId="0" borderId="68" xfId="0" applyNumberFormat="1" applyFont="1" applyBorder="1"/>
    <xf numFmtId="0" fontId="22" fillId="0" borderId="0" xfId="0" applyFont="1" applyBorder="1"/>
    <xf numFmtId="0" fontId="22" fillId="0" borderId="59" xfId="0" applyFont="1" applyBorder="1"/>
    <xf numFmtId="3" fontId="22" fillId="0" borderId="39" xfId="0" applyNumberFormat="1" applyFont="1" applyBorder="1"/>
    <xf numFmtId="0" fontId="22" fillId="0" borderId="0" xfId="0" applyFont="1"/>
    <xf numFmtId="3" fontId="22" fillId="0" borderId="0" xfId="0" applyNumberFormat="1" applyFont="1"/>
    <xf numFmtId="3" fontId="22" fillId="0" borderId="53" xfId="0" applyNumberFormat="1" applyFont="1" applyBorder="1"/>
    <xf numFmtId="0" fontId="10" fillId="0" borderId="0" xfId="0" applyFont="1" applyFill="1" applyBorder="1" applyAlignment="1">
      <alignment horizontal="right"/>
    </xf>
    <xf numFmtId="0" fontId="10" fillId="0" borderId="39" xfId="0" applyFont="1" applyBorder="1"/>
    <xf numFmtId="0" fontId="10" fillId="0" borderId="36" xfId="0" applyFont="1" applyBorder="1"/>
    <xf numFmtId="3" fontId="0" fillId="4" borderId="39" xfId="0" applyNumberFormat="1" applyFill="1" applyBorder="1"/>
    <xf numFmtId="0" fontId="9" fillId="0" borderId="0" xfId="0" applyFont="1" applyBorder="1"/>
    <xf numFmtId="3" fontId="9" fillId="0" borderId="39" xfId="0" applyNumberFormat="1" applyFont="1" applyBorder="1"/>
    <xf numFmtId="3" fontId="9" fillId="0" borderId="0" xfId="0" applyNumberFormat="1" applyFont="1"/>
    <xf numFmtId="3" fontId="9" fillId="0" borderId="36" xfId="0" applyNumberFormat="1" applyFont="1" applyBorder="1"/>
    <xf numFmtId="0" fontId="10" fillId="0" borderId="65" xfId="0" applyFont="1" applyBorder="1"/>
    <xf numFmtId="0" fontId="10" fillId="0" borderId="45" xfId="0" applyFont="1" applyBorder="1"/>
    <xf numFmtId="0" fontId="10" fillId="0" borderId="68" xfId="0" applyFont="1" applyBorder="1"/>
    <xf numFmtId="3" fontId="10" fillId="0" borderId="68" xfId="0" applyNumberFormat="1" applyFont="1" applyBorder="1"/>
    <xf numFmtId="3" fontId="10" fillId="0" borderId="53" xfId="0" applyNumberFormat="1" applyFont="1" applyBorder="1"/>
    <xf numFmtId="171" fontId="0" fillId="5" borderId="0" xfId="0" applyNumberFormat="1" applyFill="1"/>
    <xf numFmtId="0" fontId="23" fillId="0" borderId="19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0" fontId="24" fillId="5" borderId="0" xfId="0" applyFont="1" applyFill="1"/>
    <xf numFmtId="3" fontId="25" fillId="5" borderId="0" xfId="0" applyNumberFormat="1" applyFont="1" applyFill="1"/>
    <xf numFmtId="0" fontId="20" fillId="5" borderId="0" xfId="0" applyFont="1" applyFill="1" applyAlignment="1">
      <alignment horizontal="center"/>
    </xf>
    <xf numFmtId="0" fontId="20" fillId="5" borderId="69" xfId="0" applyFont="1" applyFill="1" applyBorder="1" applyAlignment="1">
      <alignment horizontal="center"/>
    </xf>
    <xf numFmtId="3" fontId="20" fillId="5" borderId="0" xfId="0" applyNumberFormat="1" applyFont="1" applyFill="1" applyAlignment="1">
      <alignment horizontal="center"/>
    </xf>
    <xf numFmtId="3" fontId="24" fillId="0" borderId="14" xfId="0" applyNumberFormat="1" applyFont="1" applyBorder="1"/>
    <xf numFmtId="3" fontId="24" fillId="0" borderId="43" xfId="0" applyNumberFormat="1" applyFont="1" applyBorder="1"/>
    <xf numFmtId="3" fontId="24" fillId="0" borderId="37" xfId="0" applyNumberFormat="1" applyFont="1" applyBorder="1"/>
    <xf numFmtId="3" fontId="24" fillId="0" borderId="33" xfId="0" applyNumberFormat="1" applyFont="1" applyBorder="1"/>
    <xf numFmtId="0" fontId="23" fillId="0" borderId="4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23" fillId="0" borderId="27" xfId="0" applyFont="1" applyBorder="1" applyAlignment="1">
      <alignment horizontal="center"/>
    </xf>
    <xf numFmtId="3" fontId="24" fillId="0" borderId="25" xfId="0" applyNumberFormat="1" applyFont="1" applyBorder="1"/>
    <xf numFmtId="3" fontId="24" fillId="0" borderId="27" xfId="0" applyNumberFormat="1" applyFont="1" applyBorder="1"/>
    <xf numFmtId="0" fontId="23" fillId="0" borderId="40" xfId="0" applyFont="1" applyBorder="1"/>
    <xf numFmtId="0" fontId="25" fillId="0" borderId="3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3" fontId="24" fillId="0" borderId="42" xfId="0" applyNumberFormat="1" applyFont="1" applyBorder="1"/>
    <xf numFmtId="3" fontId="24" fillId="0" borderId="21" xfId="0" applyNumberFormat="1" applyFont="1" applyBorder="1"/>
    <xf numFmtId="3" fontId="24" fillId="0" borderId="48" xfId="0" applyNumberFormat="1" applyFont="1" applyBorder="1"/>
    <xf numFmtId="3" fontId="23" fillId="0" borderId="3" xfId="0" applyNumberFormat="1" applyFont="1" applyBorder="1" applyAlignment="1">
      <alignment horizontal="center"/>
    </xf>
    <xf numFmtId="3" fontId="23" fillId="0" borderId="10" xfId="0" applyNumberFormat="1" applyFont="1" applyBorder="1"/>
    <xf numFmtId="3" fontId="23" fillId="0" borderId="11" xfId="0" applyNumberFormat="1" applyFont="1" applyBorder="1"/>
    <xf numFmtId="3" fontId="23" fillId="0" borderId="34" xfId="0" applyNumberFormat="1" applyFont="1" applyBorder="1"/>
    <xf numFmtId="0" fontId="26" fillId="9" borderId="0" xfId="0" applyFont="1" applyFill="1"/>
    <xf numFmtId="0" fontId="26" fillId="9" borderId="0" xfId="0" applyFont="1" applyFill="1" applyAlignment="1">
      <alignment horizontal="center"/>
    </xf>
    <xf numFmtId="3" fontId="24" fillId="5" borderId="0" xfId="0" applyNumberFormat="1" applyFont="1" applyFill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22" borderId="2" xfId="0" applyFill="1" applyBorder="1"/>
    <xf numFmtId="0" fontId="0" fillId="22" borderId="30" xfId="0" applyFill="1" applyBorder="1"/>
    <xf numFmtId="0" fontId="0" fillId="22" borderId="5" xfId="0" applyFill="1" applyBorder="1"/>
    <xf numFmtId="0" fontId="0" fillId="22" borderId="6" xfId="0" applyFill="1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Fill="1" applyBorder="1"/>
    <xf numFmtId="0" fontId="0" fillId="0" borderId="59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10" xfId="0" applyFill="1" applyBorder="1"/>
    <xf numFmtId="0" fontId="0" fillId="0" borderId="26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/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12" borderId="0" xfId="0" applyFont="1" applyFill="1"/>
    <xf numFmtId="0" fontId="9" fillId="12" borderId="0" xfId="0" applyFont="1" applyFill="1"/>
    <xf numFmtId="0" fontId="0" fillId="0" borderId="3" xfId="0" applyBorder="1"/>
    <xf numFmtId="0" fontId="11" fillId="0" borderId="0" xfId="0" applyFont="1" applyFill="1" applyBorder="1"/>
    <xf numFmtId="0" fontId="9" fillId="0" borderId="0" xfId="0" applyFont="1" applyFill="1" applyBorder="1"/>
    <xf numFmtId="9" fontId="10" fillId="0" borderId="0" xfId="8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9" fontId="8" fillId="0" borderId="0" xfId="8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/>
    <xf numFmtId="43" fontId="16" fillId="0" borderId="0" xfId="1" applyFont="1" applyFill="1" applyBorder="1"/>
    <xf numFmtId="0" fontId="15" fillId="0" borderId="0" xfId="0" applyFont="1" applyFill="1" applyBorder="1" applyAlignment="1">
      <alignment horizontal="right"/>
    </xf>
    <xf numFmtId="3" fontId="18" fillId="0" borderId="0" xfId="0" applyNumberFormat="1" applyFont="1" applyFill="1" applyBorder="1"/>
    <xf numFmtId="3" fontId="15" fillId="0" borderId="0" xfId="0" applyNumberFormat="1" applyFont="1" applyFill="1" applyBorder="1"/>
    <xf numFmtId="0" fontId="30" fillId="0" borderId="78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 shrinkToFit="1"/>
    </xf>
    <xf numFmtId="0" fontId="34" fillId="24" borderId="79" xfId="0" applyFont="1" applyFill="1" applyBorder="1" applyAlignment="1">
      <alignment horizontal="center" vertical="center" wrapText="1"/>
    </xf>
    <xf numFmtId="9" fontId="34" fillId="24" borderId="79" xfId="0" applyNumberFormat="1" applyFont="1" applyFill="1" applyBorder="1" applyAlignment="1">
      <alignment horizontal="center" vertical="center" wrapText="1"/>
    </xf>
    <xf numFmtId="4" fontId="35" fillId="24" borderId="79" xfId="0" applyNumberFormat="1" applyFont="1" applyFill="1" applyBorder="1" applyAlignment="1">
      <alignment horizontal="center" vertical="center" wrapText="1"/>
    </xf>
    <xf numFmtId="0" fontId="34" fillId="25" borderId="79" xfId="0" applyFont="1" applyFill="1" applyBorder="1" applyAlignment="1">
      <alignment horizontal="center" vertical="center" wrapText="1"/>
    </xf>
    <xf numFmtId="4" fontId="35" fillId="25" borderId="80" xfId="0" applyNumberFormat="1" applyFont="1" applyFill="1" applyBorder="1" applyAlignment="1">
      <alignment horizontal="center" vertical="center" wrapText="1"/>
    </xf>
    <xf numFmtId="0" fontId="34" fillId="6" borderId="81" xfId="0" applyFont="1" applyFill="1" applyBorder="1" applyAlignment="1">
      <alignment horizontal="center" vertical="center" wrapText="1"/>
    </xf>
    <xf numFmtId="0" fontId="34" fillId="6" borderId="79" xfId="0" applyFont="1" applyFill="1" applyBorder="1" applyAlignment="1">
      <alignment horizontal="center" vertical="center" wrapText="1"/>
    </xf>
    <xf numFmtId="4" fontId="35" fillId="6" borderId="80" xfId="0" applyNumberFormat="1" applyFont="1" applyFill="1" applyBorder="1" applyAlignment="1">
      <alignment horizontal="center" vertical="center" wrapText="1"/>
    </xf>
    <xf numFmtId="0" fontId="34" fillId="18" borderId="81" xfId="0" applyFont="1" applyFill="1" applyBorder="1" applyAlignment="1">
      <alignment horizontal="center" vertical="center" wrapText="1"/>
    </xf>
    <xf numFmtId="0" fontId="34" fillId="18" borderId="79" xfId="0" applyFont="1" applyFill="1" applyBorder="1" applyAlignment="1">
      <alignment horizontal="center" vertical="center" wrapText="1"/>
    </xf>
    <xf numFmtId="4" fontId="35" fillId="18" borderId="82" xfId="0" applyNumberFormat="1" applyFont="1" applyFill="1" applyBorder="1" applyAlignment="1">
      <alignment horizontal="center" vertical="center" wrapText="1"/>
    </xf>
    <xf numFmtId="0" fontId="34" fillId="29" borderId="83" xfId="0" applyFont="1" applyFill="1" applyBorder="1" applyAlignment="1">
      <alignment horizontal="center" vertical="center" wrapText="1"/>
    </xf>
    <xf numFmtId="0" fontId="34" fillId="29" borderId="79" xfId="0" applyFont="1" applyFill="1" applyBorder="1" applyAlignment="1">
      <alignment horizontal="center" vertical="center" wrapText="1"/>
    </xf>
    <xf numFmtId="4" fontId="35" fillId="29" borderId="82" xfId="0" applyNumberFormat="1" applyFont="1" applyFill="1" applyBorder="1" applyAlignment="1">
      <alignment horizontal="center" vertical="center" wrapText="1"/>
    </xf>
    <xf numFmtId="4" fontId="34" fillId="30" borderId="84" xfId="0" applyNumberFormat="1" applyFont="1" applyFill="1" applyBorder="1" applyAlignment="1">
      <alignment horizontal="center" vertical="center" wrapText="1"/>
    </xf>
    <xf numFmtId="0" fontId="34" fillId="30" borderId="81" xfId="0" applyFont="1" applyFill="1" applyBorder="1" applyAlignment="1">
      <alignment horizontal="center" vertical="center" wrapText="1"/>
    </xf>
    <xf numFmtId="4" fontId="35" fillId="30" borderId="82" xfId="0" applyNumberFormat="1" applyFont="1" applyFill="1" applyBorder="1" applyAlignment="1">
      <alignment horizontal="center" vertical="center" wrapText="1"/>
    </xf>
    <xf numFmtId="4" fontId="34" fillId="31" borderId="84" xfId="0" applyNumberFormat="1" applyFont="1" applyFill="1" applyBorder="1" applyAlignment="1">
      <alignment horizontal="center" vertical="center" wrapText="1"/>
    </xf>
    <xf numFmtId="4" fontId="34" fillId="31" borderId="81" xfId="0" applyNumberFormat="1" applyFont="1" applyFill="1" applyBorder="1" applyAlignment="1">
      <alignment horizontal="center" vertical="center" wrapText="1"/>
    </xf>
    <xf numFmtId="4" fontId="35" fillId="31" borderId="82" xfId="0" applyNumberFormat="1" applyFont="1" applyFill="1" applyBorder="1" applyAlignment="1">
      <alignment horizontal="center" vertical="center" wrapText="1"/>
    </xf>
    <xf numFmtId="4" fontId="34" fillId="32" borderId="84" xfId="0" applyNumberFormat="1" applyFont="1" applyFill="1" applyBorder="1" applyAlignment="1">
      <alignment horizontal="center" vertical="center" wrapText="1"/>
    </xf>
    <xf numFmtId="4" fontId="34" fillId="32" borderId="81" xfId="0" applyNumberFormat="1" applyFont="1" applyFill="1" applyBorder="1" applyAlignment="1">
      <alignment horizontal="center" vertical="center" wrapText="1"/>
    </xf>
    <xf numFmtId="4" fontId="35" fillId="32" borderId="82" xfId="0" applyNumberFormat="1" applyFont="1" applyFill="1" applyBorder="1" applyAlignment="1">
      <alignment horizontal="center" vertical="center" wrapText="1"/>
    </xf>
    <xf numFmtId="9" fontId="34" fillId="33" borderId="84" xfId="0" applyNumberFormat="1" applyFont="1" applyFill="1" applyBorder="1" applyAlignment="1">
      <alignment horizontal="center" vertical="center" wrapText="1"/>
    </xf>
    <xf numFmtId="0" fontId="34" fillId="33" borderId="81" xfId="0" applyFont="1" applyFill="1" applyBorder="1" applyAlignment="1">
      <alignment horizontal="center" vertical="center" wrapText="1"/>
    </xf>
    <xf numFmtId="4" fontId="35" fillId="33" borderId="80" xfId="0" applyNumberFormat="1" applyFont="1" applyFill="1" applyBorder="1" applyAlignment="1">
      <alignment horizontal="center" vertical="center" wrapText="1"/>
    </xf>
    <xf numFmtId="4" fontId="34" fillId="19" borderId="81" xfId="0" applyNumberFormat="1" applyFont="1" applyFill="1" applyBorder="1" applyAlignment="1">
      <alignment horizontal="center" vertical="center" wrapText="1"/>
    </xf>
    <xf numFmtId="4" fontId="35" fillId="19" borderId="82" xfId="0" applyNumberFormat="1" applyFont="1" applyFill="1" applyBorder="1" applyAlignment="1">
      <alignment horizontal="center" vertical="center" wrapText="1"/>
    </xf>
    <xf numFmtId="4" fontId="34" fillId="28" borderId="81" xfId="0" applyNumberFormat="1" applyFont="1" applyFill="1" applyBorder="1" applyAlignment="1">
      <alignment horizontal="center" vertical="center" wrapText="1"/>
    </xf>
    <xf numFmtId="4" fontId="35" fillId="28" borderId="82" xfId="0" applyNumberFormat="1" applyFont="1" applyFill="1" applyBorder="1" applyAlignment="1">
      <alignment horizontal="center" vertical="center" wrapText="1"/>
    </xf>
    <xf numFmtId="4" fontId="34" fillId="36" borderId="81" xfId="0" applyNumberFormat="1" applyFont="1" applyFill="1" applyBorder="1" applyAlignment="1">
      <alignment horizontal="center" vertical="center" wrapText="1"/>
    </xf>
    <xf numFmtId="4" fontId="35" fillId="36" borderId="80" xfId="0" applyNumberFormat="1" applyFont="1" applyFill="1" applyBorder="1" applyAlignment="1">
      <alignment horizontal="center" vertical="center" wrapText="1"/>
    </xf>
    <xf numFmtId="0" fontId="29" fillId="0" borderId="0" xfId="0" applyFont="1"/>
    <xf numFmtId="4" fontId="36" fillId="18" borderId="14" xfId="0" applyNumberFormat="1" applyFont="1" applyFill="1" applyBorder="1" applyAlignment="1">
      <alignment horizontal="center" vertical="center"/>
    </xf>
    <xf numFmtId="9" fontId="34" fillId="42" borderId="79" xfId="0" applyNumberFormat="1" applyFont="1" applyFill="1" applyBorder="1" applyAlignment="1">
      <alignment horizontal="center" vertical="center" wrapText="1"/>
    </xf>
    <xf numFmtId="4" fontId="34" fillId="34" borderId="79" xfId="0" applyNumberFormat="1" applyFont="1" applyFill="1" applyBorder="1" applyAlignment="1">
      <alignment horizontal="center" vertical="center" wrapText="1"/>
    </xf>
    <xf numFmtId="4" fontId="34" fillId="34" borderId="85" xfId="0" applyNumberFormat="1" applyFont="1" applyFill="1" applyBorder="1" applyAlignment="1">
      <alignment horizontal="center" vertical="center" wrapText="1"/>
    </xf>
    <xf numFmtId="4" fontId="35" fillId="34" borderId="80" xfId="0" applyNumberFormat="1" applyFont="1" applyFill="1" applyBorder="1" applyAlignment="1">
      <alignment horizontal="center" vertical="center" wrapText="1"/>
    </xf>
    <xf numFmtId="4" fontId="34" fillId="35" borderId="83" xfId="0" applyNumberFormat="1" applyFont="1" applyFill="1" applyBorder="1" applyAlignment="1">
      <alignment horizontal="center" vertical="center" wrapText="1"/>
    </xf>
    <xf numFmtId="4" fontId="34" fillId="35" borderId="79" xfId="0" applyNumberFormat="1" applyFont="1" applyFill="1" applyBorder="1" applyAlignment="1">
      <alignment horizontal="center" vertical="center" wrapText="1"/>
    </xf>
    <xf numFmtId="4" fontId="35" fillId="35" borderId="82" xfId="0" applyNumberFormat="1" applyFont="1" applyFill="1" applyBorder="1" applyAlignment="1">
      <alignment horizontal="center" vertical="center" wrapText="1"/>
    </xf>
    <xf numFmtId="0" fontId="29" fillId="0" borderId="86" xfId="0" applyNumberFormat="1" applyFont="1" applyBorder="1" applyAlignment="1">
      <alignment vertical="top"/>
    </xf>
    <xf numFmtId="49" fontId="29" fillId="0" borderId="14" xfId="0" applyNumberFormat="1" applyFont="1" applyBorder="1" applyAlignment="1">
      <alignment vertical="top"/>
    </xf>
    <xf numFmtId="49" fontId="29" fillId="0" borderId="14" xfId="0" applyNumberFormat="1" applyFont="1" applyBorder="1" applyAlignment="1">
      <alignment vertical="top" shrinkToFit="1"/>
    </xf>
    <xf numFmtId="4" fontId="36" fillId="37" borderId="14" xfId="0" applyNumberFormat="1" applyFont="1" applyFill="1" applyBorder="1" applyAlignment="1">
      <alignment vertical="top"/>
    </xf>
    <xf numFmtId="4" fontId="36" fillId="4" borderId="14" xfId="0" applyNumberFormat="1" applyFont="1" applyFill="1" applyBorder="1" applyAlignment="1">
      <alignment vertical="top"/>
    </xf>
    <xf numFmtId="9" fontId="36" fillId="0" borderId="14" xfId="0" applyNumberFormat="1" applyFont="1" applyFill="1" applyBorder="1" applyAlignment="1">
      <alignment vertical="top"/>
    </xf>
    <xf numFmtId="4" fontId="37" fillId="4" borderId="14" xfId="0" applyNumberFormat="1" applyFont="1" applyFill="1" applyBorder="1" applyAlignment="1">
      <alignment vertical="top"/>
    </xf>
    <xf numFmtId="9" fontId="36" fillId="42" borderId="14" xfId="0" applyNumberFormat="1" applyFont="1" applyFill="1" applyBorder="1" applyAlignment="1">
      <alignment vertical="top"/>
    </xf>
    <xf numFmtId="4" fontId="36" fillId="23" borderId="14" xfId="0" applyNumberFormat="1" applyFont="1" applyFill="1" applyBorder="1" applyAlignment="1">
      <alignment vertical="top"/>
    </xf>
    <xf numFmtId="4" fontId="36" fillId="23" borderId="86" xfId="0" applyNumberFormat="1" applyFont="1" applyFill="1" applyBorder="1" applyAlignment="1">
      <alignment vertical="top"/>
    </xf>
    <xf numFmtId="4" fontId="36" fillId="4" borderId="21" xfId="0" applyNumberFormat="1" applyFont="1" applyFill="1" applyBorder="1" applyAlignment="1">
      <alignment vertical="top"/>
    </xf>
    <xf numFmtId="4" fontId="37" fillId="0" borderId="87" xfId="0" applyNumberFormat="1" applyFont="1" applyFill="1" applyBorder="1" applyAlignment="1">
      <alignment vertical="top"/>
    </xf>
    <xf numFmtId="4" fontId="36" fillId="23" borderId="21" xfId="0" applyNumberFormat="1" applyFont="1" applyFill="1" applyBorder="1" applyAlignment="1">
      <alignment vertical="top"/>
    </xf>
    <xf numFmtId="4" fontId="36" fillId="38" borderId="14" xfId="0" applyNumberFormat="1" applyFont="1" applyFill="1" applyBorder="1" applyAlignment="1">
      <alignment vertical="top"/>
    </xf>
    <xf numFmtId="4" fontId="37" fillId="0" borderId="88" xfId="0" applyNumberFormat="1" applyFont="1" applyFill="1" applyBorder="1" applyAlignment="1">
      <alignment vertical="top"/>
    </xf>
    <xf numFmtId="4" fontId="36" fillId="23" borderId="62" xfId="0" applyNumberFormat="1" applyFont="1" applyFill="1" applyBorder="1" applyAlignment="1">
      <alignment vertical="top"/>
    </xf>
    <xf numFmtId="4" fontId="36" fillId="39" borderId="89" xfId="0" applyNumberFormat="1" applyFont="1" applyFill="1" applyBorder="1" applyAlignment="1">
      <alignment vertical="top"/>
    </xf>
    <xf numFmtId="4" fontId="36" fillId="38" borderId="21" xfId="0" applyNumberFormat="1" applyFont="1" applyFill="1" applyBorder="1" applyAlignment="1">
      <alignment vertical="top"/>
    </xf>
    <xf numFmtId="4" fontId="36" fillId="24" borderId="89" xfId="0" applyNumberFormat="1" applyFont="1" applyFill="1" applyBorder="1" applyAlignment="1">
      <alignment vertical="top"/>
    </xf>
    <xf numFmtId="4" fontId="36" fillId="24" borderId="21" xfId="0" applyNumberFormat="1" applyFont="1" applyFill="1" applyBorder="1" applyAlignment="1">
      <alignment vertical="top"/>
    </xf>
    <xf numFmtId="4" fontId="37" fillId="0" borderId="90" xfId="0" applyNumberFormat="1" applyFont="1" applyFill="1" applyBorder="1" applyAlignment="1">
      <alignment vertical="top"/>
    </xf>
    <xf numFmtId="4" fontId="34" fillId="38" borderId="21" xfId="0" applyNumberFormat="1" applyFont="1" applyFill="1" applyBorder="1" applyAlignment="1">
      <alignment vertical="top"/>
    </xf>
    <xf numFmtId="4" fontId="37" fillId="0" borderId="71" xfId="0" applyNumberFormat="1" applyFont="1" applyFill="1" applyBorder="1" applyAlignment="1">
      <alignment vertical="top"/>
    </xf>
    <xf numFmtId="4" fontId="36" fillId="23" borderId="91" xfId="0" applyNumberFormat="1" applyFont="1" applyFill="1" applyBorder="1" applyAlignment="1">
      <alignment vertical="top"/>
    </xf>
    <xf numFmtId="4" fontId="37" fillId="0" borderId="92" xfId="0" applyNumberFormat="1" applyFont="1" applyFill="1" applyBorder="1" applyAlignment="1">
      <alignment vertical="top"/>
    </xf>
    <xf numFmtId="49" fontId="29" fillId="0" borderId="14" xfId="0" applyNumberFormat="1" applyFont="1" applyBorder="1" applyAlignment="1">
      <alignment horizontal="right" vertical="top"/>
    </xf>
    <xf numFmtId="4" fontId="36" fillId="23" borderId="71" xfId="0" applyNumberFormat="1" applyFont="1" applyFill="1" applyBorder="1" applyAlignment="1">
      <alignment vertical="top"/>
    </xf>
    <xf numFmtId="0" fontId="29" fillId="0" borderId="86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 shrinkToFit="1"/>
    </xf>
    <xf numFmtId="4" fontId="36" fillId="0" borderId="14" xfId="0" applyNumberFormat="1" applyFont="1" applyFill="1" applyBorder="1" applyAlignment="1">
      <alignment vertical="top"/>
    </xf>
    <xf numFmtId="4" fontId="36" fillId="0" borderId="21" xfId="0" applyNumberFormat="1" applyFont="1" applyFill="1" applyBorder="1" applyAlignment="1">
      <alignment vertical="top"/>
    </xf>
    <xf numFmtId="4" fontId="36" fillId="37" borderId="21" xfId="0" applyNumberFormat="1" applyFont="1" applyFill="1" applyBorder="1" applyAlignment="1">
      <alignment vertical="top"/>
    </xf>
    <xf numFmtId="4" fontId="36" fillId="37" borderId="62" xfId="0" applyNumberFormat="1" applyFont="1" applyFill="1" applyBorder="1" applyAlignment="1">
      <alignment vertical="top"/>
    </xf>
    <xf numFmtId="4" fontId="36" fillId="37" borderId="89" xfId="0" applyNumberFormat="1" applyFont="1" applyFill="1" applyBorder="1" applyAlignment="1">
      <alignment vertical="top"/>
    </xf>
    <xf numFmtId="4" fontId="36" fillId="37" borderId="91" xfId="0" applyNumberFormat="1" applyFont="1" applyFill="1" applyBorder="1" applyAlignment="1">
      <alignment vertical="top"/>
    </xf>
    <xf numFmtId="4" fontId="34" fillId="0" borderId="21" xfId="0" applyNumberFormat="1" applyFont="1" applyFill="1" applyBorder="1" applyAlignment="1">
      <alignment vertical="top"/>
    </xf>
    <xf numFmtId="0" fontId="29" fillId="4" borderId="86" xfId="0" applyNumberFormat="1" applyFont="1" applyFill="1" applyBorder="1" applyAlignment="1">
      <alignment vertical="top"/>
    </xf>
    <xf numFmtId="49" fontId="29" fillId="4" borderId="14" xfId="0" applyNumberFormat="1" applyFont="1" applyFill="1" applyBorder="1" applyAlignment="1">
      <alignment vertical="top"/>
    </xf>
    <xf numFmtId="49" fontId="29" fillId="4" borderId="14" xfId="0" applyNumberFormat="1" applyFont="1" applyFill="1" applyBorder="1" applyAlignment="1">
      <alignment vertical="top" shrinkToFit="1"/>
    </xf>
    <xf numFmtId="9" fontId="36" fillId="4" borderId="14" xfId="0" applyNumberFormat="1" applyFont="1" applyFill="1" applyBorder="1" applyAlignment="1">
      <alignment vertical="top"/>
    </xf>
    <xf numFmtId="4" fontId="37" fillId="4" borderId="71" xfId="0" applyNumberFormat="1" applyFont="1" applyFill="1" applyBorder="1" applyAlignment="1">
      <alignment vertical="top"/>
    </xf>
    <xf numFmtId="4" fontId="36" fillId="4" borderId="86" xfId="0" applyNumberFormat="1" applyFont="1" applyFill="1" applyBorder="1" applyAlignment="1">
      <alignment vertical="top"/>
    </xf>
    <xf numFmtId="4" fontId="37" fillId="4" borderId="90" xfId="0" applyNumberFormat="1" applyFont="1" applyFill="1" applyBorder="1" applyAlignment="1">
      <alignment vertical="top"/>
    </xf>
    <xf numFmtId="4" fontId="37" fillId="4" borderId="88" xfId="0" applyNumberFormat="1" applyFont="1" applyFill="1" applyBorder="1" applyAlignment="1">
      <alignment vertical="top"/>
    </xf>
    <xf numFmtId="4" fontId="36" fillId="4" borderId="89" xfId="0" applyNumberFormat="1" applyFont="1" applyFill="1" applyBorder="1" applyAlignment="1">
      <alignment vertical="top"/>
    </xf>
    <xf numFmtId="4" fontId="37" fillId="4" borderId="92" xfId="0" applyNumberFormat="1" applyFont="1" applyFill="1" applyBorder="1" applyAlignment="1">
      <alignment vertical="top"/>
    </xf>
    <xf numFmtId="4" fontId="36" fillId="0" borderId="14" xfId="0" applyNumberFormat="1" applyFont="1" applyBorder="1" applyAlignment="1">
      <alignment vertical="top"/>
    </xf>
    <xf numFmtId="4" fontId="37" fillId="4" borderId="87" xfId="0" applyNumberFormat="1" applyFont="1" applyFill="1" applyBorder="1" applyAlignment="1">
      <alignment vertical="top"/>
    </xf>
    <xf numFmtId="4" fontId="36" fillId="0" borderId="21" xfId="0" applyNumberFormat="1" applyFont="1" applyBorder="1" applyAlignment="1">
      <alignment vertical="top"/>
    </xf>
    <xf numFmtId="4" fontId="36" fillId="23" borderId="89" xfId="0" applyNumberFormat="1" applyFont="1" applyFill="1" applyBorder="1" applyAlignment="1">
      <alignment vertical="top"/>
    </xf>
    <xf numFmtId="4" fontId="37" fillId="0" borderId="14" xfId="0" applyNumberFormat="1" applyFont="1" applyFill="1" applyBorder="1" applyAlignment="1">
      <alignment vertical="top"/>
    </xf>
    <xf numFmtId="3" fontId="37" fillId="0" borderId="14" xfId="0" applyNumberFormat="1" applyFont="1" applyFill="1" applyBorder="1" applyAlignment="1">
      <alignment vertical="top"/>
    </xf>
    <xf numFmtId="3" fontId="37" fillId="0" borderId="90" xfId="0" applyNumberFormat="1" applyFont="1" applyFill="1" applyBorder="1" applyAlignment="1">
      <alignment vertical="top"/>
    </xf>
    <xf numFmtId="3" fontId="36" fillId="0" borderId="21" xfId="0" applyNumberFormat="1" applyFont="1" applyBorder="1" applyAlignment="1">
      <alignment vertical="top"/>
    </xf>
    <xf numFmtId="3" fontId="37" fillId="0" borderId="71" xfId="0" applyNumberFormat="1" applyFont="1" applyFill="1" applyBorder="1" applyAlignment="1">
      <alignment vertical="top"/>
    </xf>
    <xf numFmtId="0" fontId="29" fillId="15" borderId="86" xfId="0" applyNumberFormat="1" applyFont="1" applyFill="1" applyBorder="1" applyAlignment="1">
      <alignment vertical="top"/>
    </xf>
    <xf numFmtId="49" fontId="29" fillId="15" borderId="14" xfId="0" applyNumberFormat="1" applyFont="1" applyFill="1" applyBorder="1" applyAlignment="1">
      <alignment vertical="top"/>
    </xf>
    <xf numFmtId="49" fontId="29" fillId="15" borderId="14" xfId="0" applyNumberFormat="1" applyFont="1" applyFill="1" applyBorder="1" applyAlignment="1">
      <alignment vertical="top" shrinkToFit="1"/>
    </xf>
    <xf numFmtId="4" fontId="36" fillId="15" borderId="14" xfId="0" applyNumberFormat="1" applyFont="1" applyFill="1" applyBorder="1" applyAlignment="1">
      <alignment vertical="top"/>
    </xf>
    <xf numFmtId="9" fontId="36" fillId="15" borderId="14" xfId="0" applyNumberFormat="1" applyFont="1" applyFill="1" applyBorder="1" applyAlignment="1">
      <alignment vertical="top"/>
    </xf>
    <xf numFmtId="4" fontId="37" fillId="15" borderId="14" xfId="0" applyNumberFormat="1" applyFont="1" applyFill="1" applyBorder="1" applyAlignment="1">
      <alignment vertical="top"/>
    </xf>
    <xf numFmtId="4" fontId="37" fillId="15" borderId="71" xfId="0" applyNumberFormat="1" applyFont="1" applyFill="1" applyBorder="1" applyAlignment="1">
      <alignment vertical="top"/>
    </xf>
    <xf numFmtId="4" fontId="36" fillId="15" borderId="86" xfId="0" applyNumberFormat="1" applyFont="1" applyFill="1" applyBorder="1" applyAlignment="1">
      <alignment vertical="top"/>
    </xf>
    <xf numFmtId="4" fontId="37" fillId="15" borderId="90" xfId="0" applyNumberFormat="1" applyFont="1" applyFill="1" applyBorder="1" applyAlignment="1">
      <alignment vertical="top"/>
    </xf>
    <xf numFmtId="4" fontId="36" fillId="15" borderId="21" xfId="0" applyNumberFormat="1" applyFont="1" applyFill="1" applyBorder="1" applyAlignment="1">
      <alignment vertical="top"/>
    </xf>
    <xf numFmtId="4" fontId="37" fillId="15" borderId="88" xfId="0" applyNumberFormat="1" applyFont="1" applyFill="1" applyBorder="1" applyAlignment="1">
      <alignment vertical="top"/>
    </xf>
    <xf numFmtId="4" fontId="36" fillId="15" borderId="89" xfId="0" applyNumberFormat="1" applyFont="1" applyFill="1" applyBorder="1" applyAlignment="1">
      <alignment vertical="top"/>
    </xf>
    <xf numFmtId="4" fontId="37" fillId="15" borderId="92" xfId="0" applyNumberFormat="1" applyFont="1" applyFill="1" applyBorder="1" applyAlignment="1">
      <alignment vertical="top"/>
    </xf>
    <xf numFmtId="4" fontId="36" fillId="24" borderId="14" xfId="0" applyNumberFormat="1" applyFont="1" applyFill="1" applyBorder="1" applyAlignment="1">
      <alignment vertical="top"/>
    </xf>
    <xf numFmtId="4" fontId="37" fillId="23" borderId="88" xfId="0" applyNumberFormat="1" applyFont="1" applyFill="1" applyBorder="1" applyAlignment="1">
      <alignment vertical="top"/>
    </xf>
    <xf numFmtId="4" fontId="37" fillId="23" borderId="21" xfId="0" applyNumberFormat="1" applyFont="1" applyFill="1" applyBorder="1" applyAlignment="1">
      <alignment vertical="top"/>
    </xf>
    <xf numFmtId="4" fontId="37" fillId="23" borderId="62" xfId="0" applyNumberFormat="1" applyFont="1" applyFill="1" applyBorder="1" applyAlignment="1">
      <alignment vertical="top"/>
    </xf>
    <xf numFmtId="4" fontId="37" fillId="23" borderId="96" xfId="0" applyNumberFormat="1" applyFont="1" applyFill="1" applyBorder="1" applyAlignment="1">
      <alignment vertical="top"/>
    </xf>
    <xf numFmtId="4" fontId="37" fillId="23" borderId="87" xfId="0" applyNumberFormat="1" applyFont="1" applyFill="1" applyBorder="1" applyAlignment="1">
      <alignment vertical="top"/>
    </xf>
    <xf numFmtId="4" fontId="37" fillId="23" borderId="110" xfId="0" applyNumberFormat="1" applyFont="1" applyFill="1" applyBorder="1" applyAlignment="1">
      <alignment vertical="top"/>
    </xf>
    <xf numFmtId="4" fontId="37" fillId="23" borderId="90" xfId="0" applyNumberFormat="1" applyFont="1" applyFill="1" applyBorder="1" applyAlignment="1">
      <alignment vertical="top"/>
    </xf>
    <xf numFmtId="4" fontId="36" fillId="18" borderId="14" xfId="0" applyNumberFormat="1" applyFont="1" applyFill="1" applyBorder="1" applyAlignment="1">
      <alignment vertical="top"/>
    </xf>
    <xf numFmtId="4" fontId="36" fillId="29" borderId="14" xfId="0" applyNumberFormat="1" applyFont="1" applyFill="1" applyBorder="1" applyAlignment="1">
      <alignment vertical="top"/>
    </xf>
    <xf numFmtId="4" fontId="36" fillId="29" borderId="21" xfId="0" applyNumberFormat="1" applyFont="1" applyFill="1" applyBorder="1" applyAlignment="1">
      <alignment vertical="top"/>
    </xf>
    <xf numFmtId="4" fontId="36" fillId="15" borderId="62" xfId="0" applyNumberFormat="1" applyFont="1" applyFill="1" applyBorder="1" applyAlignment="1">
      <alignment vertical="top"/>
    </xf>
    <xf numFmtId="4" fontId="37" fillId="15" borderId="89" xfId="0" applyNumberFormat="1" applyFont="1" applyFill="1" applyBorder="1" applyAlignment="1">
      <alignment vertical="top"/>
    </xf>
    <xf numFmtId="4" fontId="37" fillId="15" borderId="93" xfId="0" applyNumberFormat="1" applyFont="1" applyFill="1" applyBorder="1" applyAlignment="1">
      <alignment vertical="top"/>
    </xf>
    <xf numFmtId="4" fontId="37" fillId="15" borderId="94" xfId="0" applyNumberFormat="1" applyFont="1" applyFill="1" applyBorder="1" applyAlignment="1">
      <alignment vertical="top"/>
    </xf>
    <xf numFmtId="4" fontId="37" fillId="15" borderId="95" xfId="0" applyNumberFormat="1" applyFont="1" applyFill="1" applyBorder="1" applyAlignment="1">
      <alignment vertical="top"/>
    </xf>
    <xf numFmtId="4" fontId="36" fillId="15" borderId="96" xfId="0" applyNumberFormat="1" applyFont="1" applyFill="1" applyBorder="1" applyAlignment="1">
      <alignment vertical="top"/>
    </xf>
    <xf numFmtId="4" fontId="37" fillId="15" borderId="97" xfId="0" applyNumberFormat="1" applyFont="1" applyFill="1" applyBorder="1" applyAlignment="1">
      <alignment vertical="top"/>
    </xf>
    <xf numFmtId="4" fontId="37" fillId="15" borderId="87" xfId="0" applyNumberFormat="1" applyFont="1" applyFill="1" applyBorder="1" applyAlignment="1">
      <alignment vertical="top"/>
    </xf>
    <xf numFmtId="4" fontId="36" fillId="29" borderId="89" xfId="0" applyNumberFormat="1" applyFont="1" applyFill="1" applyBorder="1" applyAlignment="1">
      <alignment vertical="top"/>
    </xf>
    <xf numFmtId="2" fontId="36" fillId="23" borderId="89" xfId="0" applyNumberFormat="1" applyFont="1" applyFill="1" applyBorder="1" applyAlignment="1">
      <alignment vertical="top"/>
    </xf>
    <xf numFmtId="2" fontId="36" fillId="23" borderId="93" xfId="0" applyNumberFormat="1" applyFont="1" applyFill="1" applyBorder="1" applyAlignment="1">
      <alignment vertical="top"/>
    </xf>
    <xf numFmtId="0" fontId="29" fillId="40" borderId="86" xfId="0" applyNumberFormat="1" applyFont="1" applyFill="1" applyBorder="1" applyAlignment="1">
      <alignment vertical="top"/>
    </xf>
    <xf numFmtId="49" fontId="29" fillId="40" borderId="14" xfId="0" applyNumberFormat="1" applyFont="1" applyFill="1" applyBorder="1" applyAlignment="1">
      <alignment vertical="top"/>
    </xf>
    <xf numFmtId="49" fontId="29" fillId="40" borderId="14" xfId="0" applyNumberFormat="1" applyFont="1" applyFill="1" applyBorder="1" applyAlignment="1">
      <alignment vertical="top" shrinkToFit="1"/>
    </xf>
    <xf numFmtId="4" fontId="36" fillId="40" borderId="14" xfId="0" applyNumberFormat="1" applyFont="1" applyFill="1" applyBorder="1" applyAlignment="1">
      <alignment vertical="top"/>
    </xf>
    <xf numFmtId="9" fontId="36" fillId="40" borderId="14" xfId="0" applyNumberFormat="1" applyFont="1" applyFill="1" applyBorder="1" applyAlignment="1">
      <alignment vertical="top"/>
    </xf>
    <xf numFmtId="4" fontId="37" fillId="40" borderId="14" xfId="0" applyNumberFormat="1" applyFont="1" applyFill="1" applyBorder="1" applyAlignment="1">
      <alignment vertical="top"/>
    </xf>
    <xf numFmtId="4" fontId="37" fillId="40" borderId="71" xfId="0" applyNumberFormat="1" applyFont="1" applyFill="1" applyBorder="1" applyAlignment="1">
      <alignment vertical="top"/>
    </xf>
    <xf numFmtId="4" fontId="36" fillId="40" borderId="86" xfId="0" applyNumberFormat="1" applyFont="1" applyFill="1" applyBorder="1" applyAlignment="1">
      <alignment vertical="top"/>
    </xf>
    <xf numFmtId="4" fontId="37" fillId="40" borderId="90" xfId="0" applyNumberFormat="1" applyFont="1" applyFill="1" applyBorder="1" applyAlignment="1">
      <alignment vertical="top"/>
    </xf>
    <xf numFmtId="4" fontId="36" fillId="40" borderId="21" xfId="0" applyNumberFormat="1" applyFont="1" applyFill="1" applyBorder="1" applyAlignment="1">
      <alignment vertical="top"/>
    </xf>
    <xf numFmtId="4" fontId="37" fillId="40" borderId="88" xfId="0" applyNumberFormat="1" applyFont="1" applyFill="1" applyBorder="1" applyAlignment="1">
      <alignment vertical="top"/>
    </xf>
    <xf numFmtId="4" fontId="37" fillId="40" borderId="62" xfId="0" applyNumberFormat="1" applyFont="1" applyFill="1" applyBorder="1" applyAlignment="1">
      <alignment vertical="top"/>
    </xf>
    <xf numFmtId="4" fontId="36" fillId="40" borderId="89" xfId="0" applyNumberFormat="1" applyFont="1" applyFill="1" applyBorder="1" applyAlignment="1">
      <alignment vertical="top"/>
    </xf>
    <xf numFmtId="4" fontId="37" fillId="40" borderId="96" xfId="0" applyNumberFormat="1" applyFont="1" applyFill="1" applyBorder="1" applyAlignment="1">
      <alignment vertical="top"/>
    </xf>
    <xf numFmtId="0" fontId="29" fillId="0" borderId="86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 shrinkToFit="1"/>
    </xf>
    <xf numFmtId="4" fontId="36" fillId="21" borderId="14" xfId="0" applyNumberFormat="1" applyFont="1" applyFill="1" applyBorder="1" applyAlignment="1">
      <alignment horizontal="center" vertical="center"/>
    </xf>
    <xf numFmtId="9" fontId="36" fillId="21" borderId="14" xfId="0" applyNumberFormat="1" applyFont="1" applyFill="1" applyBorder="1" applyAlignment="1">
      <alignment horizontal="center" vertical="center"/>
    </xf>
    <xf numFmtId="4" fontId="37" fillId="21" borderId="14" xfId="0" applyNumberFormat="1" applyFont="1" applyFill="1" applyBorder="1" applyAlignment="1">
      <alignment horizontal="center" vertical="center"/>
    </xf>
    <xf numFmtId="9" fontId="36" fillId="42" borderId="14" xfId="0" applyNumberFormat="1" applyFont="1" applyFill="1" applyBorder="1" applyAlignment="1">
      <alignment horizontal="center" vertical="center"/>
    </xf>
    <xf numFmtId="4" fontId="36" fillId="25" borderId="14" xfId="0" applyNumberFormat="1" applyFont="1" applyFill="1" applyBorder="1" applyAlignment="1">
      <alignment horizontal="center" vertical="center"/>
    </xf>
    <xf numFmtId="4" fontId="37" fillId="25" borderId="71" xfId="0" applyNumberFormat="1" applyFont="1" applyFill="1" applyBorder="1" applyAlignment="1">
      <alignment horizontal="center" vertical="center"/>
    </xf>
    <xf numFmtId="4" fontId="36" fillId="6" borderId="86" xfId="0" applyNumberFormat="1" applyFont="1" applyFill="1" applyBorder="1" applyAlignment="1">
      <alignment horizontal="center" vertical="center"/>
    </xf>
    <xf numFmtId="4" fontId="36" fillId="6" borderId="14" xfId="0" applyNumberFormat="1" applyFont="1" applyFill="1" applyBorder="1" applyAlignment="1">
      <alignment horizontal="center" vertical="center"/>
    </xf>
    <xf numFmtId="4" fontId="37" fillId="6" borderId="90" xfId="0" applyNumberFormat="1" applyFont="1" applyFill="1" applyBorder="1" applyAlignment="1">
      <alignment horizontal="center" vertical="center"/>
    </xf>
    <xf numFmtId="4" fontId="36" fillId="18" borderId="21" xfId="0" applyNumberFormat="1" applyFont="1" applyFill="1" applyBorder="1" applyAlignment="1">
      <alignment horizontal="center" vertical="center"/>
    </xf>
    <xf numFmtId="4" fontId="37" fillId="18" borderId="88" xfId="0" applyNumberFormat="1" applyFont="1" applyFill="1" applyBorder="1" applyAlignment="1">
      <alignment horizontal="center" vertical="center"/>
    </xf>
    <xf numFmtId="4" fontId="36" fillId="29" borderId="62" xfId="0" applyNumberFormat="1" applyFont="1" applyFill="1" applyBorder="1" applyAlignment="1">
      <alignment horizontal="center" vertical="center"/>
    </xf>
    <xf numFmtId="4" fontId="36" fillId="29" borderId="14" xfId="0" applyNumberFormat="1" applyFont="1" applyFill="1" applyBorder="1" applyAlignment="1">
      <alignment horizontal="center" vertical="center"/>
    </xf>
    <xf numFmtId="4" fontId="37" fillId="29" borderId="88" xfId="0" applyNumberFormat="1" applyFont="1" applyFill="1" applyBorder="1" applyAlignment="1">
      <alignment horizontal="center" vertical="center"/>
    </xf>
    <xf numFmtId="4" fontId="36" fillId="30" borderId="89" xfId="0" applyNumberFormat="1" applyFont="1" applyFill="1" applyBorder="1" applyAlignment="1">
      <alignment horizontal="center" vertical="center"/>
    </xf>
    <xf numFmtId="4" fontId="36" fillId="30" borderId="21" xfId="0" applyNumberFormat="1" applyFont="1" applyFill="1" applyBorder="1" applyAlignment="1">
      <alignment horizontal="center" vertical="center"/>
    </xf>
    <xf numFmtId="4" fontId="37" fillId="30" borderId="71" xfId="0" applyNumberFormat="1" applyFont="1" applyFill="1" applyBorder="1" applyAlignment="1">
      <alignment horizontal="center" vertical="center"/>
    </xf>
    <xf numFmtId="4" fontId="36" fillId="31" borderId="89" xfId="0" applyNumberFormat="1" applyFont="1" applyFill="1" applyBorder="1" applyAlignment="1">
      <alignment horizontal="center" vertical="center"/>
    </xf>
    <xf numFmtId="4" fontId="36" fillId="31" borderId="21" xfId="0" applyNumberFormat="1" applyFont="1" applyFill="1" applyBorder="1" applyAlignment="1">
      <alignment horizontal="center" vertical="center"/>
    </xf>
    <xf numFmtId="4" fontId="37" fillId="31" borderId="88" xfId="0" applyNumberFormat="1" applyFont="1" applyFill="1" applyBorder="1" applyAlignment="1">
      <alignment horizontal="center" vertical="center"/>
    </xf>
    <xf numFmtId="4" fontId="36" fillId="32" borderId="21" xfId="0" applyNumberFormat="1" applyFont="1" applyFill="1" applyBorder="1" applyAlignment="1">
      <alignment horizontal="center" vertical="center"/>
    </xf>
    <xf numFmtId="4" fontId="37" fillId="32" borderId="71" xfId="0" applyNumberFormat="1" applyFont="1" applyFill="1" applyBorder="1" applyAlignment="1">
      <alignment horizontal="center" vertical="center"/>
    </xf>
    <xf numFmtId="9" fontId="36" fillId="33" borderId="89" xfId="0" applyNumberFormat="1" applyFont="1" applyFill="1" applyBorder="1" applyAlignment="1">
      <alignment horizontal="center" vertical="center"/>
    </xf>
    <xf numFmtId="4" fontId="36" fillId="33" borderId="21" xfId="0" applyNumberFormat="1" applyFont="1" applyFill="1" applyBorder="1" applyAlignment="1">
      <alignment horizontal="center" vertical="center"/>
    </xf>
    <xf numFmtId="4" fontId="37" fillId="33" borderId="71" xfId="0" applyNumberFormat="1" applyFont="1" applyFill="1" applyBorder="1" applyAlignment="1">
      <alignment horizontal="center" vertical="center"/>
    </xf>
    <xf numFmtId="4" fontId="36" fillId="10" borderId="86" xfId="0" applyNumberFormat="1" applyFont="1" applyFill="1" applyBorder="1" applyAlignment="1">
      <alignment horizontal="center" vertical="center"/>
    </xf>
    <xf numFmtId="4" fontId="36" fillId="10" borderId="14" xfId="0" applyNumberFormat="1" applyFont="1" applyFill="1" applyBorder="1" applyAlignment="1">
      <alignment horizontal="center" vertical="center"/>
    </xf>
    <xf numFmtId="4" fontId="37" fillId="10" borderId="90" xfId="0" applyNumberFormat="1" applyFont="1" applyFill="1" applyBorder="1" applyAlignment="1">
      <alignment horizontal="center" vertical="center"/>
    </xf>
    <xf numFmtId="4" fontId="36" fillId="22" borderId="21" xfId="0" applyNumberFormat="1" applyFont="1" applyFill="1" applyBorder="1" applyAlignment="1">
      <alignment horizontal="center" vertical="center"/>
    </xf>
    <xf numFmtId="4" fontId="36" fillId="19" borderId="21" xfId="0" applyNumberFormat="1" applyFont="1" applyFill="1" applyBorder="1" applyAlignment="1">
      <alignment horizontal="center" vertical="center"/>
    </xf>
    <xf numFmtId="4" fontId="37" fillId="22" borderId="71" xfId="0" applyNumberFormat="1" applyFont="1" applyFill="1" applyBorder="1" applyAlignment="1">
      <alignment horizontal="center" vertical="center"/>
    </xf>
    <xf numFmtId="4" fontId="36" fillId="41" borderId="89" xfId="0" applyNumberFormat="1" applyFont="1" applyFill="1" applyBorder="1" applyAlignment="1">
      <alignment horizontal="center" vertical="center"/>
    </xf>
    <xf numFmtId="4" fontId="36" fillId="41" borderId="21" xfId="0" applyNumberFormat="1" applyFont="1" applyFill="1" applyBorder="1" applyAlignment="1">
      <alignment horizontal="center" vertical="center"/>
    </xf>
    <xf numFmtId="4" fontId="37" fillId="41" borderId="88" xfId="0" applyNumberFormat="1" applyFont="1" applyFill="1" applyBorder="1" applyAlignment="1">
      <alignment horizontal="center" vertical="center"/>
    </xf>
    <xf numFmtId="4" fontId="36" fillId="35" borderId="21" xfId="0" applyNumberFormat="1" applyFont="1" applyFill="1" applyBorder="1" applyAlignment="1">
      <alignment horizontal="center" vertical="center"/>
    </xf>
    <xf numFmtId="4" fontId="37" fillId="35" borderId="88" xfId="0" applyNumberFormat="1" applyFont="1" applyFill="1" applyBorder="1" applyAlignment="1">
      <alignment horizontal="center" vertical="center"/>
    </xf>
    <xf numFmtId="4" fontId="36" fillId="36" borderId="21" xfId="0" applyNumberFormat="1" applyFont="1" applyFill="1" applyBorder="1" applyAlignment="1">
      <alignment horizontal="center" vertical="center"/>
    </xf>
    <xf numFmtId="4" fontId="37" fillId="36" borderId="90" xfId="0" applyNumberFormat="1" applyFont="1" applyFill="1" applyBorder="1" applyAlignment="1">
      <alignment horizontal="center" vertical="center"/>
    </xf>
    <xf numFmtId="0" fontId="30" fillId="9" borderId="86" xfId="0" applyNumberFormat="1" applyFont="1" applyFill="1" applyBorder="1" applyAlignment="1">
      <alignment vertical="top"/>
    </xf>
    <xf numFmtId="49" fontId="30" fillId="9" borderId="14" xfId="0" applyNumberFormat="1" applyFont="1" applyFill="1" applyBorder="1" applyAlignment="1">
      <alignment vertical="top"/>
    </xf>
    <xf numFmtId="49" fontId="30" fillId="9" borderId="14" xfId="0" applyNumberFormat="1" applyFont="1" applyFill="1" applyBorder="1" applyAlignment="1">
      <alignment vertical="top" shrinkToFit="1"/>
    </xf>
    <xf numFmtId="4" fontId="34" fillId="9" borderId="14" xfId="0" applyNumberFormat="1" applyFont="1" applyFill="1" applyBorder="1" applyAlignment="1">
      <alignment vertical="top"/>
    </xf>
    <xf numFmtId="9" fontId="36" fillId="9" borderId="14" xfId="0" applyNumberFormat="1" applyFont="1" applyFill="1" applyBorder="1" applyAlignment="1">
      <alignment vertical="top"/>
    </xf>
    <xf numFmtId="4" fontId="35" fillId="9" borderId="14" xfId="0" applyNumberFormat="1" applyFont="1" applyFill="1" applyBorder="1" applyAlignment="1">
      <alignment vertical="top"/>
    </xf>
    <xf numFmtId="4" fontId="36" fillId="9" borderId="14" xfId="0" applyNumberFormat="1" applyFont="1" applyFill="1" applyBorder="1" applyAlignment="1">
      <alignment vertical="top"/>
    </xf>
    <xf numFmtId="4" fontId="35" fillId="9" borderId="71" xfId="0" applyNumberFormat="1" applyFont="1" applyFill="1" applyBorder="1" applyAlignment="1">
      <alignment vertical="top"/>
    </xf>
    <xf numFmtId="4" fontId="36" fillId="9" borderId="86" xfId="0" applyNumberFormat="1" applyFont="1" applyFill="1" applyBorder="1" applyAlignment="1">
      <alignment vertical="top"/>
    </xf>
    <xf numFmtId="4" fontId="35" fillId="9" borderId="90" xfId="0" applyNumberFormat="1" applyFont="1" applyFill="1" applyBorder="1" applyAlignment="1">
      <alignment vertical="top"/>
    </xf>
    <xf numFmtId="4" fontId="36" fillId="9" borderId="21" xfId="0" applyNumberFormat="1" applyFont="1" applyFill="1" applyBorder="1" applyAlignment="1">
      <alignment vertical="top"/>
    </xf>
    <xf numFmtId="4" fontId="35" fillId="9" borderId="88" xfId="0" applyNumberFormat="1" applyFont="1" applyFill="1" applyBorder="1" applyAlignment="1">
      <alignment vertical="top"/>
    </xf>
    <xf numFmtId="4" fontId="36" fillId="9" borderId="62" xfId="0" applyNumberFormat="1" applyFont="1" applyFill="1" applyBorder="1" applyAlignment="1">
      <alignment vertical="top"/>
    </xf>
    <xf numFmtId="4" fontId="34" fillId="9" borderId="89" xfId="0" applyNumberFormat="1" applyFont="1" applyFill="1" applyBorder="1" applyAlignment="1">
      <alignment vertical="top"/>
    </xf>
    <xf numFmtId="4" fontId="34" fillId="9" borderId="21" xfId="0" applyNumberFormat="1" applyFont="1" applyFill="1" applyBorder="1" applyAlignment="1">
      <alignment vertical="top"/>
    </xf>
    <xf numFmtId="4" fontId="35" fillId="9" borderId="21" xfId="0" applyNumberFormat="1" applyFont="1" applyFill="1" applyBorder="1" applyAlignment="1">
      <alignment vertical="top"/>
    </xf>
    <xf numFmtId="4" fontId="35" fillId="9" borderId="62" xfId="0" applyNumberFormat="1" applyFont="1" applyFill="1" applyBorder="1" applyAlignment="1">
      <alignment vertical="top"/>
    </xf>
    <xf numFmtId="9" fontId="36" fillId="9" borderId="89" xfId="0" applyNumberFormat="1" applyFont="1" applyFill="1" applyBorder="1" applyAlignment="1">
      <alignment vertical="top"/>
    </xf>
    <xf numFmtId="4" fontId="37" fillId="9" borderId="90" xfId="0" applyNumberFormat="1" applyFont="1" applyFill="1" applyBorder="1" applyAlignment="1">
      <alignment vertical="top"/>
    </xf>
    <xf numFmtId="0" fontId="30" fillId="9" borderId="98" xfId="0" applyNumberFormat="1" applyFont="1" applyFill="1" applyBorder="1" applyAlignment="1">
      <alignment vertical="top"/>
    </xf>
    <xf numFmtId="49" fontId="30" fillId="9" borderId="24" xfId="0" applyNumberFormat="1" applyFont="1" applyFill="1" applyBorder="1" applyAlignment="1">
      <alignment vertical="top"/>
    </xf>
    <xf numFmtId="49" fontId="30" fillId="9" borderId="24" xfId="0" applyNumberFormat="1" applyFont="1" applyFill="1" applyBorder="1" applyAlignment="1">
      <alignment vertical="top" shrinkToFit="1"/>
    </xf>
    <xf numFmtId="4" fontId="34" fillId="9" borderId="24" xfId="0" applyNumberFormat="1" applyFont="1" applyFill="1" applyBorder="1" applyAlignment="1">
      <alignment vertical="top"/>
    </xf>
    <xf numFmtId="9" fontId="36" fillId="9" borderId="24" xfId="0" applyNumberFormat="1" applyFont="1" applyFill="1" applyBorder="1" applyAlignment="1">
      <alignment vertical="top"/>
    </xf>
    <xf numFmtId="4" fontId="35" fillId="9" borderId="24" xfId="0" applyNumberFormat="1" applyFont="1" applyFill="1" applyBorder="1" applyAlignment="1">
      <alignment vertical="top"/>
    </xf>
    <xf numFmtId="9" fontId="36" fillId="42" borderId="24" xfId="0" applyNumberFormat="1" applyFont="1" applyFill="1" applyBorder="1" applyAlignment="1">
      <alignment vertical="top"/>
    </xf>
    <xf numFmtId="4" fontId="36" fillId="9" borderId="24" xfId="0" applyNumberFormat="1" applyFont="1" applyFill="1" applyBorder="1" applyAlignment="1">
      <alignment vertical="top"/>
    </xf>
    <xf numFmtId="4" fontId="35" fillId="9" borderId="73" xfId="0" applyNumberFormat="1" applyFont="1" applyFill="1" applyBorder="1" applyAlignment="1">
      <alignment vertical="top"/>
    </xf>
    <xf numFmtId="4" fontId="36" fillId="9" borderId="98" xfId="0" applyNumberFormat="1" applyFont="1" applyFill="1" applyBorder="1" applyAlignment="1">
      <alignment vertical="top"/>
    </xf>
    <xf numFmtId="4" fontId="35" fillId="9" borderId="99" xfId="0" applyNumberFormat="1" applyFont="1" applyFill="1" applyBorder="1" applyAlignment="1">
      <alignment vertical="top"/>
    </xf>
    <xf numFmtId="4" fontId="36" fillId="9" borderId="76" xfId="0" applyNumberFormat="1" applyFont="1" applyFill="1" applyBorder="1" applyAlignment="1">
      <alignment vertical="top"/>
    </xf>
    <xf numFmtId="4" fontId="35" fillId="9" borderId="100" xfId="0" applyNumberFormat="1" applyFont="1" applyFill="1" applyBorder="1" applyAlignment="1">
      <alignment vertical="top"/>
    </xf>
    <xf numFmtId="4" fontId="36" fillId="9" borderId="75" xfId="0" applyNumberFormat="1" applyFont="1" applyFill="1" applyBorder="1" applyAlignment="1">
      <alignment vertical="top"/>
    </xf>
    <xf numFmtId="4" fontId="34" fillId="9" borderId="101" xfId="0" applyNumberFormat="1" applyFont="1" applyFill="1" applyBorder="1" applyAlignment="1">
      <alignment vertical="top"/>
    </xf>
    <xf numFmtId="4" fontId="34" fillId="9" borderId="76" xfId="0" applyNumberFormat="1" applyFont="1" applyFill="1" applyBorder="1" applyAlignment="1">
      <alignment vertical="top"/>
    </xf>
    <xf numFmtId="4" fontId="35" fillId="9" borderId="76" xfId="0" applyNumberFormat="1" applyFont="1" applyFill="1" applyBorder="1" applyAlignment="1">
      <alignment vertical="top"/>
    </xf>
    <xf numFmtId="4" fontId="35" fillId="9" borderId="75" xfId="0" applyNumberFormat="1" applyFont="1" applyFill="1" applyBorder="1" applyAlignment="1">
      <alignment vertical="top"/>
    </xf>
    <xf numFmtId="9" fontId="36" fillId="9" borderId="101" xfId="0" applyNumberFormat="1" applyFont="1" applyFill="1" applyBorder="1" applyAlignment="1">
      <alignment vertical="top"/>
    </xf>
    <xf numFmtId="4" fontId="37" fillId="9" borderId="99" xfId="0" applyNumberFormat="1" applyFont="1" applyFill="1" applyBorder="1" applyAlignment="1">
      <alignment vertical="top"/>
    </xf>
    <xf numFmtId="0" fontId="30" fillId="9" borderId="102" xfId="0" applyNumberFormat="1" applyFont="1" applyFill="1" applyBorder="1" applyAlignment="1">
      <alignment vertical="top"/>
    </xf>
    <xf numFmtId="49" fontId="30" fillId="9" borderId="103" xfId="0" applyNumberFormat="1" applyFont="1" applyFill="1" applyBorder="1" applyAlignment="1">
      <alignment vertical="top"/>
    </xf>
    <xf numFmtId="49" fontId="30" fillId="9" borderId="103" xfId="0" applyNumberFormat="1" applyFont="1" applyFill="1" applyBorder="1" applyAlignment="1">
      <alignment vertical="top" shrinkToFit="1"/>
    </xf>
    <xf numFmtId="4" fontId="34" fillId="9" borderId="103" xfId="0" applyNumberFormat="1" applyFont="1" applyFill="1" applyBorder="1" applyAlignment="1">
      <alignment vertical="top"/>
    </xf>
    <xf numFmtId="173" fontId="34" fillId="9" borderId="103" xfId="0" applyNumberFormat="1" applyFont="1" applyFill="1" applyBorder="1" applyAlignment="1">
      <alignment vertical="top"/>
    </xf>
    <xf numFmtId="9" fontId="36" fillId="9" borderId="103" xfId="0" applyNumberFormat="1" applyFont="1" applyFill="1" applyBorder="1"/>
    <xf numFmtId="4" fontId="35" fillId="9" borderId="103" xfId="0" applyNumberFormat="1" applyFont="1" applyFill="1" applyBorder="1" applyAlignment="1">
      <alignment vertical="top"/>
    </xf>
    <xf numFmtId="9" fontId="36" fillId="42" borderId="103" xfId="0" applyNumberFormat="1" applyFont="1" applyFill="1" applyBorder="1"/>
    <xf numFmtId="4" fontId="36" fillId="9" borderId="103" xfId="0" applyNumberFormat="1" applyFont="1" applyFill="1" applyBorder="1" applyAlignment="1">
      <alignment vertical="top"/>
    </xf>
    <xf numFmtId="173" fontId="35" fillId="9" borderId="104" xfId="0" applyNumberFormat="1" applyFont="1" applyFill="1" applyBorder="1" applyAlignment="1">
      <alignment vertical="top"/>
    </xf>
    <xf numFmtId="4" fontId="36" fillId="9" borderId="102" xfId="0" applyNumberFormat="1" applyFont="1" applyFill="1" applyBorder="1" applyAlignment="1">
      <alignment vertical="top"/>
    </xf>
    <xf numFmtId="173" fontId="35" fillId="9" borderId="105" xfId="0" applyNumberFormat="1" applyFont="1" applyFill="1" applyBorder="1" applyAlignment="1">
      <alignment vertical="top"/>
    </xf>
    <xf numFmtId="4" fontId="36" fillId="9" borderId="106" xfId="0" applyNumberFormat="1" applyFont="1" applyFill="1" applyBorder="1" applyAlignment="1">
      <alignment vertical="top"/>
    </xf>
    <xf numFmtId="173" fontId="35" fillId="9" borderId="107" xfId="0" applyNumberFormat="1" applyFont="1" applyFill="1" applyBorder="1" applyAlignment="1">
      <alignment vertical="top"/>
    </xf>
    <xf numFmtId="4" fontId="34" fillId="9" borderId="106" xfId="0" applyNumberFormat="1" applyFont="1" applyFill="1" applyBorder="1" applyAlignment="1">
      <alignment vertical="top"/>
    </xf>
    <xf numFmtId="173" fontId="35" fillId="9" borderId="88" xfId="0" applyNumberFormat="1" applyFont="1" applyFill="1" applyBorder="1" applyAlignment="1">
      <alignment vertical="top"/>
    </xf>
    <xf numFmtId="9" fontId="36" fillId="9" borderId="108" xfId="0" applyNumberFormat="1" applyFont="1" applyFill="1" applyBorder="1" applyAlignment="1">
      <alignment vertical="top"/>
    </xf>
    <xf numFmtId="173" fontId="34" fillId="9" borderId="106" xfId="0" applyNumberFormat="1" applyFont="1" applyFill="1" applyBorder="1" applyAlignment="1">
      <alignment vertical="top"/>
    </xf>
    <xf numFmtId="173" fontId="35" fillId="9" borderId="109" xfId="0" applyNumberFormat="1" applyFont="1" applyFill="1" applyBorder="1" applyAlignment="1">
      <alignment vertical="top"/>
    </xf>
    <xf numFmtId="4" fontId="37" fillId="9" borderId="105" xfId="0" applyNumberFormat="1" applyFont="1" applyFill="1" applyBorder="1" applyAlignment="1">
      <alignment vertical="top"/>
    </xf>
    <xf numFmtId="4" fontId="35" fillId="9" borderId="107" xfId="0" applyNumberFormat="1" applyFont="1" applyFill="1" applyBorder="1" applyAlignment="1">
      <alignment vertical="top"/>
    </xf>
    <xf numFmtId="4" fontId="35" fillId="9" borderId="105" xfId="0" applyNumberFormat="1" applyFont="1" applyFill="1" applyBorder="1" applyAlignment="1">
      <alignment vertical="top"/>
    </xf>
    <xf numFmtId="0" fontId="36" fillId="0" borderId="0" xfId="0" applyFont="1"/>
    <xf numFmtId="4" fontId="14" fillId="4" borderId="14" xfId="0" applyNumberFormat="1" applyFont="1" applyFill="1" applyBorder="1" applyAlignment="1">
      <alignment vertical="top"/>
    </xf>
    <xf numFmtId="0" fontId="38" fillId="0" borderId="0" xfId="5" applyFont="1"/>
    <xf numFmtId="0" fontId="39" fillId="0" borderId="0" xfId="0" applyFont="1"/>
    <xf numFmtId="0" fontId="40" fillId="0" borderId="0" xfId="0" applyFont="1"/>
    <xf numFmtId="0" fontId="39" fillId="24" borderId="0" xfId="0" applyFont="1" applyFill="1"/>
    <xf numFmtId="0" fontId="38" fillId="0" borderId="0" xfId="0" applyFont="1"/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2" borderId="2" xfId="5" applyFont="1" applyFill="1" applyBorder="1" applyAlignment="1">
      <alignment horizontal="center" vertical="center"/>
    </xf>
    <xf numFmtId="0" fontId="41" fillId="2" borderId="56" xfId="5" applyFont="1" applyFill="1" applyBorder="1" applyAlignment="1">
      <alignment vertical="center"/>
    </xf>
    <xf numFmtId="0" fontId="41" fillId="4" borderId="3" xfId="5" applyFont="1" applyFill="1" applyBorder="1" applyAlignment="1">
      <alignment horizontal="center" vertical="center" wrapText="1"/>
    </xf>
    <xf numFmtId="3" fontId="41" fillId="2" borderId="15" xfId="5" applyNumberFormat="1" applyFont="1" applyFill="1" applyBorder="1" applyAlignment="1">
      <alignment horizontal="center" vertical="center" wrapText="1"/>
    </xf>
    <xf numFmtId="3" fontId="41" fillId="7" borderId="16" xfId="5" applyNumberFormat="1" applyFont="1" applyFill="1" applyBorder="1" applyAlignment="1">
      <alignment horizontal="center" vertical="center" wrapText="1"/>
    </xf>
    <xf numFmtId="3" fontId="41" fillId="2" borderId="20" xfId="5" applyNumberFormat="1" applyFont="1" applyFill="1" applyBorder="1" applyAlignment="1">
      <alignment horizontal="center" vertical="center" wrapText="1"/>
    </xf>
    <xf numFmtId="3" fontId="41" fillId="2" borderId="13" xfId="5" applyNumberFormat="1" applyFont="1" applyFill="1" applyBorder="1" applyAlignment="1">
      <alignment horizontal="center" vertical="center" wrapText="1"/>
    </xf>
    <xf numFmtId="3" fontId="41" fillId="2" borderId="46" xfId="5" applyNumberFormat="1" applyFont="1" applyFill="1" applyBorder="1" applyAlignment="1">
      <alignment horizontal="center" vertical="center" wrapText="1"/>
    </xf>
    <xf numFmtId="3" fontId="41" fillId="2" borderId="60" xfId="5" applyNumberFormat="1" applyFont="1" applyFill="1" applyBorder="1" applyAlignment="1">
      <alignment horizontal="center" vertical="center" wrapText="1"/>
    </xf>
    <xf numFmtId="3" fontId="41" fillId="2" borderId="72" xfId="5" applyNumberFormat="1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/>
    </xf>
    <xf numFmtId="0" fontId="41" fillId="3" borderId="31" xfId="0" applyFont="1" applyFill="1" applyBorder="1" applyAlignment="1">
      <alignment wrapText="1"/>
    </xf>
    <xf numFmtId="3" fontId="41" fillId="4" borderId="16" xfId="0" applyNumberFormat="1" applyFont="1" applyFill="1" applyBorder="1" applyAlignment="1">
      <alignment wrapText="1"/>
    </xf>
    <xf numFmtId="3" fontId="41" fillId="3" borderId="15" xfId="0" applyNumberFormat="1" applyFont="1" applyFill="1" applyBorder="1" applyAlignment="1">
      <alignment wrapText="1"/>
    </xf>
    <xf numFmtId="3" fontId="41" fillId="7" borderId="16" xfId="0" applyNumberFormat="1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3" fontId="41" fillId="3" borderId="13" xfId="0" applyNumberFormat="1" applyFont="1" applyFill="1" applyBorder="1" applyAlignment="1">
      <alignment wrapText="1"/>
    </xf>
    <xf numFmtId="3" fontId="41" fillId="3" borderId="60" xfId="0" applyNumberFormat="1" applyFont="1" applyFill="1" applyBorder="1" applyAlignment="1">
      <alignment wrapText="1"/>
    </xf>
    <xf numFmtId="3" fontId="41" fillId="3" borderId="46" xfId="0" applyNumberFormat="1" applyFont="1" applyFill="1" applyBorder="1" applyAlignment="1">
      <alignment wrapText="1"/>
    </xf>
    <xf numFmtId="3" fontId="42" fillId="0" borderId="0" xfId="0" applyNumberFormat="1" applyFont="1"/>
    <xf numFmtId="0" fontId="41" fillId="24" borderId="0" xfId="0" applyFont="1" applyFill="1"/>
    <xf numFmtId="0" fontId="39" fillId="3" borderId="43" xfId="0" applyFont="1" applyFill="1" applyBorder="1" applyAlignment="1">
      <alignment horizontal="left" wrapText="1"/>
    </xf>
    <xf numFmtId="3" fontId="41" fillId="4" borderId="10" xfId="0" applyNumberFormat="1" applyFont="1" applyFill="1" applyBorder="1" applyAlignment="1">
      <alignment wrapText="1"/>
    </xf>
    <xf numFmtId="3" fontId="41" fillId="3" borderId="17" xfId="0" applyNumberFormat="1" applyFont="1" applyFill="1" applyBorder="1" applyAlignment="1">
      <alignment wrapText="1"/>
    </xf>
    <xf numFmtId="3" fontId="41" fillId="7" borderId="10" xfId="0" applyNumberFormat="1" applyFont="1" applyFill="1" applyBorder="1" applyAlignment="1">
      <alignment wrapText="1"/>
    </xf>
    <xf numFmtId="3" fontId="41" fillId="3" borderId="42" xfId="0" applyNumberFormat="1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27" xfId="0" applyNumberFormat="1" applyFont="1" applyFill="1" applyBorder="1" applyAlignment="1">
      <alignment wrapText="1"/>
    </xf>
    <xf numFmtId="3" fontId="41" fillId="3" borderId="47" xfId="0" applyNumberFormat="1" applyFont="1" applyFill="1" applyBorder="1" applyAlignment="1">
      <alignment wrapText="1"/>
    </xf>
    <xf numFmtId="3" fontId="39" fillId="24" borderId="0" xfId="0" applyNumberFormat="1" applyFont="1" applyFill="1"/>
    <xf numFmtId="0" fontId="39" fillId="3" borderId="27" xfId="0" applyFont="1" applyFill="1" applyBorder="1" applyAlignment="1">
      <alignment horizontal="left" wrapText="1"/>
    </xf>
    <xf numFmtId="0" fontId="39" fillId="5" borderId="27" xfId="0" applyFont="1" applyFill="1" applyBorder="1" applyAlignment="1">
      <alignment horizontal="right" wrapText="1"/>
    </xf>
    <xf numFmtId="3" fontId="39" fillId="4" borderId="10" xfId="0" applyNumberFormat="1" applyFont="1" applyFill="1" applyBorder="1"/>
    <xf numFmtId="3" fontId="39" fillId="5" borderId="17" xfId="0" applyNumberFormat="1" applyFont="1" applyFill="1" applyBorder="1"/>
    <xf numFmtId="3" fontId="39" fillId="7" borderId="10" xfId="0" applyNumberFormat="1" applyFont="1" applyFill="1" applyBorder="1"/>
    <xf numFmtId="3" fontId="39" fillId="5" borderId="42" xfId="0" applyNumberFormat="1" applyFont="1" applyFill="1" applyBorder="1"/>
    <xf numFmtId="3" fontId="39" fillId="5" borderId="25" xfId="0" applyNumberFormat="1" applyFont="1" applyFill="1" applyBorder="1"/>
    <xf numFmtId="3" fontId="39" fillId="5" borderId="47" xfId="0" applyNumberFormat="1" applyFont="1" applyFill="1" applyBorder="1"/>
    <xf numFmtId="3" fontId="43" fillId="5" borderId="25" xfId="0" applyNumberFormat="1" applyFont="1" applyFill="1" applyBorder="1"/>
    <xf numFmtId="3" fontId="39" fillId="5" borderId="27" xfId="0" applyNumberFormat="1" applyFont="1" applyFill="1" applyBorder="1"/>
    <xf numFmtId="3" fontId="39" fillId="0" borderId="14" xfId="0" applyNumberFormat="1" applyFont="1" applyFill="1" applyBorder="1"/>
    <xf numFmtId="3" fontId="39" fillId="0" borderId="47" xfId="0" applyNumberFormat="1" applyFont="1" applyFill="1" applyBorder="1"/>
    <xf numFmtId="0" fontId="41" fillId="3" borderId="27" xfId="0" applyFont="1" applyFill="1" applyBorder="1" applyAlignment="1">
      <alignment wrapText="1"/>
    </xf>
    <xf numFmtId="3" fontId="41" fillId="7" borderId="17" xfId="0" applyNumberFormat="1" applyFont="1" applyFill="1" applyBorder="1" applyAlignment="1">
      <alignment wrapText="1"/>
    </xf>
    <xf numFmtId="0" fontId="42" fillId="0" borderId="0" xfId="0" applyFont="1"/>
    <xf numFmtId="3" fontId="39" fillId="5" borderId="14" xfId="0" applyNumberFormat="1" applyFont="1" applyFill="1" applyBorder="1"/>
    <xf numFmtId="3" fontId="39" fillId="5" borderId="62" xfId="0" applyNumberFormat="1" applyFont="1" applyFill="1" applyBorder="1"/>
    <xf numFmtId="3" fontId="39" fillId="5" borderId="43" xfId="0" applyNumberFormat="1" applyFont="1" applyFill="1" applyBorder="1"/>
    <xf numFmtId="0" fontId="41" fillId="3" borderId="23" xfId="0" applyFont="1" applyFill="1" applyBorder="1" applyAlignment="1">
      <alignment horizontal="center"/>
    </xf>
    <xf numFmtId="0" fontId="41" fillId="3" borderId="7" xfId="0" applyFont="1" applyFill="1" applyBorder="1" applyAlignment="1">
      <alignment horizontal="left" wrapText="1"/>
    </xf>
    <xf numFmtId="0" fontId="41" fillId="5" borderId="23" xfId="0" applyFont="1" applyFill="1" applyBorder="1" applyAlignment="1">
      <alignment horizontal="center"/>
    </xf>
    <xf numFmtId="0" fontId="39" fillId="5" borderId="7" xfId="0" applyFont="1" applyFill="1" applyBorder="1" applyAlignment="1">
      <alignment horizontal="right" wrapText="1"/>
    </xf>
    <xf numFmtId="3" fontId="39" fillId="4" borderId="11" xfId="0" applyNumberFormat="1" applyFont="1" applyFill="1" applyBorder="1"/>
    <xf numFmtId="3" fontId="39" fillId="5" borderId="58" xfId="0" applyNumberFormat="1" applyFont="1" applyFill="1" applyBorder="1"/>
    <xf numFmtId="3" fontId="39" fillId="7" borderId="11" xfId="0" applyNumberFormat="1" applyFont="1" applyFill="1" applyBorder="1"/>
    <xf numFmtId="3" fontId="39" fillId="5" borderId="21" xfId="0" applyNumberFormat="1" applyFont="1" applyFill="1" applyBorder="1"/>
    <xf numFmtId="0" fontId="44" fillId="5" borderId="23" xfId="0" applyFont="1" applyFill="1" applyBorder="1" applyAlignment="1">
      <alignment horizontal="center"/>
    </xf>
    <xf numFmtId="0" fontId="43" fillId="5" borderId="7" xfId="0" applyFont="1" applyFill="1" applyBorder="1" applyAlignment="1">
      <alignment horizontal="right" wrapText="1"/>
    </xf>
    <xf numFmtId="3" fontId="43" fillId="4" borderId="11" xfId="0" applyNumberFormat="1" applyFont="1" applyFill="1" applyBorder="1"/>
    <xf numFmtId="3" fontId="43" fillId="5" borderId="58" xfId="0" applyNumberFormat="1" applyFont="1" applyFill="1" applyBorder="1"/>
    <xf numFmtId="3" fontId="43" fillId="7" borderId="11" xfId="0" applyNumberFormat="1" applyFont="1" applyFill="1" applyBorder="1"/>
    <xf numFmtId="3" fontId="43" fillId="5" borderId="21" xfId="0" applyNumberFormat="1" applyFont="1" applyFill="1" applyBorder="1"/>
    <xf numFmtId="3" fontId="43" fillId="5" borderId="14" xfId="0" applyNumberFormat="1" applyFont="1" applyFill="1" applyBorder="1"/>
    <xf numFmtId="3" fontId="43" fillId="5" borderId="62" xfId="0" applyNumberFormat="1" applyFont="1" applyFill="1" applyBorder="1"/>
    <xf numFmtId="3" fontId="43" fillId="5" borderId="43" xfId="0" applyNumberFormat="1" applyFont="1" applyFill="1" applyBorder="1"/>
    <xf numFmtId="0" fontId="43" fillId="0" borderId="0" xfId="0" applyFont="1"/>
    <xf numFmtId="0" fontId="43" fillId="24" borderId="0" xfId="0" applyFont="1" applyFill="1"/>
    <xf numFmtId="0" fontId="41" fillId="3" borderId="7" xfId="0" applyFont="1" applyFill="1" applyBorder="1" applyAlignment="1">
      <alignment wrapText="1"/>
    </xf>
    <xf numFmtId="3" fontId="41" fillId="7" borderId="32" xfId="0" applyNumberFormat="1" applyFont="1" applyFill="1" applyBorder="1"/>
    <xf numFmtId="3" fontId="41" fillId="7" borderId="34" xfId="0" applyNumberFormat="1" applyFont="1" applyFill="1" applyBorder="1"/>
    <xf numFmtId="3" fontId="41" fillId="7" borderId="44" xfId="0" applyNumberFormat="1" applyFont="1" applyFill="1" applyBorder="1"/>
    <xf numFmtId="3" fontId="41" fillId="7" borderId="33" xfId="0" applyNumberFormat="1" applyFont="1" applyFill="1" applyBorder="1"/>
    <xf numFmtId="3" fontId="41" fillId="7" borderId="37" xfId="0" applyNumberFormat="1" applyFont="1" applyFill="1" applyBorder="1"/>
    <xf numFmtId="3" fontId="40" fillId="0" borderId="0" xfId="0" applyNumberFormat="1" applyFont="1"/>
    <xf numFmtId="0" fontId="41" fillId="0" borderId="0" xfId="0" applyFont="1"/>
    <xf numFmtId="3" fontId="39" fillId="0" borderId="0" xfId="0" applyNumberFormat="1" applyFont="1"/>
    <xf numFmtId="3" fontId="39" fillId="0" borderId="38" xfId="0" applyNumberFormat="1" applyFont="1" applyBorder="1"/>
    <xf numFmtId="3" fontId="39" fillId="0" borderId="57" xfId="0" applyNumberFormat="1" applyFont="1" applyBorder="1"/>
    <xf numFmtId="3" fontId="39" fillId="0" borderId="69" xfId="0" applyNumberFormat="1" applyFont="1" applyBorder="1"/>
    <xf numFmtId="0" fontId="39" fillId="3" borderId="31" xfId="0" applyFont="1" applyFill="1" applyBorder="1" applyAlignment="1">
      <alignment wrapText="1"/>
    </xf>
    <xf numFmtId="3" fontId="39" fillId="4" borderId="16" xfId="0" applyNumberFormat="1" applyFont="1" applyFill="1" applyBorder="1"/>
    <xf numFmtId="3" fontId="39" fillId="7" borderId="16" xfId="0" applyNumberFormat="1" applyFont="1" applyFill="1" applyBorder="1"/>
    <xf numFmtId="3" fontId="39" fillId="0" borderId="20" xfId="0" applyNumberFormat="1" applyFont="1" applyFill="1" applyBorder="1"/>
    <xf numFmtId="3" fontId="39" fillId="0" borderId="13" xfId="0" applyNumberFormat="1" applyFont="1" applyFill="1" applyBorder="1"/>
    <xf numFmtId="3" fontId="39" fillId="9" borderId="13" xfId="0" applyNumberFormat="1" applyFont="1" applyFill="1" applyBorder="1"/>
    <xf numFmtId="3" fontId="39" fillId="0" borderId="46" xfId="0" applyNumberFormat="1" applyFont="1" applyFill="1" applyBorder="1"/>
    <xf numFmtId="3" fontId="39" fillId="9" borderId="18" xfId="0" applyNumberFormat="1" applyFont="1" applyFill="1" applyBorder="1"/>
    <xf numFmtId="3" fontId="39" fillId="0" borderId="72" xfId="0" applyNumberFormat="1" applyFont="1" applyFill="1" applyBorder="1"/>
    <xf numFmtId="3" fontId="39" fillId="0" borderId="60" xfId="0" applyNumberFormat="1" applyFont="1" applyFill="1" applyBorder="1"/>
    <xf numFmtId="0" fontId="45" fillId="24" borderId="0" xfId="0" applyFont="1" applyFill="1"/>
    <xf numFmtId="0" fontId="39" fillId="3" borderId="7" xfId="0" applyFont="1" applyFill="1" applyBorder="1" applyAlignment="1">
      <alignment wrapText="1"/>
    </xf>
    <xf numFmtId="3" fontId="39" fillId="0" borderId="58" xfId="0" applyNumberFormat="1" applyFont="1" applyFill="1" applyBorder="1"/>
    <xf numFmtId="3" fontId="39" fillId="0" borderId="21" xfId="0" applyNumberFormat="1" applyFont="1" applyFill="1" applyBorder="1"/>
    <xf numFmtId="3" fontId="39" fillId="9" borderId="14" xfId="0" applyNumberFormat="1" applyFont="1" applyFill="1" applyBorder="1"/>
    <xf numFmtId="3" fontId="39" fillId="0" borderId="62" xfId="0" applyNumberFormat="1" applyFont="1" applyFill="1" applyBorder="1"/>
    <xf numFmtId="3" fontId="39" fillId="9" borderId="19" xfId="0" applyNumberFormat="1" applyFont="1" applyFill="1" applyBorder="1"/>
    <xf numFmtId="3" fontId="39" fillId="0" borderId="71" xfId="0" applyNumberFormat="1" applyFont="1" applyFill="1" applyBorder="1"/>
    <xf numFmtId="3" fontId="39" fillId="0" borderId="43" xfId="0" applyNumberFormat="1" applyFont="1" applyFill="1" applyBorder="1"/>
    <xf numFmtId="0" fontId="41" fillId="3" borderId="32" xfId="0" applyFont="1" applyFill="1" applyBorder="1" applyAlignment="1">
      <alignment horizontal="center" wrapText="1"/>
    </xf>
    <xf numFmtId="0" fontId="41" fillId="3" borderId="33" xfId="0" applyFont="1" applyFill="1" applyBorder="1" applyAlignment="1">
      <alignment wrapText="1"/>
    </xf>
    <xf numFmtId="3" fontId="41" fillId="3" borderId="32" xfId="0" applyNumberFormat="1" applyFont="1" applyFill="1" applyBorder="1"/>
    <xf numFmtId="3" fontId="41" fillId="3" borderId="48" xfId="0" applyNumberFormat="1" applyFont="1" applyFill="1" applyBorder="1"/>
    <xf numFmtId="3" fontId="41" fillId="3" borderId="37" xfId="0" applyNumberFormat="1" applyFont="1" applyFill="1" applyBorder="1"/>
    <xf numFmtId="3" fontId="41" fillId="3" borderId="44" xfId="0" applyNumberFormat="1" applyFont="1" applyFill="1" applyBorder="1"/>
    <xf numFmtId="3" fontId="41" fillId="3" borderId="40" xfId="0" applyNumberFormat="1" applyFont="1" applyFill="1" applyBorder="1"/>
    <xf numFmtId="3" fontId="41" fillId="3" borderId="49" xfId="0" applyNumberFormat="1" applyFont="1" applyFill="1" applyBorder="1"/>
    <xf numFmtId="3" fontId="41" fillId="3" borderId="33" xfId="0" applyNumberFormat="1" applyFont="1" applyFill="1" applyBorder="1"/>
    <xf numFmtId="0" fontId="39" fillId="3" borderId="25" xfId="0" applyFont="1" applyFill="1" applyBorder="1" applyAlignment="1">
      <alignment horizontal="center"/>
    </xf>
    <xf numFmtId="3" fontId="39" fillId="7" borderId="17" xfId="0" applyNumberFormat="1" applyFont="1" applyFill="1" applyBorder="1" applyAlignment="1">
      <alignment wrapText="1"/>
    </xf>
    <xf numFmtId="3" fontId="39" fillId="3" borderId="17" xfId="0" applyNumberFormat="1" applyFont="1" applyFill="1" applyBorder="1" applyAlignment="1">
      <alignment wrapText="1"/>
    </xf>
    <xf numFmtId="3" fontId="39" fillId="7" borderId="10" xfId="0" applyNumberFormat="1" applyFont="1" applyFill="1" applyBorder="1" applyAlignment="1">
      <alignment wrapText="1"/>
    </xf>
    <xf numFmtId="3" fontId="39" fillId="3" borderId="42" xfId="0" applyNumberFormat="1" applyFont="1" applyFill="1" applyBorder="1" applyAlignment="1">
      <alignment wrapText="1"/>
    </xf>
    <xf numFmtId="3" fontId="39" fillId="3" borderId="25" xfId="0" applyNumberFormat="1" applyFont="1" applyFill="1" applyBorder="1" applyAlignment="1">
      <alignment wrapText="1"/>
    </xf>
    <xf numFmtId="3" fontId="39" fillId="3" borderId="47" xfId="0" applyNumberFormat="1" applyFont="1" applyFill="1" applyBorder="1" applyAlignment="1">
      <alignment wrapText="1"/>
    </xf>
    <xf numFmtId="3" fontId="39" fillId="3" borderId="23" xfId="0" applyNumberFormat="1" applyFont="1" applyFill="1" applyBorder="1" applyAlignment="1">
      <alignment wrapText="1"/>
    </xf>
    <xf numFmtId="3" fontId="39" fillId="3" borderId="26" xfId="0" applyNumberFormat="1" applyFont="1" applyFill="1" applyBorder="1" applyAlignment="1">
      <alignment wrapText="1"/>
    </xf>
    <xf numFmtId="3" fontId="39" fillId="3" borderId="27" xfId="0" applyNumberFormat="1" applyFont="1" applyFill="1" applyBorder="1" applyAlignment="1">
      <alignment wrapText="1"/>
    </xf>
    <xf numFmtId="0" fontId="39" fillId="5" borderId="25" xfId="0" applyFont="1" applyFill="1" applyBorder="1" applyAlignment="1">
      <alignment horizontal="center"/>
    </xf>
    <xf numFmtId="0" fontId="39" fillId="5" borderId="7" xfId="0" applyFont="1" applyFill="1" applyBorder="1" applyAlignment="1">
      <alignment wrapText="1"/>
    </xf>
    <xf numFmtId="3" fontId="39" fillId="0" borderId="19" xfId="0" applyNumberFormat="1" applyFont="1" applyFill="1" applyBorder="1"/>
    <xf numFmtId="3" fontId="43" fillId="3" borderId="42" xfId="0" applyNumberFormat="1" applyFont="1" applyFill="1" applyBorder="1" applyAlignment="1">
      <alignment wrapText="1"/>
    </xf>
    <xf numFmtId="3" fontId="43" fillId="3" borderId="25" xfId="0" applyNumberFormat="1" applyFont="1" applyFill="1" applyBorder="1" applyAlignment="1">
      <alignment wrapText="1"/>
    </xf>
    <xf numFmtId="3" fontId="43" fillId="3" borderId="47" xfId="0" applyNumberFormat="1" applyFont="1" applyFill="1" applyBorder="1" applyAlignment="1">
      <alignment wrapText="1"/>
    </xf>
    <xf numFmtId="0" fontId="41" fillId="3" borderId="25" xfId="0" applyFont="1" applyFill="1" applyBorder="1" applyAlignment="1">
      <alignment horizontal="center"/>
    </xf>
    <xf numFmtId="3" fontId="41" fillId="3" borderId="23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3" fillId="0" borderId="62" xfId="0" applyNumberFormat="1" applyFont="1" applyFill="1" applyBorder="1"/>
    <xf numFmtId="3" fontId="43" fillId="7" borderId="10" xfId="0" applyNumberFormat="1" applyFont="1" applyFill="1" applyBorder="1" applyAlignment="1">
      <alignment wrapText="1"/>
    </xf>
    <xf numFmtId="3" fontId="43" fillId="3" borderId="23" xfId="0" applyNumberFormat="1" applyFont="1" applyFill="1" applyBorder="1" applyAlignment="1">
      <alignment wrapText="1"/>
    </xf>
    <xf numFmtId="3" fontId="43" fillId="3" borderId="14" xfId="0" applyNumberFormat="1" applyFont="1" applyFill="1" applyBorder="1" applyAlignment="1">
      <alignment wrapText="1"/>
    </xf>
    <xf numFmtId="3" fontId="43" fillId="3" borderId="27" xfId="0" applyNumberFormat="1" applyFont="1" applyFill="1" applyBorder="1" applyAlignment="1">
      <alignment wrapText="1"/>
    </xf>
    <xf numFmtId="3" fontId="39" fillId="5" borderId="19" xfId="0" applyNumberFormat="1" applyFont="1" applyFill="1" applyBorder="1"/>
    <xf numFmtId="3" fontId="39" fillId="5" borderId="71" xfId="0" applyNumberFormat="1" applyFont="1" applyFill="1" applyBorder="1"/>
    <xf numFmtId="3" fontId="39" fillId="4" borderId="36" xfId="0" applyNumberFormat="1" applyFont="1" applyFill="1" applyBorder="1"/>
    <xf numFmtId="3" fontId="39" fillId="0" borderId="59" xfId="0" applyNumberFormat="1" applyFont="1" applyFill="1" applyBorder="1"/>
    <xf numFmtId="3" fontId="39" fillId="7" borderId="4" xfId="0" applyNumberFormat="1" applyFont="1" applyFill="1" applyBorder="1"/>
    <xf numFmtId="3" fontId="39" fillId="0" borderId="57" xfId="0" applyNumberFormat="1" applyFont="1" applyFill="1" applyBorder="1"/>
    <xf numFmtId="3" fontId="39" fillId="0" borderId="0" xfId="0" applyNumberFormat="1" applyFont="1" applyFill="1" applyBorder="1"/>
    <xf numFmtId="3" fontId="39" fillId="7" borderId="36" xfId="0" applyNumberFormat="1" applyFont="1" applyFill="1" applyBorder="1"/>
    <xf numFmtId="3" fontId="39" fillId="0" borderId="41" xfId="0" applyNumberFormat="1" applyFont="1" applyFill="1" applyBorder="1"/>
    <xf numFmtId="3" fontId="39" fillId="0" borderId="69" xfId="0" applyNumberFormat="1" applyFont="1" applyFill="1" applyBorder="1"/>
    <xf numFmtId="3" fontId="39" fillId="0" borderId="61" xfId="0" applyNumberFormat="1" applyFont="1" applyFill="1" applyBorder="1"/>
    <xf numFmtId="3" fontId="39" fillId="0" borderId="2" xfId="0" applyNumberFormat="1" applyFont="1" applyFill="1" applyBorder="1" applyAlignment="1"/>
    <xf numFmtId="3" fontId="39" fillId="0" borderId="30" xfId="0" applyNumberFormat="1" applyFont="1" applyFill="1" applyBorder="1" applyAlignment="1"/>
    <xf numFmtId="3" fontId="41" fillId="7" borderId="2" xfId="0" applyNumberFormat="1" applyFont="1" applyFill="1" applyBorder="1"/>
    <xf numFmtId="3" fontId="41" fillId="3" borderId="2" xfId="0" applyNumberFormat="1" applyFont="1" applyFill="1" applyBorder="1"/>
    <xf numFmtId="3" fontId="41" fillId="7" borderId="3" xfId="0" applyNumberFormat="1" applyFont="1" applyFill="1" applyBorder="1"/>
    <xf numFmtId="3" fontId="41" fillId="3" borderId="22" xfId="0" applyNumberFormat="1" applyFont="1" applyFill="1" applyBorder="1"/>
    <xf numFmtId="3" fontId="41" fillId="3" borderId="5" xfId="0" applyNumberFormat="1" applyFont="1" applyFill="1" applyBorder="1"/>
    <xf numFmtId="3" fontId="41" fillId="3" borderId="30" xfId="0" applyNumberFormat="1" applyFont="1" applyFill="1" applyBorder="1"/>
    <xf numFmtId="3" fontId="41" fillId="3" borderId="1" xfId="0" applyNumberFormat="1" applyFont="1" applyFill="1" applyBorder="1"/>
    <xf numFmtId="3" fontId="41" fillId="3" borderId="50" xfId="0" applyNumberFormat="1" applyFont="1" applyFill="1" applyBorder="1"/>
    <xf numFmtId="3" fontId="41" fillId="3" borderId="56" xfId="0" applyNumberFormat="1" applyFont="1" applyFill="1" applyBorder="1"/>
    <xf numFmtId="0" fontId="39" fillId="0" borderId="0" xfId="0" applyFont="1" applyAlignment="1">
      <alignment horizontal="center"/>
    </xf>
    <xf numFmtId="0" fontId="39" fillId="24" borderId="0" xfId="0" applyFont="1" applyFill="1" applyAlignment="1">
      <alignment horizontal="center"/>
    </xf>
    <xf numFmtId="0" fontId="40" fillId="24" borderId="0" xfId="0" applyFont="1" applyFill="1"/>
    <xf numFmtId="0" fontId="39" fillId="10" borderId="0" xfId="0" applyFont="1" applyFill="1"/>
    <xf numFmtId="0" fontId="41" fillId="10" borderId="0" xfId="0" applyFont="1" applyFill="1" applyAlignment="1">
      <alignment horizontal="center"/>
    </xf>
    <xf numFmtId="0" fontId="38" fillId="10" borderId="0" xfId="0" applyFont="1" applyFill="1" applyAlignment="1">
      <alignment horizontal="center"/>
    </xf>
    <xf numFmtId="3" fontId="39" fillId="10" borderId="0" xfId="0" applyNumberFormat="1" applyFont="1" applyFill="1"/>
    <xf numFmtId="3" fontId="43" fillId="10" borderId="0" xfId="0" applyNumberFormat="1" applyFont="1" applyFill="1"/>
    <xf numFmtId="3" fontId="47" fillId="10" borderId="0" xfId="0" applyNumberFormat="1" applyFont="1" applyFill="1" applyAlignment="1">
      <alignment horizontal="center"/>
    </xf>
    <xf numFmtId="3" fontId="48" fillId="10" borderId="0" xfId="0" applyNumberFormat="1" applyFont="1" applyFill="1" applyAlignment="1">
      <alignment horizontal="center"/>
    </xf>
    <xf numFmtId="49" fontId="43" fillId="10" borderId="0" xfId="0" applyNumberFormat="1" applyFont="1" applyFill="1"/>
    <xf numFmtId="0" fontId="49" fillId="23" borderId="0" xfId="0" applyFont="1" applyFill="1"/>
    <xf numFmtId="0" fontId="41" fillId="5" borderId="0" xfId="0" applyFont="1" applyFill="1"/>
    <xf numFmtId="0" fontId="41" fillId="5" borderId="0" xfId="0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3" fontId="39" fillId="5" borderId="0" xfId="0" applyNumberFormat="1" applyFont="1" applyFill="1"/>
    <xf numFmtId="3" fontId="43" fillId="5" borderId="0" xfId="0" applyNumberFormat="1" applyFont="1" applyFill="1"/>
    <xf numFmtId="3" fontId="47" fillId="5" borderId="0" xfId="0" applyNumberFormat="1" applyFont="1" applyFill="1" applyAlignment="1">
      <alignment horizontal="center"/>
    </xf>
    <xf numFmtId="3" fontId="48" fillId="5" borderId="0" xfId="0" applyNumberFormat="1" applyFont="1" applyFill="1" applyAlignment="1">
      <alignment horizontal="center"/>
    </xf>
    <xf numFmtId="49" fontId="43" fillId="5" borderId="0" xfId="0" applyNumberFormat="1" applyFont="1" applyFill="1"/>
    <xf numFmtId="0" fontId="39" fillId="5" borderId="0" xfId="0" applyFont="1" applyFill="1"/>
    <xf numFmtId="3" fontId="41" fillId="5" borderId="0" xfId="0" applyNumberFormat="1" applyFont="1" applyFill="1" applyAlignment="1">
      <alignment horizontal="center"/>
    </xf>
    <xf numFmtId="3" fontId="43" fillId="5" borderId="47" xfId="0" applyNumberFormat="1" applyFont="1" applyFill="1" applyBorder="1"/>
    <xf numFmtId="3" fontId="50" fillId="5" borderId="47" xfId="0" applyNumberFormat="1" applyFont="1" applyFill="1" applyBorder="1" applyAlignment="1">
      <alignment horizontal="center"/>
    </xf>
    <xf numFmtId="3" fontId="51" fillId="5" borderId="47" xfId="0" applyNumberFormat="1" applyFont="1" applyFill="1" applyBorder="1" applyAlignment="1">
      <alignment horizontal="center"/>
    </xf>
    <xf numFmtId="49" fontId="43" fillId="5" borderId="47" xfId="0" applyNumberFormat="1" applyFont="1" applyFill="1" applyBorder="1"/>
    <xf numFmtId="0" fontId="41" fillId="0" borderId="44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3" fontId="41" fillId="0" borderId="37" xfId="0" applyNumberFormat="1" applyFont="1" applyBorder="1" applyAlignment="1">
      <alignment horizontal="center" vertical="center" wrapText="1"/>
    </xf>
    <xf numFmtId="3" fontId="44" fillId="4" borderId="52" xfId="0" applyNumberFormat="1" applyFont="1" applyFill="1" applyBorder="1" applyAlignment="1">
      <alignment horizontal="center" vertical="center"/>
    </xf>
    <xf numFmtId="3" fontId="50" fillId="4" borderId="37" xfId="0" applyNumberFormat="1" applyFont="1" applyFill="1" applyBorder="1" applyAlignment="1">
      <alignment horizontal="center" vertical="center"/>
    </xf>
    <xf numFmtId="3" fontId="51" fillId="4" borderId="37" xfId="0" applyNumberFormat="1" applyFont="1" applyFill="1" applyBorder="1" applyAlignment="1">
      <alignment horizontal="center" vertical="center"/>
    </xf>
    <xf numFmtId="49" fontId="44" fillId="4" borderId="37" xfId="0" applyNumberFormat="1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3" fontId="50" fillId="0" borderId="46" xfId="0" applyNumberFormat="1" applyFont="1" applyBorder="1" applyAlignment="1">
      <alignment horizontal="center"/>
    </xf>
    <xf numFmtId="49" fontId="43" fillId="0" borderId="46" xfId="0" applyNumberFormat="1" applyFont="1" applyBorder="1"/>
    <xf numFmtId="0" fontId="41" fillId="0" borderId="45" xfId="0" applyFont="1" applyBorder="1"/>
    <xf numFmtId="0" fontId="41" fillId="0" borderId="45" xfId="0" applyFont="1" applyBorder="1" applyAlignment="1">
      <alignment horizontal="center"/>
    </xf>
    <xf numFmtId="3" fontId="38" fillId="0" borderId="37" xfId="0" applyNumberFormat="1" applyFont="1" applyBorder="1"/>
    <xf numFmtId="3" fontId="41" fillId="0" borderId="37" xfId="0" applyNumberFormat="1" applyFont="1" applyBorder="1"/>
    <xf numFmtId="3" fontId="44" fillId="4" borderId="0" xfId="0" applyNumberFormat="1" applyFont="1" applyFill="1" applyBorder="1"/>
    <xf numFmtId="3" fontId="50" fillId="0" borderId="0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49" fontId="44" fillId="0" borderId="0" xfId="0" applyNumberFormat="1" applyFont="1"/>
    <xf numFmtId="0" fontId="38" fillId="23" borderId="0" xfId="0" applyFont="1" applyFill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3" fontId="52" fillId="0" borderId="0" xfId="0" applyNumberFormat="1" applyFont="1"/>
    <xf numFmtId="3" fontId="43" fillId="0" borderId="0" xfId="0" applyNumberFormat="1" applyFont="1"/>
    <xf numFmtId="3" fontId="47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/>
    </xf>
    <xf numFmtId="49" fontId="43" fillId="0" borderId="0" xfId="0" applyNumberFormat="1" applyFont="1" applyFill="1"/>
    <xf numFmtId="0" fontId="52" fillId="23" borderId="0" xfId="0" applyFont="1" applyFill="1"/>
    <xf numFmtId="0" fontId="39" fillId="0" borderId="0" xfId="0" applyFont="1" applyAlignment="1">
      <alignment horizontal="right"/>
    </xf>
    <xf numFmtId="3" fontId="49" fillId="0" borderId="0" xfId="0" applyNumberFormat="1" applyFont="1"/>
    <xf numFmtId="0" fontId="47" fillId="0" borderId="0" xfId="0" applyFont="1"/>
    <xf numFmtId="0" fontId="47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3" fontId="53" fillId="0" borderId="0" xfId="0" applyNumberFormat="1" applyFont="1"/>
    <xf numFmtId="3" fontId="47" fillId="0" borderId="0" xfId="0" applyNumberFormat="1" applyFont="1"/>
    <xf numFmtId="49" fontId="47" fillId="0" borderId="0" xfId="0" applyNumberFormat="1" applyFont="1" applyFill="1"/>
    <xf numFmtId="0" fontId="53" fillId="23" borderId="0" xfId="0" applyFont="1" applyFill="1"/>
    <xf numFmtId="3" fontId="43" fillId="0" borderId="0" xfId="0" applyNumberFormat="1" applyFont="1" applyFill="1" applyAlignment="1">
      <alignment horizontal="center"/>
    </xf>
    <xf numFmtId="3" fontId="39" fillId="4" borderId="0" xfId="0" applyNumberFormat="1" applyFont="1" applyFill="1"/>
    <xf numFmtId="3" fontId="43" fillId="7" borderId="0" xfId="0" applyNumberFormat="1" applyFont="1" applyFill="1"/>
    <xf numFmtId="0" fontId="41" fillId="0" borderId="44" xfId="0" applyFont="1" applyBorder="1"/>
    <xf numFmtId="0" fontId="41" fillId="0" borderId="44" xfId="0" applyFont="1" applyBorder="1" applyAlignment="1">
      <alignment horizontal="center"/>
    </xf>
    <xf numFmtId="3" fontId="54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38" fillId="0" borderId="37" xfId="0" applyFont="1" applyBorder="1" applyAlignment="1">
      <alignment horizontal="center" vertical="center"/>
    </xf>
    <xf numFmtId="3" fontId="38" fillId="23" borderId="0" xfId="0" applyNumberFormat="1" applyFont="1" applyFill="1"/>
    <xf numFmtId="0" fontId="41" fillId="0" borderId="46" xfId="0" applyFont="1" applyBorder="1"/>
    <xf numFmtId="0" fontId="41" fillId="0" borderId="46" xfId="0" applyFont="1" applyBorder="1" applyAlignment="1">
      <alignment horizontal="center"/>
    </xf>
    <xf numFmtId="3" fontId="38" fillId="0" borderId="25" xfId="0" applyNumberFormat="1" applyFont="1" applyBorder="1"/>
    <xf numFmtId="3" fontId="41" fillId="0" borderId="25" xfId="0" applyNumberFormat="1" applyFont="1" applyBorder="1"/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3" fontId="49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49" fontId="43" fillId="0" borderId="0" xfId="0" applyNumberFormat="1" applyFont="1" applyFill="1" applyAlignment="1">
      <alignment horizontal="left" vertical="center" wrapText="1"/>
    </xf>
    <xf numFmtId="0" fontId="49" fillId="23" borderId="0" xfId="0" applyFont="1" applyFill="1" applyAlignment="1">
      <alignment vertical="center"/>
    </xf>
    <xf numFmtId="3" fontId="43" fillId="0" borderId="0" xfId="0" applyNumberFormat="1" applyFont="1" applyAlignment="1">
      <alignment vertical="center"/>
    </xf>
    <xf numFmtId="49" fontId="43" fillId="0" borderId="0" xfId="0" applyNumberFormat="1" applyFont="1" applyFill="1" applyAlignment="1">
      <alignment vertical="center"/>
    </xf>
    <xf numFmtId="0" fontId="41" fillId="0" borderId="47" xfId="0" applyFont="1" applyBorder="1"/>
    <xf numFmtId="0" fontId="41" fillId="0" borderId="47" xfId="0" applyFont="1" applyBorder="1" applyAlignment="1">
      <alignment horizontal="center"/>
    </xf>
    <xf numFmtId="3" fontId="38" fillId="0" borderId="14" xfId="0" applyNumberFormat="1" applyFont="1" applyBorder="1"/>
    <xf numFmtId="3" fontId="41" fillId="0" borderId="14" xfId="0" applyNumberFormat="1" applyFont="1" applyBorder="1"/>
    <xf numFmtId="49" fontId="48" fillId="0" borderId="0" xfId="0" applyNumberFormat="1" applyFont="1" applyFill="1"/>
    <xf numFmtId="3" fontId="49" fillId="23" borderId="0" xfId="0" applyNumberFormat="1" applyFont="1" applyFill="1"/>
    <xf numFmtId="49" fontId="43" fillId="0" borderId="0" xfId="0" applyNumberFormat="1" applyFont="1" applyFill="1" applyAlignment="1">
      <alignment vertical="center" wrapText="1"/>
    </xf>
    <xf numFmtId="0" fontId="41" fillId="0" borderId="45" xfId="0" applyFont="1" applyBorder="1" applyAlignment="1">
      <alignment horizontal="left"/>
    </xf>
    <xf numFmtId="3" fontId="47" fillId="7" borderId="0" xfId="0" applyNumberFormat="1" applyFont="1" applyFill="1"/>
    <xf numFmtId="3" fontId="44" fillId="0" borderId="0" xfId="0" applyNumberFormat="1" applyFont="1" applyBorder="1"/>
    <xf numFmtId="0" fontId="54" fillId="0" borderId="0" xfId="0" applyFont="1" applyAlignment="1">
      <alignment horizontal="center"/>
    </xf>
    <xf numFmtId="0" fontId="50" fillId="0" borderId="0" xfId="0" applyFont="1"/>
    <xf numFmtId="0" fontId="50" fillId="0" borderId="47" xfId="0" applyFont="1" applyBorder="1"/>
    <xf numFmtId="0" fontId="50" fillId="0" borderId="47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3" fontId="50" fillId="0" borderId="47" xfId="0" applyNumberFormat="1" applyFont="1" applyBorder="1" applyAlignment="1">
      <alignment horizontal="center"/>
    </xf>
    <xf numFmtId="3" fontId="50" fillId="0" borderId="0" xfId="0" applyNumberFormat="1" applyFont="1"/>
    <xf numFmtId="3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/>
    <xf numFmtId="0" fontId="55" fillId="23" borderId="0" xfId="0" applyFont="1" applyFill="1"/>
    <xf numFmtId="166" fontId="55" fillId="0" borderId="0" xfId="8" applyNumberFormat="1" applyFont="1"/>
    <xf numFmtId="166" fontId="50" fillId="0" borderId="0" xfId="8" applyNumberFormat="1" applyFont="1"/>
    <xf numFmtId="0" fontId="44" fillId="0" borderId="0" xfId="0" applyFont="1"/>
    <xf numFmtId="0" fontId="44" fillId="0" borderId="47" xfId="0" applyFont="1" applyBorder="1"/>
    <xf numFmtId="0" fontId="44" fillId="0" borderId="47" xfId="0" applyFont="1" applyBorder="1" applyAlignment="1">
      <alignment horizontal="center"/>
    </xf>
    <xf numFmtId="3" fontId="54" fillId="0" borderId="47" xfId="0" applyNumberFormat="1" applyFont="1" applyBorder="1"/>
    <xf numFmtId="3" fontId="44" fillId="0" borderId="47" xfId="0" applyNumberFormat="1" applyFont="1" applyBorder="1"/>
    <xf numFmtId="3" fontId="44" fillId="0" borderId="0" xfId="0" applyNumberFormat="1" applyFont="1"/>
    <xf numFmtId="3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/>
    <xf numFmtId="3" fontId="54" fillId="23" borderId="0" xfId="0" applyNumberFormat="1" applyFont="1" applyFill="1"/>
    <xf numFmtId="0" fontId="54" fillId="23" borderId="0" xfId="0" applyFont="1" applyFill="1"/>
    <xf numFmtId="0" fontId="49" fillId="0" borderId="0" xfId="0" applyFont="1"/>
    <xf numFmtId="3" fontId="38" fillId="0" borderId="0" xfId="0" applyNumberFormat="1" applyFont="1"/>
    <xf numFmtId="3" fontId="41" fillId="0" borderId="0" xfId="0" applyNumberFormat="1" applyFont="1"/>
    <xf numFmtId="3" fontId="51" fillId="0" borderId="0" xfId="0" applyNumberFormat="1" applyFont="1" applyFill="1" applyAlignment="1">
      <alignment horizontal="center"/>
    </xf>
    <xf numFmtId="0" fontId="44" fillId="0" borderId="45" xfId="0" applyFont="1" applyBorder="1"/>
    <xf numFmtId="0" fontId="44" fillId="0" borderId="45" xfId="0" applyFont="1" applyBorder="1" applyAlignment="1">
      <alignment horizontal="center"/>
    </xf>
    <xf numFmtId="10" fontId="54" fillId="0" borderId="45" xfId="8" applyNumberFormat="1" applyFont="1" applyBorder="1"/>
    <xf numFmtId="10" fontId="44" fillId="0" borderId="45" xfId="8" applyNumberFormat="1" applyFont="1" applyBorder="1"/>
    <xf numFmtId="10" fontId="44" fillId="0" borderId="0" xfId="8" applyNumberFormat="1" applyFont="1" applyBorder="1"/>
    <xf numFmtId="3" fontId="50" fillId="0" borderId="0" xfId="8" applyNumberFormat="1" applyFont="1" applyFill="1" applyBorder="1" applyAlignment="1">
      <alignment horizontal="center"/>
    </xf>
    <xf numFmtId="3" fontId="51" fillId="0" borderId="0" xfId="8" applyNumberFormat="1" applyFont="1" applyFill="1" applyBorder="1" applyAlignment="1">
      <alignment horizontal="center"/>
    </xf>
    <xf numFmtId="43" fontId="56" fillId="0" borderId="0" xfId="1" applyFont="1"/>
    <xf numFmtId="43" fontId="42" fillId="0" borderId="0" xfId="1" applyFont="1"/>
    <xf numFmtId="43" fontId="38" fillId="4" borderId="0" xfId="1" applyFont="1" applyFill="1"/>
    <xf numFmtId="43" fontId="41" fillId="4" borderId="0" xfId="1" applyFont="1" applyFill="1"/>
    <xf numFmtId="0" fontId="39" fillId="0" borderId="0" xfId="0" applyFont="1" applyAlignment="1">
      <alignment horizontal="center" wrapText="1"/>
    </xf>
    <xf numFmtId="3" fontId="41" fillId="23" borderId="0" xfId="0" applyNumberFormat="1" applyFont="1" applyFill="1" applyAlignment="1">
      <alignment horizontal="center"/>
    </xf>
    <xf numFmtId="3" fontId="55" fillId="23" borderId="0" xfId="0" applyNumberFormat="1" applyFont="1" applyFill="1"/>
    <xf numFmtId="0" fontId="41" fillId="0" borderId="0" xfId="0" applyFont="1" applyAlignment="1">
      <alignment horizontal="right"/>
    </xf>
    <xf numFmtId="3" fontId="44" fillId="0" borderId="0" xfId="0" applyNumberFormat="1" applyFont="1" applyAlignment="1">
      <alignment horizontal="center"/>
    </xf>
    <xf numFmtId="3" fontId="54" fillId="0" borderId="0" xfId="0" applyNumberFormat="1" applyFont="1"/>
    <xf numFmtId="43" fontId="41" fillId="0" borderId="0" xfId="1" applyFont="1"/>
    <xf numFmtId="3" fontId="55" fillId="0" borderId="0" xfId="0" applyNumberFormat="1" applyFont="1"/>
    <xf numFmtId="0" fontId="50" fillId="0" borderId="47" xfId="0" applyFont="1" applyBorder="1" applyAlignment="1">
      <alignment horizontal="right"/>
    </xf>
    <xf numFmtId="3" fontId="50" fillId="0" borderId="47" xfId="0" applyNumberFormat="1" applyFont="1" applyBorder="1"/>
    <xf numFmtId="3" fontId="55" fillId="0" borderId="47" xfId="0" applyNumberFormat="1" applyFont="1" applyBorder="1"/>
    <xf numFmtId="3" fontId="50" fillId="0" borderId="47" xfId="0" applyNumberFormat="1" applyFont="1" applyFill="1" applyBorder="1" applyAlignment="1">
      <alignment horizontal="center"/>
    </xf>
    <xf numFmtId="49" fontId="44" fillId="0" borderId="47" xfId="0" applyNumberFormat="1" applyFont="1" applyFill="1" applyBorder="1"/>
    <xf numFmtId="0" fontId="39" fillId="5" borderId="0" xfId="3" applyFont="1" applyFill="1"/>
    <xf numFmtId="0" fontId="50" fillId="5" borderId="0" xfId="0" applyFont="1" applyFill="1" applyAlignment="1">
      <alignment horizontal="right"/>
    </xf>
    <xf numFmtId="3" fontId="50" fillId="5" borderId="0" xfId="0" applyNumberFormat="1" applyFont="1" applyFill="1"/>
    <xf numFmtId="3" fontId="55" fillId="5" borderId="0" xfId="0" applyNumberFormat="1" applyFont="1" applyFill="1"/>
    <xf numFmtId="3" fontId="44" fillId="5" borderId="0" xfId="0" applyNumberFormat="1" applyFont="1" applyFill="1"/>
    <xf numFmtId="3" fontId="50" fillId="5" borderId="0" xfId="0" applyNumberFormat="1" applyFont="1" applyFill="1" applyAlignment="1">
      <alignment horizontal="center"/>
    </xf>
    <xf numFmtId="49" fontId="44" fillId="5" borderId="0" xfId="0" applyNumberFormat="1" applyFont="1" applyFill="1"/>
    <xf numFmtId="0" fontId="39" fillId="23" borderId="0" xfId="0" applyFont="1" applyFill="1"/>
    <xf numFmtId="0" fontId="41" fillId="23" borderId="0" xfId="0" applyFont="1" applyFill="1" applyAlignment="1">
      <alignment horizontal="center"/>
    </xf>
    <xf numFmtId="0" fontId="38" fillId="23" borderId="0" xfId="0" applyFont="1" applyFill="1" applyAlignment="1">
      <alignment horizontal="center"/>
    </xf>
    <xf numFmtId="3" fontId="39" fillId="23" borderId="0" xfId="0" applyNumberFormat="1" applyFont="1" applyFill="1"/>
    <xf numFmtId="3" fontId="43" fillId="23" borderId="0" xfId="0" applyNumberFormat="1" applyFont="1" applyFill="1"/>
    <xf numFmtId="3" fontId="47" fillId="23" borderId="0" xfId="0" applyNumberFormat="1" applyFont="1" applyFill="1" applyAlignment="1">
      <alignment horizontal="center"/>
    </xf>
    <xf numFmtId="3" fontId="48" fillId="23" borderId="0" xfId="0" applyNumberFormat="1" applyFont="1" applyFill="1" applyAlignment="1">
      <alignment horizontal="center"/>
    </xf>
    <xf numFmtId="49" fontId="43" fillId="23" borderId="0" xfId="0" applyNumberFormat="1" applyFont="1" applyFill="1"/>
    <xf numFmtId="3" fontId="57" fillId="23" borderId="0" xfId="0" applyNumberFormat="1" applyFont="1" applyFill="1"/>
    <xf numFmtId="0" fontId="43" fillId="23" borderId="0" xfId="0" applyFont="1" applyFill="1"/>
    <xf numFmtId="4" fontId="43" fillId="23" borderId="0" xfId="0" applyNumberFormat="1" applyFont="1" applyFill="1"/>
    <xf numFmtId="0" fontId="57" fillId="23" borderId="0" xfId="0" applyFont="1" applyFill="1"/>
    <xf numFmtId="0" fontId="38" fillId="5" borderId="0" xfId="5" applyFont="1" applyFill="1" applyAlignment="1">
      <alignment horizontal="left"/>
    </xf>
    <xf numFmtId="0" fontId="38" fillId="5" borderId="0" xfId="5" applyFont="1" applyFill="1" applyAlignment="1">
      <alignment horizontal="center"/>
    </xf>
    <xf numFmtId="0" fontId="49" fillId="5" borderId="0" xfId="5" applyFont="1" applyFill="1"/>
    <xf numFmtId="3" fontId="39" fillId="5" borderId="0" xfId="5" applyNumberFormat="1" applyFont="1" applyFill="1"/>
    <xf numFmtId="3" fontId="41" fillId="5" borderId="0" xfId="5" applyNumberFormat="1" applyFont="1" applyFill="1"/>
    <xf numFmtId="0" fontId="43" fillId="23" borderId="0" xfId="5" applyFont="1" applyFill="1"/>
    <xf numFmtId="4" fontId="43" fillId="23" borderId="0" xfId="5" applyNumberFormat="1" applyFont="1" applyFill="1"/>
    <xf numFmtId="3" fontId="57" fillId="23" borderId="0" xfId="5" applyNumberFormat="1" applyFont="1" applyFill="1"/>
    <xf numFmtId="0" fontId="57" fillId="23" borderId="0" xfId="5" applyFont="1" applyFill="1"/>
    <xf numFmtId="0" fontId="39" fillId="23" borderId="0" xfId="5" applyFont="1" applyFill="1"/>
    <xf numFmtId="0" fontId="38" fillId="5" borderId="0" xfId="0" applyFont="1" applyFill="1"/>
    <xf numFmtId="0" fontId="38" fillId="5" borderId="0" xfId="5" applyFont="1" applyFill="1" applyAlignment="1">
      <alignment wrapText="1"/>
    </xf>
    <xf numFmtId="3" fontId="41" fillId="5" borderId="0" xfId="5" applyNumberFormat="1" applyFont="1" applyFill="1" applyAlignment="1">
      <alignment wrapText="1"/>
    </xf>
    <xf numFmtId="3" fontId="41" fillId="5" borderId="0" xfId="0" applyNumberFormat="1" applyFont="1" applyFill="1"/>
    <xf numFmtId="0" fontId="39" fillId="5" borderId="0" xfId="0" applyFont="1" applyFill="1" applyAlignment="1">
      <alignment wrapText="1"/>
    </xf>
    <xf numFmtId="3" fontId="39" fillId="5" borderId="0" xfId="0" applyNumberFormat="1" applyFont="1" applyFill="1" applyAlignment="1">
      <alignment wrapText="1"/>
    </xf>
    <xf numFmtId="3" fontId="41" fillId="5" borderId="0" xfId="0" applyNumberFormat="1" applyFont="1" applyFill="1" applyAlignment="1">
      <alignment horizontal="right"/>
    </xf>
    <xf numFmtId="49" fontId="43" fillId="23" borderId="0" xfId="0" applyNumberFormat="1" applyFont="1" applyFill="1" applyAlignment="1">
      <alignment horizontal="center"/>
    </xf>
    <xf numFmtId="4" fontId="43" fillId="23" borderId="0" xfId="0" applyNumberFormat="1" applyFont="1" applyFill="1" applyAlignment="1">
      <alignment horizontal="center"/>
    </xf>
    <xf numFmtId="3" fontId="41" fillId="2" borderId="67" xfId="5" applyNumberFormat="1" applyFont="1" applyFill="1" applyBorder="1" applyAlignment="1">
      <alignment horizontal="center" vertical="center" wrapText="1"/>
    </xf>
    <xf numFmtId="3" fontId="41" fillId="2" borderId="4" xfId="5" applyNumberFormat="1" applyFont="1" applyFill="1" applyBorder="1" applyAlignment="1">
      <alignment horizontal="center" vertical="center" wrapText="1"/>
    </xf>
    <xf numFmtId="3" fontId="58" fillId="23" borderId="0" xfId="0" applyNumberFormat="1" applyFont="1" applyFill="1"/>
    <xf numFmtId="0" fontId="58" fillId="23" borderId="0" xfId="0" applyFont="1" applyFill="1"/>
    <xf numFmtId="3" fontId="59" fillId="23" borderId="0" xfId="0" applyNumberFormat="1" applyFont="1" applyFill="1"/>
    <xf numFmtId="0" fontId="59" fillId="23" borderId="0" xfId="0" applyFont="1" applyFill="1"/>
    <xf numFmtId="0" fontId="60" fillId="23" borderId="0" xfId="0" applyFont="1" applyFill="1"/>
    <xf numFmtId="0" fontId="41" fillId="0" borderId="1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41" fillId="0" borderId="6" xfId="0" applyFont="1" applyFill="1" applyBorder="1" applyAlignment="1">
      <alignment wrapText="1"/>
    </xf>
    <xf numFmtId="3" fontId="41" fillId="0" borderId="6" xfId="0" applyNumberFormat="1" applyFont="1" applyFill="1" applyBorder="1" applyAlignment="1">
      <alignment wrapText="1"/>
    </xf>
    <xf numFmtId="3" fontId="41" fillId="0" borderId="3" xfId="0" applyNumberFormat="1" applyFont="1" applyFill="1" applyBorder="1"/>
    <xf numFmtId="4" fontId="58" fillId="23" borderId="0" xfId="0" applyNumberFormat="1" applyFont="1" applyFill="1"/>
    <xf numFmtId="0" fontId="39" fillId="0" borderId="23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9" fillId="0" borderId="7" xfId="0" applyFont="1" applyFill="1" applyBorder="1" applyAlignment="1">
      <alignment wrapText="1"/>
    </xf>
    <xf numFmtId="3" fontId="39" fillId="0" borderId="7" xfId="0" applyNumberFormat="1" applyFont="1" applyFill="1" applyBorder="1" applyAlignment="1">
      <alignment wrapText="1"/>
    </xf>
    <xf numFmtId="3" fontId="39" fillId="5" borderId="11" xfId="0" applyNumberFormat="1" applyFont="1" applyFill="1" applyBorder="1"/>
    <xf numFmtId="4" fontId="61" fillId="23" borderId="0" xfId="0" applyNumberFormat="1" applyFont="1" applyFill="1"/>
    <xf numFmtId="3" fontId="62" fillId="23" borderId="0" xfId="0" applyNumberFormat="1" applyFont="1" applyFill="1"/>
    <xf numFmtId="4" fontId="62" fillId="23" borderId="0" xfId="0" applyNumberFormat="1" applyFont="1" applyFill="1"/>
    <xf numFmtId="0" fontId="39" fillId="0" borderId="19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8" xfId="0" applyFont="1" applyFill="1" applyBorder="1" applyAlignment="1">
      <alignment wrapText="1"/>
    </xf>
    <xf numFmtId="3" fontId="39" fillId="0" borderId="8" xfId="0" applyNumberFormat="1" applyFont="1" applyFill="1" applyBorder="1" applyAlignment="1">
      <alignment wrapText="1"/>
    </xf>
    <xf numFmtId="3" fontId="39" fillId="0" borderId="11" xfId="0" applyNumberFormat="1" applyFont="1" applyFill="1" applyBorder="1"/>
    <xf numFmtId="10" fontId="58" fillId="23" borderId="0" xfId="8" applyNumberFormat="1" applyFont="1" applyFill="1"/>
    <xf numFmtId="4" fontId="64" fillId="23" borderId="0" xfId="0" applyNumberFormat="1" applyFont="1" applyFill="1"/>
    <xf numFmtId="3" fontId="64" fillId="23" borderId="0" xfId="0" applyNumberFormat="1" applyFont="1" applyFill="1"/>
    <xf numFmtId="3" fontId="65" fillId="23" borderId="0" xfId="0" applyNumberFormat="1" applyFont="1" applyFill="1"/>
    <xf numFmtId="3" fontId="61" fillId="23" borderId="0" xfId="0" applyNumberFormat="1" applyFont="1" applyFill="1"/>
    <xf numFmtId="0" fontId="39" fillId="0" borderId="29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9" xfId="0" applyFont="1" applyFill="1" applyBorder="1" applyAlignment="1">
      <alignment wrapText="1"/>
    </xf>
    <xf numFmtId="3" fontId="39" fillId="0" borderId="9" xfId="0" applyNumberFormat="1" applyFont="1" applyFill="1" applyBorder="1" applyAlignment="1">
      <alignment wrapText="1"/>
    </xf>
    <xf numFmtId="0" fontId="66" fillId="3" borderId="2" xfId="0" applyFont="1" applyFill="1" applyBorder="1" applyAlignment="1"/>
    <xf numFmtId="0" fontId="66" fillId="3" borderId="30" xfId="0" applyFont="1" applyFill="1" applyBorder="1" applyAlignment="1"/>
    <xf numFmtId="0" fontId="66" fillId="3" borderId="6" xfId="0" applyFont="1" applyFill="1" applyBorder="1" applyAlignment="1"/>
    <xf numFmtId="3" fontId="66" fillId="3" borderId="3" xfId="0" applyNumberFormat="1" applyFont="1" applyFill="1" applyBorder="1"/>
    <xf numFmtId="4" fontId="54" fillId="23" borderId="0" xfId="0" applyNumberFormat="1" applyFont="1" applyFill="1"/>
    <xf numFmtId="3" fontId="67" fillId="23" borderId="0" xfId="0" applyNumberFormat="1" applyFont="1" applyFill="1"/>
    <xf numFmtId="0" fontId="67" fillId="23" borderId="0" xfId="0" applyFont="1" applyFill="1"/>
    <xf numFmtId="0" fontId="68" fillId="23" borderId="0" xfId="0" applyFont="1" applyFill="1"/>
    <xf numFmtId="0" fontId="39" fillId="0" borderId="0" xfId="0" applyFont="1" applyAlignment="1">
      <alignment wrapText="1"/>
    </xf>
    <xf numFmtId="3" fontId="41" fillId="0" borderId="0" xfId="0" applyNumberFormat="1" applyFont="1" applyAlignment="1">
      <alignment horizontal="right"/>
    </xf>
    <xf numFmtId="0" fontId="66" fillId="0" borderId="23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/>
    </xf>
    <xf numFmtId="0" fontId="45" fillId="0" borderId="7" xfId="0" applyFont="1" applyFill="1" applyBorder="1" applyAlignment="1">
      <alignment vertical="center" wrapText="1"/>
    </xf>
    <xf numFmtId="3" fontId="45" fillId="0" borderId="39" xfId="0" applyNumberFormat="1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/>
    </xf>
    <xf numFmtId="3" fontId="58" fillId="23" borderId="0" xfId="0" applyNumberFormat="1" applyFont="1" applyFill="1" applyAlignment="1">
      <alignment vertical="center"/>
    </xf>
    <xf numFmtId="0" fontId="58" fillId="23" borderId="0" xfId="0" applyFont="1" applyFill="1" applyAlignment="1">
      <alignment vertical="center"/>
    </xf>
    <xf numFmtId="4" fontId="58" fillId="23" borderId="0" xfId="0" applyNumberFormat="1" applyFont="1" applyFill="1" applyAlignment="1">
      <alignment vertical="center"/>
    </xf>
    <xf numFmtId="3" fontId="59" fillId="23" borderId="0" xfId="0" applyNumberFormat="1" applyFont="1" applyFill="1" applyAlignment="1">
      <alignment vertical="center"/>
    </xf>
    <xf numFmtId="0" fontId="59" fillId="23" borderId="0" xfId="0" applyFont="1" applyFill="1" applyAlignment="1">
      <alignment vertical="center"/>
    </xf>
    <xf numFmtId="0" fontId="69" fillId="23" borderId="0" xfId="0" applyFont="1" applyFill="1" applyAlignment="1">
      <alignment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/>
    </xf>
    <xf numFmtId="0" fontId="45" fillId="0" borderId="9" xfId="0" applyFont="1" applyFill="1" applyBorder="1" applyAlignment="1">
      <alignment vertical="center" wrapText="1"/>
    </xf>
    <xf numFmtId="3" fontId="45" fillId="0" borderId="9" xfId="0" applyNumberFormat="1" applyFont="1" applyFill="1" applyBorder="1" applyAlignment="1">
      <alignment vertical="center" wrapText="1"/>
    </xf>
    <xf numFmtId="3" fontId="41" fillId="3" borderId="3" xfId="0" applyNumberFormat="1" applyFont="1" applyFill="1" applyBorder="1"/>
    <xf numFmtId="0" fontId="39" fillId="23" borderId="0" xfId="0" applyFont="1" applyFill="1" applyAlignment="1">
      <alignment wrapText="1"/>
    </xf>
    <xf numFmtId="3" fontId="39" fillId="23" borderId="0" xfId="0" applyNumberFormat="1" applyFont="1" applyFill="1" applyAlignment="1">
      <alignment wrapText="1"/>
    </xf>
    <xf numFmtId="3" fontId="41" fillId="23" borderId="0" xfId="0" applyNumberFormat="1" applyFont="1" applyFill="1"/>
    <xf numFmtId="164" fontId="63" fillId="23" borderId="0" xfId="0" applyNumberFormat="1" applyFont="1" applyFill="1"/>
    <xf numFmtId="0" fontId="39" fillId="0" borderId="14" xfId="0" applyFont="1" applyBorder="1"/>
    <xf numFmtId="3" fontId="39" fillId="0" borderId="14" xfId="0" applyNumberFormat="1" applyFont="1" applyBorder="1"/>
    <xf numFmtId="0" fontId="39" fillId="0" borderId="14" xfId="0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3" fontId="39" fillId="0" borderId="14" xfId="0" applyNumberFormat="1" applyFont="1" applyBorder="1" applyAlignment="1">
      <alignment horizontal="right"/>
    </xf>
    <xf numFmtId="3" fontId="71" fillId="0" borderId="14" xfId="0" applyNumberFormat="1" applyFont="1" applyBorder="1"/>
    <xf numFmtId="0" fontId="41" fillId="0" borderId="14" xfId="0" applyFont="1" applyBorder="1" applyAlignment="1">
      <alignment horizontal="center"/>
    </xf>
    <xf numFmtId="0" fontId="41" fillId="0" borderId="14" xfId="0" applyFont="1" applyBorder="1"/>
    <xf numFmtId="3" fontId="41" fillId="0" borderId="14" xfId="0" applyNumberFormat="1" applyFont="1" applyBorder="1" applyAlignment="1">
      <alignment horizontal="right"/>
    </xf>
    <xf numFmtId="3" fontId="39" fillId="4" borderId="14" xfId="0" applyNumberFormat="1" applyFont="1" applyFill="1" applyBorder="1"/>
    <xf numFmtId="0" fontId="72" fillId="0" borderId="14" xfId="0" applyFont="1" applyBorder="1" applyAlignment="1">
      <alignment horizontal="center"/>
    </xf>
    <xf numFmtId="3" fontId="41" fillId="4" borderId="0" xfId="0" applyNumberFormat="1" applyFont="1" applyFill="1"/>
    <xf numFmtId="3" fontId="43" fillId="0" borderId="14" xfId="0" applyNumberFormat="1" applyFont="1" applyBorder="1"/>
    <xf numFmtId="3" fontId="39" fillId="0" borderId="14" xfId="0" applyNumberFormat="1" applyFont="1" applyBorder="1" applyAlignment="1">
      <alignment horizontal="center"/>
    </xf>
    <xf numFmtId="3" fontId="72" fillId="0" borderId="14" xfId="0" applyNumberFormat="1" applyFont="1" applyBorder="1" applyAlignment="1">
      <alignment horizontal="center"/>
    </xf>
    <xf numFmtId="4" fontId="39" fillId="0" borderId="0" xfId="0" applyNumberFormat="1" applyFont="1"/>
    <xf numFmtId="4" fontId="39" fillId="0" borderId="0" xfId="0" applyNumberFormat="1" applyFont="1" applyAlignment="1">
      <alignment horizontal="center"/>
    </xf>
    <xf numFmtId="0" fontId="41" fillId="0" borderId="0" xfId="5" applyFont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0" fontId="41" fillId="0" borderId="0" xfId="0" applyFont="1" applyFill="1"/>
    <xf numFmtId="4" fontId="39" fillId="0" borderId="0" xfId="0" applyNumberFormat="1" applyFont="1" applyFill="1"/>
    <xf numFmtId="0" fontId="43" fillId="0" borderId="0" xfId="0" applyFont="1" applyFill="1"/>
    <xf numFmtId="4" fontId="39" fillId="0" borderId="0" xfId="0" applyNumberFormat="1" applyFont="1" applyFill="1" applyAlignment="1">
      <alignment horizontal="center"/>
    </xf>
    <xf numFmtId="0" fontId="38" fillId="0" borderId="0" xfId="0" applyFont="1" applyFill="1"/>
    <xf numFmtId="165" fontId="39" fillId="0" borderId="0" xfId="0" applyNumberFormat="1" applyFont="1" applyFill="1" applyAlignment="1">
      <alignment horizontal="right"/>
    </xf>
    <xf numFmtId="169" fontId="41" fillId="0" borderId="0" xfId="0" applyNumberFormat="1" applyFont="1" applyFill="1"/>
    <xf numFmtId="170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0" fontId="41" fillId="2" borderId="1" xfId="5" applyFont="1" applyFill="1" applyBorder="1" applyAlignment="1">
      <alignment horizontal="center" vertical="center"/>
    </xf>
    <xf numFmtId="0" fontId="41" fillId="2" borderId="2" xfId="5" applyFont="1" applyFill="1" applyBorder="1" applyAlignment="1">
      <alignment horizontal="center" vertical="center" wrapText="1"/>
    </xf>
    <xf numFmtId="0" fontId="41" fillId="2" borderId="3" xfId="5" applyFont="1" applyFill="1" applyBorder="1" applyAlignment="1">
      <alignment horizontal="center" vertical="center" wrapText="1"/>
    </xf>
    <xf numFmtId="0" fontId="43" fillId="4" borderId="2" xfId="5" applyFont="1" applyFill="1" applyBorder="1" applyAlignment="1">
      <alignment horizontal="center" vertical="center" wrapText="1"/>
    </xf>
    <xf numFmtId="0" fontId="43" fillId="4" borderId="50" xfId="5" applyFont="1" applyFill="1" applyBorder="1" applyAlignment="1">
      <alignment horizontal="center" vertical="center" wrapText="1"/>
    </xf>
    <xf numFmtId="0" fontId="41" fillId="6" borderId="2" xfId="5" applyFont="1" applyFill="1" applyBorder="1" applyAlignment="1">
      <alignment horizontal="center" vertical="center" wrapText="1"/>
    </xf>
    <xf numFmtId="0" fontId="41" fillId="2" borderId="56" xfId="5" applyFont="1" applyFill="1" applyBorder="1" applyAlignment="1">
      <alignment horizontal="center" vertical="center" wrapText="1"/>
    </xf>
    <xf numFmtId="0" fontId="43" fillId="4" borderId="56" xfId="5" applyFont="1" applyFill="1" applyBorder="1" applyAlignment="1">
      <alignment horizontal="center" vertical="center" wrapText="1"/>
    </xf>
    <xf numFmtId="0" fontId="43" fillId="4" borderId="5" xfId="5" applyFont="1" applyFill="1" applyBorder="1" applyAlignment="1">
      <alignment horizontal="center" vertical="center" wrapText="1"/>
    </xf>
    <xf numFmtId="0" fontId="38" fillId="2" borderId="3" xfId="5" applyFont="1" applyFill="1" applyBorder="1" applyAlignment="1">
      <alignment horizontal="center" vertical="center" wrapText="1"/>
    </xf>
    <xf numFmtId="0" fontId="39" fillId="2" borderId="2" xfId="5" applyFont="1" applyFill="1" applyBorder="1" applyAlignment="1">
      <alignment vertical="center"/>
    </xf>
    <xf numFmtId="0" fontId="39" fillId="2" borderId="30" xfId="5" applyFont="1" applyFill="1" applyBorder="1" applyAlignment="1">
      <alignment vertical="center"/>
    </xf>
    <xf numFmtId="0" fontId="41" fillId="2" borderId="30" xfId="5" applyFont="1" applyFill="1" applyBorder="1" applyAlignment="1">
      <alignment vertical="center"/>
    </xf>
    <xf numFmtId="0" fontId="43" fillId="2" borderId="1" xfId="5" applyFont="1" applyFill="1" applyBorder="1" applyAlignment="1">
      <alignment horizontal="center" vertical="center" wrapText="1"/>
    </xf>
    <xf numFmtId="0" fontId="43" fillId="2" borderId="5" xfId="5" applyFont="1" applyFill="1" applyBorder="1" applyAlignment="1">
      <alignment horizontal="center" vertical="center" wrapText="1"/>
    </xf>
    <xf numFmtId="0" fontId="43" fillId="2" borderId="50" xfId="5" applyFont="1" applyFill="1" applyBorder="1" applyAlignment="1">
      <alignment horizontal="center" vertical="center" wrapText="1"/>
    </xf>
    <xf numFmtId="0" fontId="40" fillId="6" borderId="2" xfId="5" applyFont="1" applyFill="1" applyBorder="1" applyAlignment="1">
      <alignment horizontal="center" vertical="center" wrapText="1"/>
    </xf>
    <xf numFmtId="0" fontId="43" fillId="2" borderId="6" xfId="5" applyFont="1" applyFill="1" applyBorder="1" applyAlignment="1">
      <alignment horizontal="center" vertical="center" wrapText="1"/>
    </xf>
    <xf numFmtId="0" fontId="43" fillId="2" borderId="3" xfId="5" applyFont="1" applyFill="1" applyBorder="1" applyAlignment="1">
      <alignment horizontal="center" vertical="center" wrapText="1"/>
    </xf>
    <xf numFmtId="3" fontId="41" fillId="0" borderId="16" xfId="0" applyNumberFormat="1" applyFont="1" applyFill="1" applyBorder="1"/>
    <xf numFmtId="3" fontId="39" fillId="0" borderId="23" xfId="0" applyNumberFormat="1" applyFont="1" applyFill="1" applyBorder="1"/>
    <xf numFmtId="3" fontId="39" fillId="0" borderId="25" xfId="0" applyNumberFormat="1" applyFont="1" applyFill="1" applyBorder="1"/>
    <xf numFmtId="3" fontId="43" fillId="0" borderId="25" xfId="0" applyNumberFormat="1" applyFont="1" applyFill="1" applyBorder="1"/>
    <xf numFmtId="3" fontId="43" fillId="0" borderId="26" xfId="0" applyNumberFormat="1" applyFont="1" applyFill="1" applyBorder="1"/>
    <xf numFmtId="3" fontId="43" fillId="6" borderId="17" xfId="0" applyNumberFormat="1" applyFont="1" applyFill="1" applyBorder="1"/>
    <xf numFmtId="3" fontId="39" fillId="0" borderId="7" xfId="0" applyNumberFormat="1" applyFont="1" applyFill="1" applyBorder="1"/>
    <xf numFmtId="4" fontId="49" fillId="0" borderId="0" xfId="0" applyNumberFormat="1" applyFont="1"/>
    <xf numFmtId="4" fontId="49" fillId="0" borderId="0" xfId="0" applyNumberFormat="1" applyFont="1" applyAlignment="1">
      <alignment horizontal="center"/>
    </xf>
    <xf numFmtId="3" fontId="41" fillId="0" borderId="10" xfId="0" applyNumberFormat="1" applyFont="1" applyFill="1" applyBorder="1"/>
    <xf numFmtId="3" fontId="41" fillId="0" borderId="11" xfId="0" applyNumberFormat="1" applyFont="1" applyFill="1" applyBorder="1"/>
    <xf numFmtId="3" fontId="43" fillId="0" borderId="14" xfId="0" applyNumberFormat="1" applyFont="1" applyFill="1" applyBorder="1"/>
    <xf numFmtId="3" fontId="43" fillId="0" borderId="71" xfId="0" applyNumberFormat="1" applyFont="1" applyFill="1" applyBorder="1"/>
    <xf numFmtId="3" fontId="40" fillId="6" borderId="58" xfId="0" applyNumberFormat="1" applyFont="1" applyFill="1" applyBorder="1"/>
    <xf numFmtId="3" fontId="39" fillId="0" borderId="8" xfId="0" applyNumberFormat="1" applyFont="1" applyFill="1" applyBorder="1"/>
    <xf numFmtId="3" fontId="41" fillId="3" borderId="34" xfId="0" applyNumberFormat="1" applyFont="1" applyFill="1" applyBorder="1"/>
    <xf numFmtId="3" fontId="44" fillId="3" borderId="37" xfId="0" applyNumberFormat="1" applyFont="1" applyFill="1" applyBorder="1"/>
    <xf numFmtId="3" fontId="44" fillId="3" borderId="49" xfId="0" applyNumberFormat="1" applyFont="1" applyFill="1" applyBorder="1"/>
    <xf numFmtId="3" fontId="42" fillId="6" borderId="32" xfId="0" applyNumberFormat="1" applyFont="1" applyFill="1" applyBorder="1"/>
    <xf numFmtId="3" fontId="41" fillId="3" borderId="35" xfId="0" applyNumberFormat="1" applyFont="1" applyFill="1" applyBorder="1"/>
    <xf numFmtId="3" fontId="38" fillId="3" borderId="34" xfId="0" applyNumberFormat="1" applyFont="1" applyFill="1" applyBorder="1"/>
    <xf numFmtId="3" fontId="39" fillId="6" borderId="17" xfId="0" applyNumberFormat="1" applyFont="1" applyFill="1" applyBorder="1"/>
    <xf numFmtId="3" fontId="39" fillId="6" borderId="58" xfId="0" applyNumberFormat="1" applyFont="1" applyFill="1" applyBorder="1"/>
    <xf numFmtId="3" fontId="40" fillId="21" borderId="58" xfId="0" applyNumberFormat="1" applyFont="1" applyFill="1" applyBorder="1"/>
    <xf numFmtId="3" fontId="43" fillId="4" borderId="14" xfId="0" applyNumberFormat="1" applyFont="1" applyFill="1" applyBorder="1"/>
    <xf numFmtId="4" fontId="49" fillId="4" borderId="0" xfId="0" applyNumberFormat="1" applyFont="1" applyFill="1" applyAlignment="1">
      <alignment horizontal="center"/>
    </xf>
    <xf numFmtId="3" fontId="73" fillId="0" borderId="14" xfId="0" applyNumberFormat="1" applyFont="1" applyFill="1" applyBorder="1"/>
    <xf numFmtId="3" fontId="73" fillId="0" borderId="71" xfId="0" applyNumberFormat="1" applyFont="1" applyFill="1" applyBorder="1"/>
    <xf numFmtId="0" fontId="43" fillId="3" borderId="25" xfId="0" applyFont="1" applyFill="1" applyBorder="1" applyAlignment="1">
      <alignment horizontal="center"/>
    </xf>
    <xf numFmtId="0" fontId="43" fillId="3" borderId="7" xfId="0" applyFont="1" applyFill="1" applyBorder="1" applyAlignment="1">
      <alignment wrapText="1"/>
    </xf>
    <xf numFmtId="3" fontId="44" fillId="0" borderId="11" xfId="0" applyNumberFormat="1" applyFont="1" applyFill="1" applyBorder="1"/>
    <xf numFmtId="3" fontId="43" fillId="0" borderId="19" xfId="0" applyNumberFormat="1" applyFont="1" applyFill="1" applyBorder="1"/>
    <xf numFmtId="3" fontId="43" fillId="0" borderId="8" xfId="0" applyNumberFormat="1" applyFont="1" applyFill="1" applyBorder="1"/>
    <xf numFmtId="0" fontId="39" fillId="3" borderId="62" xfId="0" applyFont="1" applyFill="1" applyBorder="1" applyAlignment="1">
      <alignment horizontal="center"/>
    </xf>
    <xf numFmtId="0" fontId="39" fillId="3" borderId="43" xfId="0" applyFont="1" applyFill="1" applyBorder="1" applyAlignment="1">
      <alignment wrapText="1"/>
    </xf>
    <xf numFmtId="3" fontId="41" fillId="0" borderId="12" xfId="0" applyNumberFormat="1" applyFont="1" applyFill="1" applyBorder="1"/>
    <xf numFmtId="3" fontId="39" fillId="0" borderId="29" xfId="0" applyNumberFormat="1" applyFont="1" applyFill="1" applyBorder="1"/>
    <xf numFmtId="3" fontId="39" fillId="0" borderId="24" xfId="0" applyNumberFormat="1" applyFont="1" applyFill="1" applyBorder="1"/>
    <xf numFmtId="3" fontId="43" fillId="0" borderId="24" xfId="0" applyNumberFormat="1" applyFont="1" applyFill="1" applyBorder="1"/>
    <xf numFmtId="3" fontId="43" fillId="0" borderId="73" xfId="0" applyNumberFormat="1" applyFont="1" applyFill="1" applyBorder="1"/>
    <xf numFmtId="3" fontId="39" fillId="6" borderId="74" xfId="0" applyNumberFormat="1" applyFont="1" applyFill="1" applyBorder="1"/>
    <xf numFmtId="3" fontId="39" fillId="0" borderId="9" xfId="0" applyNumberFormat="1" applyFont="1" applyFill="1" applyBorder="1"/>
    <xf numFmtId="0" fontId="39" fillId="3" borderId="0" xfId="0" applyFont="1" applyFill="1" applyBorder="1" applyAlignment="1">
      <alignment horizontal="center"/>
    </xf>
    <xf numFmtId="0" fontId="39" fillId="3" borderId="27" xfId="0" applyFont="1" applyFill="1" applyBorder="1" applyAlignment="1">
      <alignment wrapText="1"/>
    </xf>
    <xf numFmtId="3" fontId="41" fillId="0" borderId="36" xfId="0" applyNumberFormat="1" applyFont="1" applyFill="1" applyBorder="1"/>
    <xf numFmtId="3" fontId="39" fillId="0" borderId="18" xfId="0" applyNumberFormat="1" applyFont="1" applyFill="1" applyBorder="1"/>
    <xf numFmtId="3" fontId="41" fillId="0" borderId="13" xfId="0" applyNumberFormat="1" applyFont="1" applyFill="1" applyBorder="1"/>
    <xf numFmtId="3" fontId="44" fillId="0" borderId="13" xfId="0" applyNumberFormat="1" applyFont="1" applyFill="1" applyBorder="1"/>
    <xf numFmtId="3" fontId="44" fillId="0" borderId="72" xfId="0" applyNumberFormat="1" applyFont="1" applyFill="1" applyBorder="1"/>
    <xf numFmtId="3" fontId="41" fillId="6" borderId="15" xfId="0" applyNumberFormat="1" applyFont="1" applyFill="1" applyBorder="1"/>
    <xf numFmtId="3" fontId="41" fillId="0" borderId="31" xfId="0" applyNumberFormat="1" applyFont="1" applyFill="1" applyBorder="1"/>
    <xf numFmtId="0" fontId="39" fillId="3" borderId="14" xfId="0" applyFont="1" applyFill="1" applyBorder="1" applyAlignment="1">
      <alignment wrapText="1"/>
    </xf>
    <xf numFmtId="3" fontId="41" fillId="0" borderId="38" xfId="0" applyNumberFormat="1" applyFont="1" applyFill="1" applyBorder="1"/>
    <xf numFmtId="3" fontId="44" fillId="0" borderId="38" xfId="0" applyNumberFormat="1" applyFont="1" applyFill="1" applyBorder="1"/>
    <xf numFmtId="3" fontId="44" fillId="0" borderId="69" xfId="0" applyNumberFormat="1" applyFont="1" applyFill="1" applyBorder="1"/>
    <xf numFmtId="3" fontId="41" fillId="6" borderId="59" xfId="0" applyNumberFormat="1" applyFont="1" applyFill="1" applyBorder="1"/>
    <xf numFmtId="3" fontId="41" fillId="0" borderId="39" xfId="0" applyNumberFormat="1" applyFont="1" applyFill="1" applyBorder="1"/>
    <xf numFmtId="4" fontId="41" fillId="0" borderId="36" xfId="0" applyNumberFormat="1" applyFont="1" applyFill="1" applyBorder="1"/>
    <xf numFmtId="3" fontId="41" fillId="0" borderId="41" xfId="0" applyNumberFormat="1" applyFont="1" applyFill="1" applyBorder="1"/>
    <xf numFmtId="0" fontId="39" fillId="3" borderId="26" xfId="0" applyFont="1" applyFill="1" applyBorder="1" applyAlignment="1">
      <alignment horizontal="center"/>
    </xf>
    <xf numFmtId="3" fontId="43" fillId="5" borderId="71" xfId="0" applyNumberFormat="1" applyFont="1" applyFill="1" applyBorder="1"/>
    <xf numFmtId="3" fontId="41" fillId="0" borderId="29" xfId="0" applyNumberFormat="1" applyFont="1" applyFill="1" applyBorder="1"/>
    <xf numFmtId="3" fontId="41" fillId="0" borderId="24" xfId="0" applyNumberFormat="1" applyFont="1" applyFill="1" applyBorder="1"/>
    <xf numFmtId="3" fontId="44" fillId="0" borderId="24" xfId="0" applyNumberFormat="1" applyFont="1" applyFill="1" applyBorder="1"/>
    <xf numFmtId="3" fontId="44" fillId="0" borderId="73" xfId="0" applyNumberFormat="1" applyFont="1" applyFill="1" applyBorder="1"/>
    <xf numFmtId="3" fontId="41" fillId="6" borderId="74" xfId="0" applyNumberFormat="1" applyFont="1" applyFill="1" applyBorder="1"/>
    <xf numFmtId="3" fontId="41" fillId="0" borderId="9" xfId="0" applyNumberFormat="1" applyFont="1" applyFill="1" applyBorder="1"/>
    <xf numFmtId="0" fontId="39" fillId="3" borderId="28" xfId="0" applyFont="1" applyFill="1" applyBorder="1" applyAlignment="1">
      <alignment wrapText="1"/>
    </xf>
    <xf numFmtId="3" fontId="44" fillId="3" borderId="5" xfId="0" applyNumberFormat="1" applyFont="1" applyFill="1" applyBorder="1"/>
    <xf numFmtId="3" fontId="44" fillId="3" borderId="50" xfId="0" applyNumberFormat="1" applyFont="1" applyFill="1" applyBorder="1"/>
    <xf numFmtId="3" fontId="42" fillId="6" borderId="2" xfId="0" applyNumberFormat="1" applyFont="1" applyFill="1" applyBorder="1"/>
    <xf numFmtId="3" fontId="41" fillId="3" borderId="6" xfId="0" applyNumberFormat="1" applyFont="1" applyFill="1" applyBorder="1"/>
    <xf numFmtId="3" fontId="38" fillId="3" borderId="3" xfId="0" applyNumberFormat="1" applyFont="1" applyFill="1" applyBorder="1"/>
    <xf numFmtId="3" fontId="41" fillId="3" borderId="3" xfId="0" applyNumberFormat="1" applyFont="1" applyFill="1" applyBorder="1" applyAlignment="1">
      <alignment horizontal="right"/>
    </xf>
    <xf numFmtId="3" fontId="41" fillId="5" borderId="0" xfId="0" applyNumberFormat="1" applyFont="1" applyFill="1" applyBorder="1"/>
    <xf numFmtId="3" fontId="42" fillId="5" borderId="0" xfId="0" applyNumberFormat="1" applyFont="1" applyFill="1" applyBorder="1"/>
    <xf numFmtId="3" fontId="44" fillId="5" borderId="0" xfId="0" applyNumberFormat="1" applyFont="1" applyFill="1" applyBorder="1"/>
    <xf numFmtId="3" fontId="38" fillId="0" borderId="0" xfId="0" applyNumberFormat="1" applyFont="1" applyFill="1" applyBorder="1"/>
    <xf numFmtId="165" fontId="39" fillId="5" borderId="0" xfId="0" applyNumberFormat="1" applyFont="1" applyFill="1" applyAlignment="1">
      <alignment horizontal="right"/>
    </xf>
    <xf numFmtId="3" fontId="39" fillId="5" borderId="0" xfId="0" applyNumberFormat="1" applyFont="1" applyFill="1" applyAlignment="1">
      <alignment horizontal="center"/>
    </xf>
    <xf numFmtId="3" fontId="43" fillId="5" borderId="0" xfId="0" applyNumberFormat="1" applyFont="1" applyFill="1" applyAlignment="1">
      <alignment horizontal="center"/>
    </xf>
    <xf numFmtId="3" fontId="40" fillId="5" borderId="0" xfId="0" applyNumberFormat="1" applyFont="1" applyFill="1" applyAlignment="1">
      <alignment horizontal="center"/>
    </xf>
    <xf numFmtId="3" fontId="47" fillId="23" borderId="0" xfId="0" applyNumberFormat="1" applyFont="1" applyFill="1"/>
    <xf numFmtId="4" fontId="39" fillId="23" borderId="0" xfId="0" applyNumberFormat="1" applyFont="1" applyFill="1"/>
    <xf numFmtId="4" fontId="39" fillId="23" borderId="0" xfId="0" applyNumberFormat="1" applyFont="1" applyFill="1" applyAlignment="1">
      <alignment horizontal="center"/>
    </xf>
    <xf numFmtId="0" fontId="39" fillId="23" borderId="0" xfId="0" applyFont="1" applyFill="1" applyAlignment="1">
      <alignment horizontal="center"/>
    </xf>
    <xf numFmtId="0" fontId="41" fillId="23" borderId="0" xfId="0" applyFont="1" applyFill="1"/>
    <xf numFmtId="0" fontId="39" fillId="23" borderId="0" xfId="0" applyFont="1" applyFill="1" applyAlignment="1">
      <alignment horizontal="right"/>
    </xf>
    <xf numFmtId="0" fontId="43" fillId="23" borderId="0" xfId="0" applyFont="1" applyFill="1" applyAlignment="1">
      <alignment horizontal="center"/>
    </xf>
    <xf numFmtId="10" fontId="44" fillId="23" borderId="0" xfId="8" applyNumberFormat="1" applyFont="1" applyFill="1"/>
    <xf numFmtId="0" fontId="41" fillId="5" borderId="0" xfId="10" applyFont="1" applyFill="1" applyBorder="1" applyAlignment="1"/>
    <xf numFmtId="43" fontId="40" fillId="5" borderId="0" xfId="1" applyFont="1" applyFill="1"/>
    <xf numFmtId="0" fontId="40" fillId="5" borderId="0" xfId="3" applyFont="1" applyFill="1"/>
    <xf numFmtId="0" fontId="47" fillId="5" borderId="0" xfId="3" applyFont="1" applyFill="1"/>
    <xf numFmtId="43" fontId="47" fillId="5" borderId="0" xfId="1" applyFont="1" applyFill="1"/>
    <xf numFmtId="172" fontId="40" fillId="5" borderId="0" xfId="1" applyNumberFormat="1" applyFont="1" applyFill="1"/>
    <xf numFmtId="3" fontId="40" fillId="5" borderId="0" xfId="3" applyNumberFormat="1" applyFont="1" applyFill="1"/>
    <xf numFmtId="0" fontId="43" fillId="5" borderId="0" xfId="3" applyFont="1" applyFill="1"/>
    <xf numFmtId="0" fontId="39" fillId="24" borderId="0" xfId="3" applyFont="1" applyFill="1"/>
    <xf numFmtId="167" fontId="41" fillId="5" borderId="0" xfId="0" applyNumberFormat="1" applyFont="1" applyFill="1"/>
    <xf numFmtId="167" fontId="41" fillId="5" borderId="0" xfId="3" applyNumberFormat="1" applyFont="1" applyFill="1"/>
    <xf numFmtId="0" fontId="41" fillId="5" borderId="3" xfId="5" applyFont="1" applyFill="1" applyBorder="1" applyAlignment="1">
      <alignment vertical="center"/>
    </xf>
    <xf numFmtId="3" fontId="43" fillId="5" borderId="0" xfId="3" applyNumberFormat="1" applyFont="1" applyFill="1"/>
    <xf numFmtId="0" fontId="41" fillId="2" borderId="3" xfId="5" applyFont="1" applyFill="1" applyBorder="1" applyAlignment="1">
      <alignment horizontal="center" vertical="center"/>
    </xf>
    <xf numFmtId="0" fontId="41" fillId="2" borderId="70" xfId="5" applyFont="1" applyFill="1" applyBorder="1" applyAlignment="1">
      <alignment horizontal="center" vertical="center"/>
    </xf>
    <xf numFmtId="0" fontId="41" fillId="2" borderId="64" xfId="5" applyFont="1" applyFill="1" applyBorder="1" applyAlignment="1">
      <alignment horizontal="center" vertical="center"/>
    </xf>
    <xf numFmtId="3" fontId="42" fillId="9" borderId="2" xfId="10" applyNumberFormat="1" applyFont="1" applyFill="1" applyBorder="1"/>
    <xf numFmtId="3" fontId="42" fillId="9" borderId="5" xfId="10" applyNumberFormat="1" applyFont="1" applyFill="1" applyBorder="1"/>
    <xf numFmtId="3" fontId="42" fillId="9" borderId="30" xfId="10" applyNumberFormat="1" applyFont="1" applyFill="1" applyBorder="1"/>
    <xf numFmtId="3" fontId="42" fillId="9" borderId="1" xfId="10" applyNumberFormat="1" applyFont="1" applyFill="1" applyBorder="1"/>
    <xf numFmtId="3" fontId="42" fillId="9" borderId="22" xfId="10" applyNumberFormat="1" applyFont="1" applyFill="1" applyBorder="1"/>
    <xf numFmtId="3" fontId="42" fillId="9" borderId="50" xfId="10" applyNumberFormat="1" applyFont="1" applyFill="1" applyBorder="1"/>
    <xf numFmtId="3" fontId="42" fillId="9" borderId="56" xfId="10" applyNumberFormat="1" applyFont="1" applyFill="1" applyBorder="1"/>
    <xf numFmtId="0" fontId="43" fillId="5" borderId="0" xfId="3" applyFont="1" applyFill="1" applyAlignment="1">
      <alignment horizontal="center"/>
    </xf>
    <xf numFmtId="0" fontId="47" fillId="5" borderId="0" xfId="3" applyFont="1" applyFill="1" applyAlignment="1">
      <alignment horizontal="center"/>
    </xf>
    <xf numFmtId="0" fontId="40" fillId="24" borderId="0" xfId="3" applyFont="1" applyFill="1"/>
    <xf numFmtId="3" fontId="39" fillId="0" borderId="17" xfId="10" applyNumberFormat="1" applyFont="1" applyFill="1" applyBorder="1" applyAlignment="1">
      <alignment horizontal="center" vertical="center"/>
    </xf>
    <xf numFmtId="3" fontId="39" fillId="0" borderId="27" xfId="10" applyNumberFormat="1" applyFont="1" applyFill="1" applyBorder="1" applyAlignment="1">
      <alignment horizontal="left" vertical="center"/>
    </xf>
    <xf numFmtId="3" fontId="39" fillId="0" borderId="25" xfId="10" applyNumberFormat="1" applyFont="1" applyFill="1" applyBorder="1" applyAlignment="1">
      <alignment horizontal="center" vertical="center"/>
    </xf>
    <xf numFmtId="3" fontId="39" fillId="0" borderId="47" xfId="10" applyNumberFormat="1" applyFont="1" applyFill="1" applyBorder="1" applyAlignment="1">
      <alignment horizontal="center" vertical="center"/>
    </xf>
    <xf numFmtId="3" fontId="39" fillId="0" borderId="23" xfId="10" applyNumberFormat="1" applyFont="1" applyFill="1" applyBorder="1" applyAlignment="1">
      <alignment horizontal="center" vertical="center"/>
    </xf>
    <xf numFmtId="3" fontId="39" fillId="0" borderId="42" xfId="10" applyNumberFormat="1" applyFont="1" applyFill="1" applyBorder="1" applyAlignment="1">
      <alignment horizontal="right" vertical="center"/>
    </xf>
    <xf numFmtId="3" fontId="39" fillId="0" borderId="47" xfId="10" applyNumberFormat="1" applyFont="1" applyFill="1" applyBorder="1" applyAlignment="1">
      <alignment horizontal="right" vertical="center"/>
    </xf>
    <xf numFmtId="3" fontId="39" fillId="0" borderId="25" xfId="10" applyNumberFormat="1" applyFont="1" applyFill="1" applyBorder="1" applyAlignment="1">
      <alignment horizontal="right" vertical="center"/>
    </xf>
    <xf numFmtId="3" fontId="39" fillId="0" borderId="26" xfId="10" applyNumberFormat="1" applyFont="1" applyFill="1" applyBorder="1" applyAlignment="1">
      <alignment horizontal="right" vertical="center"/>
    </xf>
    <xf numFmtId="3" fontId="39" fillId="0" borderId="27" xfId="10" applyNumberFormat="1" applyFont="1" applyFill="1" applyBorder="1" applyAlignment="1">
      <alignment horizontal="right" vertical="center"/>
    </xf>
    <xf numFmtId="3" fontId="43" fillId="5" borderId="0" xfId="3" applyNumberFormat="1" applyFont="1" applyFill="1" applyAlignment="1">
      <alignment horizontal="right" vertical="center"/>
    </xf>
    <xf numFmtId="9" fontId="47" fillId="5" borderId="0" xfId="8" applyFont="1" applyFill="1" applyAlignment="1">
      <alignment horizontal="center" vertical="center" wrapText="1"/>
    </xf>
    <xf numFmtId="0" fontId="39" fillId="24" borderId="0" xfId="3" applyFont="1" applyFill="1" applyAlignment="1">
      <alignment horizontal="center" vertical="center"/>
    </xf>
    <xf numFmtId="3" fontId="39" fillId="0" borderId="17" xfId="10" applyNumberFormat="1" applyFont="1" applyFill="1" applyBorder="1"/>
    <xf numFmtId="3" fontId="39" fillId="0" borderId="27" xfId="10" applyNumberFormat="1" applyFont="1" applyFill="1" applyBorder="1"/>
    <xf numFmtId="3" fontId="39" fillId="0" borderId="25" xfId="10" applyNumberFormat="1" applyFont="1" applyFill="1" applyBorder="1"/>
    <xf numFmtId="3" fontId="39" fillId="0" borderId="47" xfId="10" applyNumberFormat="1" applyFont="1" applyFill="1" applyBorder="1"/>
    <xf numFmtId="3" fontId="39" fillId="0" borderId="23" xfId="10" applyNumberFormat="1" applyFont="1" applyFill="1" applyBorder="1"/>
    <xf numFmtId="3" fontId="39" fillId="0" borderId="42" xfId="10" applyNumberFormat="1" applyFont="1" applyFill="1" applyBorder="1"/>
    <xf numFmtId="3" fontId="39" fillId="0" borderId="26" xfId="10" applyNumberFormat="1" applyFont="1" applyFill="1" applyBorder="1"/>
    <xf numFmtId="3" fontId="47" fillId="5" borderId="0" xfId="3" applyNumberFormat="1" applyFont="1" applyFill="1"/>
    <xf numFmtId="3" fontId="39" fillId="0" borderId="58" xfId="10" applyNumberFormat="1" applyFont="1" applyFill="1" applyBorder="1"/>
    <xf numFmtId="3" fontId="39" fillId="0" borderId="14" xfId="10" applyNumberFormat="1" applyFont="1" applyFill="1" applyBorder="1"/>
    <xf numFmtId="3" fontId="39" fillId="0" borderId="62" xfId="10" applyNumberFormat="1" applyFont="1" applyFill="1" applyBorder="1"/>
    <xf numFmtId="3" fontId="39" fillId="0" borderId="19" xfId="10" applyNumberFormat="1" applyFont="1" applyFill="1" applyBorder="1"/>
    <xf numFmtId="3" fontId="39" fillId="0" borderId="21" xfId="10" applyNumberFormat="1" applyFont="1" applyFill="1" applyBorder="1"/>
    <xf numFmtId="3" fontId="39" fillId="0" borderId="71" xfId="10" applyNumberFormat="1" applyFont="1" applyFill="1" applyBorder="1"/>
    <xf numFmtId="3" fontId="39" fillId="0" borderId="43" xfId="10" applyNumberFormat="1" applyFont="1" applyFill="1" applyBorder="1"/>
    <xf numFmtId="3" fontId="39" fillId="4" borderId="71" xfId="10" applyNumberFormat="1" applyFont="1" applyFill="1" applyBorder="1"/>
    <xf numFmtId="3" fontId="39" fillId="8" borderId="65" xfId="10" applyNumberFormat="1" applyFont="1" applyFill="1" applyBorder="1"/>
    <xf numFmtId="3" fontId="39" fillId="8" borderId="51" xfId="10" applyNumberFormat="1" applyFont="1" applyFill="1" applyBorder="1"/>
    <xf numFmtId="3" fontId="39" fillId="8" borderId="45" xfId="10" applyNumberFormat="1" applyFont="1" applyFill="1" applyBorder="1"/>
    <xf numFmtId="3" fontId="39" fillId="8" borderId="54" xfId="10" applyNumberFormat="1" applyFont="1" applyFill="1" applyBorder="1"/>
    <xf numFmtId="3" fontId="39" fillId="8" borderId="55" xfId="10" applyNumberFormat="1" applyFont="1" applyFill="1" applyBorder="1"/>
    <xf numFmtId="3" fontId="39" fillId="8" borderId="52" xfId="10" applyNumberFormat="1" applyFont="1" applyFill="1" applyBorder="1"/>
    <xf numFmtId="3" fontId="39" fillId="8" borderId="28" xfId="10" applyNumberFormat="1" applyFont="1" applyFill="1" applyBorder="1"/>
    <xf numFmtId="3" fontId="39" fillId="8" borderId="32" xfId="10" applyNumberFormat="1" applyFont="1" applyFill="1" applyBorder="1"/>
    <xf numFmtId="3" fontId="39" fillId="8" borderId="37" xfId="10" applyNumberFormat="1" applyFont="1" applyFill="1" applyBorder="1"/>
    <xf numFmtId="3" fontId="39" fillId="8" borderId="44" xfId="10" applyNumberFormat="1" applyFont="1" applyFill="1" applyBorder="1"/>
    <xf numFmtId="3" fontId="39" fillId="8" borderId="40" xfId="10" applyNumberFormat="1" applyFont="1" applyFill="1" applyBorder="1"/>
    <xf numFmtId="3" fontId="39" fillId="8" borderId="48" xfId="10" applyNumberFormat="1" applyFont="1" applyFill="1" applyBorder="1"/>
    <xf numFmtId="3" fontId="39" fillId="8" borderId="49" xfId="10" applyNumberFormat="1" applyFont="1" applyFill="1" applyBorder="1"/>
    <xf numFmtId="3" fontId="39" fillId="8" borderId="33" xfId="10" applyNumberFormat="1" applyFont="1" applyFill="1" applyBorder="1"/>
    <xf numFmtId="0" fontId="39" fillId="3" borderId="43" xfId="3" applyFont="1" applyFill="1" applyBorder="1" applyAlignment="1">
      <alignment wrapText="1"/>
    </xf>
    <xf numFmtId="3" fontId="40" fillId="9" borderId="32" xfId="10" applyNumberFormat="1" applyFont="1" applyFill="1" applyBorder="1"/>
    <xf numFmtId="3" fontId="40" fillId="9" borderId="37" xfId="10" applyNumberFormat="1" applyFont="1" applyFill="1" applyBorder="1"/>
    <xf numFmtId="3" fontId="40" fillId="9" borderId="44" xfId="10" applyNumberFormat="1" applyFont="1" applyFill="1" applyBorder="1"/>
    <xf numFmtId="3" fontId="40" fillId="9" borderId="40" xfId="10" applyNumberFormat="1" applyFont="1" applyFill="1" applyBorder="1"/>
    <xf numFmtId="3" fontId="40" fillId="9" borderId="48" xfId="10" applyNumberFormat="1" applyFont="1" applyFill="1" applyBorder="1"/>
    <xf numFmtId="3" fontId="40" fillId="9" borderId="49" xfId="10" applyNumberFormat="1" applyFont="1" applyFill="1" applyBorder="1"/>
    <xf numFmtId="3" fontId="40" fillId="9" borderId="33" xfId="10" applyNumberFormat="1" applyFont="1" applyFill="1" applyBorder="1"/>
    <xf numFmtId="0" fontId="39" fillId="3" borderId="66" xfId="3" applyFont="1" applyFill="1" applyBorder="1" applyAlignment="1">
      <alignment wrapText="1"/>
    </xf>
    <xf numFmtId="3" fontId="43" fillId="8" borderId="65" xfId="10" applyNumberFormat="1" applyFont="1" applyFill="1" applyBorder="1"/>
    <xf numFmtId="3" fontId="43" fillId="8" borderId="51" xfId="10" applyNumberFormat="1" applyFont="1" applyFill="1" applyBorder="1"/>
    <xf numFmtId="3" fontId="43" fillId="8" borderId="45" xfId="10" applyNumberFormat="1" applyFont="1" applyFill="1" applyBorder="1"/>
    <xf numFmtId="3" fontId="43" fillId="8" borderId="54" xfId="10" applyNumberFormat="1" applyFont="1" applyFill="1" applyBorder="1"/>
    <xf numFmtId="3" fontId="43" fillId="8" borderId="55" xfId="10" applyNumberFormat="1" applyFont="1" applyFill="1" applyBorder="1"/>
    <xf numFmtId="3" fontId="43" fillId="8" borderId="52" xfId="10" applyNumberFormat="1" applyFont="1" applyFill="1" applyBorder="1"/>
    <xf numFmtId="3" fontId="43" fillId="8" borderId="28" xfId="10" applyNumberFormat="1" applyFont="1" applyFill="1" applyBorder="1"/>
    <xf numFmtId="0" fontId="43" fillId="24" borderId="0" xfId="3" applyFont="1" applyFill="1"/>
    <xf numFmtId="3" fontId="43" fillId="0" borderId="59" xfId="10" applyNumberFormat="1" applyFont="1" applyFill="1" applyBorder="1" applyAlignment="1">
      <alignment horizontal="center"/>
    </xf>
    <xf numFmtId="3" fontId="43" fillId="0" borderId="43" xfId="10" applyNumberFormat="1" applyFont="1" applyFill="1" applyBorder="1" applyAlignment="1">
      <alignment horizontal="right"/>
    </xf>
    <xf numFmtId="3" fontId="43" fillId="0" borderId="58" xfId="10" applyNumberFormat="1" applyFont="1" applyFill="1" applyBorder="1"/>
    <xf numFmtId="3" fontId="43" fillId="0" borderId="13" xfId="10" applyNumberFormat="1" applyFont="1" applyFill="1" applyBorder="1"/>
    <xf numFmtId="3" fontId="43" fillId="0" borderId="62" xfId="10" applyNumberFormat="1" applyFont="1" applyFill="1" applyBorder="1"/>
    <xf numFmtId="3" fontId="43" fillId="0" borderId="19" xfId="10" applyNumberFormat="1" applyFont="1" applyFill="1" applyBorder="1"/>
    <xf numFmtId="3" fontId="43" fillId="0" borderId="21" xfId="10" applyNumberFormat="1" applyFont="1" applyFill="1" applyBorder="1"/>
    <xf numFmtId="3" fontId="43" fillId="0" borderId="71" xfId="10" applyNumberFormat="1" applyFont="1" applyFill="1" applyBorder="1"/>
    <xf numFmtId="3" fontId="43" fillId="0" borderId="14" xfId="10" applyNumberFormat="1" applyFont="1" applyFill="1" applyBorder="1"/>
    <xf numFmtId="3" fontId="43" fillId="0" borderId="43" xfId="10" applyNumberFormat="1" applyFont="1" applyFill="1" applyBorder="1"/>
    <xf numFmtId="3" fontId="43" fillId="0" borderId="25" xfId="10" applyNumberFormat="1" applyFont="1" applyFill="1" applyBorder="1"/>
    <xf numFmtId="3" fontId="43" fillId="4" borderId="62" xfId="10" applyNumberFormat="1" applyFont="1" applyFill="1" applyBorder="1"/>
    <xf numFmtId="3" fontId="39" fillId="0" borderId="13" xfId="10" applyNumberFormat="1" applyFont="1" applyFill="1" applyBorder="1"/>
    <xf numFmtId="3" fontId="39" fillId="4" borderId="21" xfId="10" applyNumberFormat="1" applyFont="1" applyFill="1" applyBorder="1"/>
    <xf numFmtId="3" fontId="39" fillId="4" borderId="14" xfId="10" applyNumberFormat="1" applyFont="1" applyFill="1" applyBorder="1"/>
    <xf numFmtId="3" fontId="43" fillId="4" borderId="14" xfId="10" applyNumberFormat="1" applyFont="1" applyFill="1" applyBorder="1"/>
    <xf numFmtId="3" fontId="47" fillId="0" borderId="59" xfId="10" applyNumberFormat="1" applyFont="1" applyFill="1" applyBorder="1" applyAlignment="1">
      <alignment horizontal="center"/>
    </xf>
    <xf numFmtId="0" fontId="47" fillId="3" borderId="43" xfId="3" applyFont="1" applyFill="1" applyBorder="1" applyAlignment="1">
      <alignment wrapText="1"/>
    </xf>
    <xf numFmtId="3" fontId="47" fillId="0" borderId="58" xfId="10" applyNumberFormat="1" applyFont="1" applyFill="1" applyBorder="1"/>
    <xf numFmtId="3" fontId="47" fillId="0" borderId="71" xfId="10" applyNumberFormat="1" applyFont="1" applyFill="1" applyBorder="1"/>
    <xf numFmtId="3" fontId="47" fillId="0" borderId="19" xfId="10" applyNumberFormat="1" applyFont="1" applyFill="1" applyBorder="1"/>
    <xf numFmtId="3" fontId="47" fillId="0" borderId="21" xfId="10" applyNumberFormat="1" applyFont="1" applyFill="1" applyBorder="1"/>
    <xf numFmtId="3" fontId="47" fillId="0" borderId="62" xfId="10" applyNumberFormat="1" applyFont="1" applyFill="1" applyBorder="1"/>
    <xf numFmtId="3" fontId="47" fillId="0" borderId="14" xfId="10" applyNumberFormat="1" applyFont="1" applyFill="1" applyBorder="1"/>
    <xf numFmtId="3" fontId="47" fillId="0" borderId="43" xfId="10" applyNumberFormat="1" applyFont="1" applyFill="1" applyBorder="1"/>
    <xf numFmtId="0" fontId="47" fillId="24" borderId="0" xfId="3" applyFont="1" applyFill="1"/>
    <xf numFmtId="3" fontId="39" fillId="9" borderId="32" xfId="10" applyNumberFormat="1" applyFont="1" applyFill="1" applyBorder="1"/>
    <xf numFmtId="3" fontId="39" fillId="9" borderId="37" xfId="10" applyNumberFormat="1" applyFont="1" applyFill="1" applyBorder="1"/>
    <xf numFmtId="3" fontId="39" fillId="9" borderId="44" xfId="10" applyNumberFormat="1" applyFont="1" applyFill="1" applyBorder="1"/>
    <xf numFmtId="3" fontId="39" fillId="9" borderId="40" xfId="10" applyNumberFormat="1" applyFont="1" applyFill="1" applyBorder="1"/>
    <xf numFmtId="3" fontId="39" fillId="9" borderId="48" xfId="10" applyNumberFormat="1" applyFont="1" applyFill="1" applyBorder="1"/>
    <xf numFmtId="3" fontId="39" fillId="9" borderId="49" xfId="10" applyNumberFormat="1" applyFont="1" applyFill="1" applyBorder="1"/>
    <xf numFmtId="3" fontId="39" fillId="9" borderId="33" xfId="10" applyNumberFormat="1" applyFont="1" applyFill="1" applyBorder="1"/>
    <xf numFmtId="0" fontId="40" fillId="0" borderId="4" xfId="3" applyFont="1" applyBorder="1"/>
    <xf numFmtId="3" fontId="42" fillId="10" borderId="2" xfId="3" applyNumberFormat="1" applyFont="1" applyFill="1" applyBorder="1" applyAlignment="1">
      <alignment vertical="center" wrapText="1"/>
    </xf>
    <xf numFmtId="3" fontId="42" fillId="10" borderId="5" xfId="3" applyNumberFormat="1" applyFont="1" applyFill="1" applyBorder="1" applyAlignment="1">
      <alignment vertical="center" wrapText="1"/>
    </xf>
    <xf numFmtId="3" fontId="42" fillId="10" borderId="30" xfId="3" applyNumberFormat="1" applyFont="1" applyFill="1" applyBorder="1" applyAlignment="1">
      <alignment vertical="center" wrapText="1"/>
    </xf>
    <xf numFmtId="3" fontId="42" fillId="10" borderId="1" xfId="3" applyNumberFormat="1" applyFont="1" applyFill="1" applyBorder="1" applyAlignment="1">
      <alignment vertical="center" wrapText="1"/>
    </xf>
    <xf numFmtId="3" fontId="42" fillId="10" borderId="22" xfId="3" applyNumberFormat="1" applyFont="1" applyFill="1" applyBorder="1" applyAlignment="1">
      <alignment vertical="center" wrapText="1"/>
    </xf>
    <xf numFmtId="3" fontId="42" fillId="10" borderId="50" xfId="3" applyNumberFormat="1" applyFont="1" applyFill="1" applyBorder="1" applyAlignment="1">
      <alignment vertical="center" wrapText="1"/>
    </xf>
    <xf numFmtId="3" fontId="42" fillId="10" borderId="56" xfId="3" applyNumberFormat="1" applyFont="1" applyFill="1" applyBorder="1" applyAlignment="1">
      <alignment vertical="center" wrapText="1"/>
    </xf>
    <xf numFmtId="0" fontId="43" fillId="0" borderId="36" xfId="3" applyFont="1" applyBorder="1"/>
    <xf numFmtId="0" fontId="43" fillId="0" borderId="2" xfId="3" applyFont="1" applyBorder="1"/>
    <xf numFmtId="0" fontId="43" fillId="0" borderId="6" xfId="3" applyFont="1" applyBorder="1"/>
    <xf numFmtId="3" fontId="43" fillId="0" borderId="0" xfId="3" applyNumberFormat="1" applyFont="1" applyBorder="1"/>
    <xf numFmtId="3" fontId="43" fillId="0" borderId="59" xfId="3" applyNumberFormat="1" applyFont="1" applyBorder="1"/>
    <xf numFmtId="3" fontId="43" fillId="0" borderId="69" xfId="3" applyNumberFormat="1" applyFont="1" applyBorder="1"/>
    <xf numFmtId="3" fontId="43" fillId="0" borderId="57" xfId="3" applyNumberFormat="1" applyFont="1" applyBorder="1"/>
    <xf numFmtId="3" fontId="43" fillId="0" borderId="39" xfId="3" applyNumberFormat="1" applyFont="1" applyBorder="1"/>
    <xf numFmtId="0" fontId="40" fillId="0" borderId="53" xfId="3" applyFont="1" applyBorder="1"/>
    <xf numFmtId="3" fontId="39" fillId="5" borderId="0" xfId="3" applyNumberFormat="1" applyFont="1" applyFill="1"/>
    <xf numFmtId="0" fontId="41" fillId="0" borderId="0" xfId="5" applyFont="1" applyFill="1"/>
    <xf numFmtId="0" fontId="41" fillId="0" borderId="0" xfId="7" applyFont="1" applyFill="1" applyAlignment="1">
      <alignment wrapText="1"/>
    </xf>
    <xf numFmtId="0" fontId="39" fillId="0" borderId="0" xfId="0" applyFont="1" applyFill="1" applyAlignment="1"/>
    <xf numFmtId="0" fontId="39" fillId="0" borderId="0" xfId="7" applyFont="1" applyFill="1"/>
    <xf numFmtId="0" fontId="43" fillId="0" borderId="0" xfId="7" applyFont="1" applyFill="1"/>
    <xf numFmtId="0" fontId="39" fillId="0" borderId="0" xfId="7" applyFont="1" applyFill="1" applyAlignment="1">
      <alignment horizontal="center"/>
    </xf>
    <xf numFmtId="0" fontId="47" fillId="0" borderId="0" xfId="7" applyFont="1" applyFill="1" applyAlignment="1">
      <alignment horizontal="center"/>
    </xf>
    <xf numFmtId="0" fontId="43" fillId="0" borderId="0" xfId="7" applyFont="1" applyFill="1" applyAlignment="1">
      <alignment horizontal="center"/>
    </xf>
    <xf numFmtId="0" fontId="39" fillId="23" borderId="0" xfId="7" applyFont="1" applyFill="1"/>
    <xf numFmtId="0" fontId="41" fillId="0" borderId="0" xfId="7" applyFont="1" applyFill="1"/>
    <xf numFmtId="0" fontId="41" fillId="3" borderId="3" xfId="4" applyFont="1" applyFill="1" applyBorder="1" applyAlignment="1">
      <alignment horizontal="center" vertical="center"/>
    </xf>
    <xf numFmtId="2" fontId="41" fillId="3" borderId="3" xfId="4" applyNumberFormat="1" applyFont="1" applyFill="1" applyBorder="1" applyAlignment="1">
      <alignment horizontal="center" vertical="center" wrapText="1"/>
    </xf>
    <xf numFmtId="0" fontId="41" fillId="3" borderId="2" xfId="4" applyFont="1" applyFill="1" applyBorder="1" applyAlignment="1">
      <alignment horizontal="center" vertical="center"/>
    </xf>
    <xf numFmtId="3" fontId="41" fillId="3" borderId="3" xfId="4" applyNumberFormat="1" applyFont="1" applyFill="1" applyBorder="1" applyAlignment="1">
      <alignment horizontal="center" vertical="center" wrapText="1"/>
    </xf>
    <xf numFmtId="3" fontId="44" fillId="3" borderId="3" xfId="4" applyNumberFormat="1" applyFont="1" applyFill="1" applyBorder="1" applyAlignment="1">
      <alignment horizontal="center" vertical="center" wrapText="1"/>
    </xf>
    <xf numFmtId="0" fontId="39" fillId="0" borderId="30" xfId="7" applyFont="1" applyBorder="1"/>
    <xf numFmtId="0" fontId="41" fillId="0" borderId="30" xfId="4" applyFont="1" applyBorder="1"/>
    <xf numFmtId="3" fontId="41" fillId="5" borderId="2" xfId="7" applyNumberFormat="1" applyFont="1" applyFill="1" applyBorder="1" applyAlignment="1"/>
    <xf numFmtId="3" fontId="41" fillId="5" borderId="30" xfId="7" applyNumberFormat="1" applyFont="1" applyFill="1" applyBorder="1" applyAlignment="1"/>
    <xf numFmtId="3" fontId="44" fillId="5" borderId="30" xfId="7" applyNumberFormat="1" applyFont="1" applyFill="1" applyBorder="1" applyAlignment="1"/>
    <xf numFmtId="3" fontId="41" fillId="5" borderId="6" xfId="7" applyNumberFormat="1" applyFont="1" applyFill="1" applyBorder="1" applyAlignment="1"/>
    <xf numFmtId="0" fontId="41" fillId="0" borderId="59" xfId="7" applyFont="1" applyBorder="1" applyAlignment="1">
      <alignment vertical="center" textRotation="180"/>
    </xf>
    <xf numFmtId="49" fontId="39" fillId="0" borderId="16" xfId="7" applyNumberFormat="1" applyFont="1" applyBorder="1" applyAlignment="1">
      <alignment horizontal="left"/>
    </xf>
    <xf numFmtId="0" fontId="39" fillId="0" borderId="16" xfId="7" applyFont="1" applyBorder="1"/>
    <xf numFmtId="0" fontId="39" fillId="0" borderId="16" xfId="7" applyFont="1" applyBorder="1" applyAlignment="1">
      <alignment horizontal="center"/>
    </xf>
    <xf numFmtId="0" fontId="39" fillId="0" borderId="15" xfId="7" applyFont="1" applyBorder="1" applyAlignment="1">
      <alignment horizontal="center"/>
    </xf>
    <xf numFmtId="3" fontId="39" fillId="0" borderId="16" xfId="7" applyNumberFormat="1" applyFont="1" applyBorder="1" applyAlignment="1">
      <alignment horizontal="right"/>
    </xf>
    <xf numFmtId="3" fontId="43" fillId="0" borderId="16" xfId="7" applyNumberFormat="1" applyFont="1" applyBorder="1" applyAlignment="1">
      <alignment horizontal="right"/>
    </xf>
    <xf numFmtId="3" fontId="41" fillId="0" borderId="16" xfId="7" applyNumberFormat="1" applyFont="1" applyBorder="1" applyAlignment="1">
      <alignment horizontal="right"/>
    </xf>
    <xf numFmtId="3" fontId="41" fillId="0" borderId="16" xfId="7" applyNumberFormat="1" applyFont="1" applyBorder="1" applyAlignment="1">
      <alignment horizontal="center"/>
    </xf>
    <xf numFmtId="49" fontId="39" fillId="0" borderId="10" xfId="7" applyNumberFormat="1" applyFont="1" applyBorder="1" applyAlignment="1">
      <alignment horizontal="left"/>
    </xf>
    <xf numFmtId="0" fontId="39" fillId="0" borderId="10" xfId="7" applyFont="1" applyBorder="1"/>
    <xf numFmtId="0" fontId="39" fillId="0" borderId="10" xfId="7" applyFont="1" applyBorder="1" applyAlignment="1">
      <alignment horizontal="center"/>
    </xf>
    <xf numFmtId="0" fontId="39" fillId="0" borderId="17" xfId="7" applyFont="1" applyBorder="1" applyAlignment="1">
      <alignment horizontal="center"/>
    </xf>
    <xf numFmtId="3" fontId="39" fillId="0" borderId="10" xfId="7" applyNumberFormat="1" applyFont="1" applyBorder="1" applyAlignment="1">
      <alignment horizontal="right"/>
    </xf>
    <xf numFmtId="3" fontId="43" fillId="0" borderId="10" xfId="7" applyNumberFormat="1" applyFont="1" applyBorder="1" applyAlignment="1">
      <alignment horizontal="right"/>
    </xf>
    <xf numFmtId="3" fontId="41" fillId="0" borderId="10" xfId="7" applyNumberFormat="1" applyFont="1" applyBorder="1" applyAlignment="1">
      <alignment horizontal="right"/>
    </xf>
    <xf numFmtId="3" fontId="41" fillId="0" borderId="10" xfId="7" applyNumberFormat="1" applyFont="1" applyBorder="1" applyAlignment="1">
      <alignment horizontal="center"/>
    </xf>
    <xf numFmtId="49" fontId="39" fillId="0" borderId="11" xfId="7" applyNumberFormat="1" applyFont="1" applyBorder="1" applyAlignment="1">
      <alignment horizontal="left"/>
    </xf>
    <xf numFmtId="3" fontId="39" fillId="0" borderId="11" xfId="7" applyNumberFormat="1" applyFont="1" applyBorder="1" applyAlignment="1">
      <alignment horizontal="right"/>
    </xf>
    <xf numFmtId="3" fontId="41" fillId="0" borderId="11" xfId="7" applyNumberFormat="1" applyFont="1" applyBorder="1" applyAlignment="1">
      <alignment horizontal="right"/>
    </xf>
    <xf numFmtId="3" fontId="41" fillId="0" borderId="11" xfId="7" applyNumberFormat="1" applyFont="1" applyBorder="1" applyAlignment="1">
      <alignment horizontal="center"/>
    </xf>
    <xf numFmtId="3" fontId="43" fillId="0" borderId="11" xfId="7" applyNumberFormat="1" applyFont="1" applyBorder="1" applyAlignment="1">
      <alignment horizontal="right"/>
    </xf>
    <xf numFmtId="49" fontId="39" fillId="0" borderId="53" xfId="7" applyNumberFormat="1" applyFont="1" applyBorder="1" applyAlignment="1">
      <alignment horizontal="left"/>
    </xf>
    <xf numFmtId="0" fontId="39" fillId="0" borderId="53" xfId="7" applyFont="1" applyBorder="1"/>
    <xf numFmtId="0" fontId="39" fillId="0" borderId="53" xfId="7" applyFont="1" applyBorder="1" applyAlignment="1">
      <alignment horizontal="center"/>
    </xf>
    <xf numFmtId="0" fontId="39" fillId="0" borderId="65" xfId="7" applyFont="1" applyBorder="1" applyAlignment="1">
      <alignment horizontal="center"/>
    </xf>
    <xf numFmtId="3" fontId="39" fillId="0" borderId="53" xfId="7" applyNumberFormat="1" applyFont="1" applyBorder="1" applyAlignment="1">
      <alignment horizontal="right"/>
    </xf>
    <xf numFmtId="3" fontId="39" fillId="0" borderId="34" xfId="7" applyNumberFormat="1" applyFont="1" applyBorder="1" applyAlignment="1">
      <alignment horizontal="right"/>
    </xf>
    <xf numFmtId="3" fontId="41" fillId="0" borderId="53" xfId="7" applyNumberFormat="1" applyFont="1" applyBorder="1" applyAlignment="1">
      <alignment horizontal="right"/>
    </xf>
    <xf numFmtId="3" fontId="41" fillId="0" borderId="53" xfId="7" applyNumberFormat="1" applyFont="1" applyBorder="1" applyAlignment="1">
      <alignment horizontal="center"/>
    </xf>
    <xf numFmtId="0" fontId="39" fillId="30" borderId="53" xfId="7" applyFont="1" applyFill="1" applyBorder="1"/>
    <xf numFmtId="0" fontId="39" fillId="30" borderId="53" xfId="7" applyFont="1" applyFill="1" applyBorder="1" applyAlignment="1">
      <alignment horizontal="center"/>
    </xf>
    <xf numFmtId="0" fontId="39" fillId="30" borderId="65" xfId="7" applyFont="1" applyFill="1" applyBorder="1" applyAlignment="1">
      <alignment horizontal="center"/>
    </xf>
    <xf numFmtId="3" fontId="41" fillId="30" borderId="53" xfId="7" applyNumberFormat="1" applyFont="1" applyFill="1" applyBorder="1" applyAlignment="1">
      <alignment horizontal="right"/>
    </xf>
    <xf numFmtId="3" fontId="44" fillId="30" borderId="53" xfId="7" applyNumberFormat="1" applyFont="1" applyFill="1" applyBorder="1" applyAlignment="1">
      <alignment horizontal="right"/>
    </xf>
    <xf numFmtId="3" fontId="41" fillId="30" borderId="53" xfId="7" applyNumberFormat="1" applyFont="1" applyFill="1" applyBorder="1" applyAlignment="1">
      <alignment horizontal="center"/>
    </xf>
    <xf numFmtId="3" fontId="39" fillId="30" borderId="53" xfId="7" applyNumberFormat="1" applyFont="1" applyFill="1" applyBorder="1" applyAlignment="1">
      <alignment horizontal="right"/>
    </xf>
    <xf numFmtId="3" fontId="47" fillId="0" borderId="0" xfId="7" applyNumberFormat="1" applyFont="1" applyFill="1" applyAlignment="1">
      <alignment horizontal="center"/>
    </xf>
    <xf numFmtId="3" fontId="43" fillId="0" borderId="0" xfId="7" applyNumberFormat="1" applyFont="1" applyFill="1" applyAlignment="1">
      <alignment horizontal="center"/>
    </xf>
    <xf numFmtId="0" fontId="41" fillId="0" borderId="63" xfId="7" applyFont="1" applyBorder="1" applyAlignment="1">
      <alignment horizontal="left" vertical="center"/>
    </xf>
    <xf numFmtId="0" fontId="41" fillId="0" borderId="59" xfId="7" applyFont="1" applyBorder="1" applyAlignment="1">
      <alignment horizontal="left" vertical="center"/>
    </xf>
    <xf numFmtId="0" fontId="41" fillId="0" borderId="53" xfId="7" applyFont="1" applyBorder="1" applyAlignment="1">
      <alignment horizontal="left" vertical="center"/>
    </xf>
    <xf numFmtId="0" fontId="39" fillId="0" borderId="34" xfId="7" applyFont="1" applyBorder="1"/>
    <xf numFmtId="0" fontId="39" fillId="0" borderId="34" xfId="7" applyFont="1" applyBorder="1" applyAlignment="1">
      <alignment horizontal="center"/>
    </xf>
    <xf numFmtId="0" fontId="39" fillId="0" borderId="32" xfId="7" applyFont="1" applyBorder="1" applyAlignment="1">
      <alignment horizontal="center"/>
    </xf>
    <xf numFmtId="3" fontId="43" fillId="0" borderId="34" xfId="7" applyNumberFormat="1" applyFont="1" applyBorder="1" applyAlignment="1">
      <alignment horizontal="right"/>
    </xf>
    <xf numFmtId="3" fontId="41" fillId="0" borderId="34" xfId="7" applyNumberFormat="1" applyFont="1" applyBorder="1" applyAlignment="1">
      <alignment horizontal="right"/>
    </xf>
    <xf numFmtId="3" fontId="41" fillId="0" borderId="34" xfId="7" applyNumberFormat="1" applyFont="1" applyBorder="1" applyAlignment="1">
      <alignment horizontal="center"/>
    </xf>
    <xf numFmtId="0" fontId="41" fillId="0" borderId="65" xfId="7" applyFont="1" applyBorder="1" applyAlignment="1">
      <alignment horizontal="left" vertical="center"/>
    </xf>
    <xf numFmtId="49" fontId="39" fillId="7" borderId="10" xfId="7" applyNumberFormat="1" applyFont="1" applyFill="1" applyBorder="1" applyAlignment="1">
      <alignment horizontal="left"/>
    </xf>
    <xf numFmtId="0" fontId="39" fillId="7" borderId="10" xfId="7" applyFont="1" applyFill="1" applyBorder="1"/>
    <xf numFmtId="0" fontId="39" fillId="7" borderId="10" xfId="7" applyFont="1" applyFill="1" applyBorder="1" applyAlignment="1">
      <alignment horizontal="center"/>
    </xf>
    <xf numFmtId="0" fontId="39" fillId="7" borderId="17" xfId="7" applyFont="1" applyFill="1" applyBorder="1" applyAlignment="1">
      <alignment horizontal="center"/>
    </xf>
    <xf numFmtId="3" fontId="39" fillId="7" borderId="10" xfId="7" applyNumberFormat="1" applyFont="1" applyFill="1" applyBorder="1" applyAlignment="1">
      <alignment horizontal="right"/>
    </xf>
    <xf numFmtId="3" fontId="43" fillId="7" borderId="10" xfId="7" applyNumberFormat="1" applyFont="1" applyFill="1" applyBorder="1" applyAlignment="1">
      <alignment horizontal="right"/>
    </xf>
    <xf numFmtId="3" fontId="41" fillId="7" borderId="10" xfId="7" applyNumberFormat="1" applyFont="1" applyFill="1" applyBorder="1" applyAlignment="1">
      <alignment horizontal="right"/>
    </xf>
    <xf numFmtId="3" fontId="43" fillId="0" borderId="53" xfId="7" applyNumberFormat="1" applyFont="1" applyBorder="1" applyAlignment="1">
      <alignment horizontal="right"/>
    </xf>
    <xf numFmtId="0" fontId="41" fillId="0" borderId="59" xfId="7" applyFont="1" applyBorder="1" applyAlignment="1">
      <alignment horizontal="left" vertical="center" textRotation="180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44" fillId="0" borderId="0" xfId="7" applyFont="1" applyFill="1" applyAlignment="1">
      <alignment horizontal="center"/>
    </xf>
    <xf numFmtId="0" fontId="41" fillId="23" borderId="0" xfId="7" applyFont="1" applyFill="1" applyAlignment="1"/>
    <xf numFmtId="0" fontId="41" fillId="0" borderId="0" xfId="7" applyFont="1" applyFill="1" applyAlignment="1">
      <alignment horizontal="center"/>
    </xf>
    <xf numFmtId="49" fontId="39" fillId="0" borderId="10" xfId="7" applyNumberFormat="1" applyFont="1" applyBorder="1" applyAlignment="1">
      <alignment horizontal="left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3" fontId="39" fillId="0" borderId="10" xfId="7" applyNumberFormat="1" applyFont="1" applyBorder="1" applyAlignment="1">
      <alignment horizontal="right" vertical="center"/>
    </xf>
    <xf numFmtId="3" fontId="43" fillId="0" borderId="10" xfId="7" applyNumberFormat="1" applyFont="1" applyBorder="1" applyAlignment="1">
      <alignment horizontal="right" vertical="center"/>
    </xf>
    <xf numFmtId="3" fontId="41" fillId="0" borderId="10" xfId="7" applyNumberFormat="1" applyFont="1" applyBorder="1" applyAlignment="1">
      <alignment horizontal="right" vertical="center"/>
    </xf>
    <xf numFmtId="3" fontId="41" fillId="0" borderId="10" xfId="7" applyNumberFormat="1" applyFont="1" applyBorder="1" applyAlignment="1">
      <alignment horizontal="center" vertical="center"/>
    </xf>
    <xf numFmtId="3" fontId="39" fillId="0" borderId="10" xfId="7" applyNumberFormat="1" applyFont="1" applyBorder="1" applyAlignment="1">
      <alignment horizontal="right" vertical="center" wrapText="1"/>
    </xf>
    <xf numFmtId="0" fontId="39" fillId="0" borderId="0" xfId="7" applyFont="1" applyFill="1" applyAlignment="1">
      <alignment horizontal="center" vertical="center"/>
    </xf>
    <xf numFmtId="0" fontId="41" fillId="0" borderId="0" xfId="7" applyFont="1" applyFill="1" applyAlignment="1">
      <alignment horizontal="center" vertical="center"/>
    </xf>
    <xf numFmtId="0" fontId="41" fillId="23" borderId="0" xfId="7" applyFont="1" applyFill="1" applyAlignment="1">
      <alignment vertical="center"/>
    </xf>
    <xf numFmtId="0" fontId="41" fillId="0" borderId="53" xfId="7" applyFont="1" applyBorder="1" applyAlignment="1">
      <alignment horizontal="left" vertical="center" textRotation="180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center" wrapText="1"/>
    </xf>
    <xf numFmtId="0" fontId="39" fillId="0" borderId="58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14" fontId="39" fillId="0" borderId="10" xfId="0" applyNumberFormat="1" applyFont="1" applyBorder="1" applyAlignment="1">
      <alignment horizontal="center" wrapText="1"/>
    </xf>
    <xf numFmtId="14" fontId="39" fillId="0" borderId="17" xfId="0" applyNumberFormat="1" applyFont="1" applyBorder="1" applyAlignment="1">
      <alignment horizontal="center" wrapText="1"/>
    </xf>
    <xf numFmtId="0" fontId="39" fillId="0" borderId="53" xfId="0" applyFont="1" applyBorder="1" applyAlignment="1">
      <alignment horizontal="left" wrapText="1"/>
    </xf>
    <xf numFmtId="0" fontId="39" fillId="0" borderId="53" xfId="0" applyFont="1" applyBorder="1" applyAlignment="1">
      <alignment horizontal="center" wrapText="1"/>
    </xf>
    <xf numFmtId="0" fontId="39" fillId="0" borderId="65" xfId="0" applyFont="1" applyBorder="1" applyAlignment="1">
      <alignment horizontal="center" wrapText="1"/>
    </xf>
    <xf numFmtId="0" fontId="39" fillId="0" borderId="53" xfId="0" applyFont="1" applyBorder="1" applyAlignment="1">
      <alignment wrapText="1"/>
    </xf>
    <xf numFmtId="0" fontId="39" fillId="7" borderId="10" xfId="0" applyFont="1" applyFill="1" applyBorder="1" applyAlignment="1">
      <alignment wrapText="1"/>
    </xf>
    <xf numFmtId="0" fontId="39" fillId="7" borderId="10" xfId="0" applyFont="1" applyFill="1" applyBorder="1" applyAlignment="1">
      <alignment horizontal="center" wrapText="1"/>
    </xf>
    <xf numFmtId="0" fontId="39" fillId="7" borderId="17" xfId="0" applyFont="1" applyFill="1" applyBorder="1" applyAlignment="1">
      <alignment horizontal="center" wrapText="1"/>
    </xf>
    <xf numFmtId="49" fontId="39" fillId="0" borderId="10" xfId="7" applyNumberFormat="1" applyFont="1" applyFill="1" applyBorder="1" applyAlignment="1">
      <alignment horizontal="left"/>
    </xf>
    <xf numFmtId="0" fontId="39" fillId="0" borderId="10" xfId="0" applyFont="1" applyFill="1" applyBorder="1" applyAlignment="1">
      <alignment wrapText="1"/>
    </xf>
    <xf numFmtId="0" fontId="41" fillId="0" borderId="59" xfId="7" applyFont="1" applyBorder="1" applyAlignment="1">
      <alignment horizontal="left"/>
    </xf>
    <xf numFmtId="0" fontId="41" fillId="0" borderId="65" xfId="7" applyFont="1" applyBorder="1" applyAlignment="1">
      <alignment horizontal="left" vertical="center" textRotation="180"/>
    </xf>
    <xf numFmtId="49" fontId="39" fillId="0" borderId="53" xfId="7" applyNumberFormat="1" applyFont="1" applyFill="1" applyBorder="1" applyAlignment="1">
      <alignment horizontal="left"/>
    </xf>
    <xf numFmtId="0" fontId="39" fillId="0" borderId="53" xfId="0" applyFont="1" applyFill="1" applyBorder="1" applyAlignment="1">
      <alignment wrapText="1"/>
    </xf>
    <xf numFmtId="0" fontId="39" fillId="0" borderId="53" xfId="0" applyFont="1" applyFill="1" applyBorder="1" applyAlignment="1">
      <alignment horizontal="center" wrapText="1"/>
    </xf>
    <xf numFmtId="14" fontId="39" fillId="0" borderId="53" xfId="0" applyNumberFormat="1" applyFont="1" applyFill="1" applyBorder="1" applyAlignment="1">
      <alignment horizontal="center" wrapText="1"/>
    </xf>
    <xf numFmtId="14" fontId="39" fillId="0" borderId="65" xfId="0" applyNumberFormat="1" applyFont="1" applyFill="1" applyBorder="1" applyAlignment="1">
      <alignment horizontal="center" wrapText="1"/>
    </xf>
    <xf numFmtId="3" fontId="41" fillId="0" borderId="53" xfId="7" applyNumberFormat="1" applyFont="1" applyFill="1" applyBorder="1" applyAlignment="1">
      <alignment horizontal="right"/>
    </xf>
    <xf numFmtId="3" fontId="44" fillId="0" borderId="53" xfId="7" applyNumberFormat="1" applyFont="1" applyFill="1" applyBorder="1" applyAlignment="1">
      <alignment horizontal="right"/>
    </xf>
    <xf numFmtId="3" fontId="39" fillId="0" borderId="53" xfId="7" applyNumberFormat="1" applyFont="1" applyFill="1" applyBorder="1" applyAlignment="1">
      <alignment horizontal="right"/>
    </xf>
    <xf numFmtId="0" fontId="41" fillId="0" borderId="65" xfId="7" applyFont="1" applyBorder="1" applyAlignment="1">
      <alignment horizontal="left"/>
    </xf>
    <xf numFmtId="0" fontId="39" fillId="0" borderId="53" xfId="0" applyFont="1" applyFill="1" applyBorder="1" applyAlignment="1">
      <alignment horizontal="left" wrapText="1"/>
    </xf>
    <xf numFmtId="49" fontId="39" fillId="7" borderId="11" xfId="7" applyNumberFormat="1" applyFont="1" applyFill="1" applyBorder="1" applyAlignment="1">
      <alignment horizontal="left"/>
    </xf>
    <xf numFmtId="3" fontId="39" fillId="7" borderId="11" xfId="7" applyNumberFormat="1" applyFont="1" applyFill="1" applyBorder="1" applyAlignment="1">
      <alignment horizontal="right"/>
    </xf>
    <xf numFmtId="3" fontId="43" fillId="7" borderId="11" xfId="7" applyNumberFormat="1" applyFont="1" applyFill="1" applyBorder="1" applyAlignment="1">
      <alignment horizontal="right"/>
    </xf>
    <xf numFmtId="3" fontId="41" fillId="7" borderId="11" xfId="7" applyNumberFormat="1" applyFont="1" applyFill="1" applyBorder="1" applyAlignment="1">
      <alignment horizontal="right"/>
    </xf>
    <xf numFmtId="0" fontId="74" fillId="5" borderId="16" xfId="0" applyFont="1" applyFill="1" applyBorder="1"/>
    <xf numFmtId="0" fontId="74" fillId="5" borderId="16" xfId="0" applyFont="1" applyFill="1" applyBorder="1" applyAlignment="1">
      <alignment horizontal="center"/>
    </xf>
    <xf numFmtId="0" fontId="74" fillId="5" borderId="15" xfId="0" applyFont="1" applyFill="1" applyBorder="1" applyAlignment="1">
      <alignment horizontal="center"/>
    </xf>
    <xf numFmtId="0" fontId="39" fillId="23" borderId="0" xfId="7" applyFont="1" applyFill="1" applyAlignment="1"/>
    <xf numFmtId="0" fontId="74" fillId="5" borderId="11" xfId="0" applyFont="1" applyFill="1" applyBorder="1"/>
    <xf numFmtId="0" fontId="74" fillId="5" borderId="11" xfId="0" applyFont="1" applyFill="1" applyBorder="1" applyAlignment="1">
      <alignment horizontal="center"/>
    </xf>
    <xf numFmtId="0" fontId="74" fillId="5" borderId="58" xfId="0" applyFont="1" applyFill="1" applyBorder="1" applyAlignment="1">
      <alignment horizontal="center"/>
    </xf>
    <xf numFmtId="14" fontId="74" fillId="5" borderId="11" xfId="0" applyNumberFormat="1" applyFont="1" applyFill="1" applyBorder="1" applyAlignment="1">
      <alignment horizontal="center"/>
    </xf>
    <xf numFmtId="14" fontId="74" fillId="5" borderId="58" xfId="0" applyNumberFormat="1" applyFont="1" applyFill="1" applyBorder="1" applyAlignment="1">
      <alignment horizontal="center"/>
    </xf>
    <xf numFmtId="0" fontId="74" fillId="7" borderId="11" xfId="0" applyFont="1" applyFill="1" applyBorder="1"/>
    <xf numFmtId="0" fontId="74" fillId="7" borderId="11" xfId="0" applyFont="1" applyFill="1" applyBorder="1" applyAlignment="1">
      <alignment horizontal="center"/>
    </xf>
    <xf numFmtId="0" fontId="74" fillId="7" borderId="58" xfId="0" applyFont="1" applyFill="1" applyBorder="1" applyAlignment="1">
      <alignment horizontal="center"/>
    </xf>
    <xf numFmtId="49" fontId="39" fillId="0" borderId="34" xfId="7" applyNumberFormat="1" applyFont="1" applyBorder="1" applyAlignment="1">
      <alignment horizontal="left"/>
    </xf>
    <xf numFmtId="0" fontId="74" fillId="5" borderId="34" xfId="0" applyFont="1" applyFill="1" applyBorder="1"/>
    <xf numFmtId="0" fontId="74" fillId="5" borderId="34" xfId="0" applyFont="1" applyFill="1" applyBorder="1" applyAlignment="1">
      <alignment horizontal="center"/>
    </xf>
    <xf numFmtId="0" fontId="74" fillId="5" borderId="32" xfId="0" applyFont="1" applyFill="1" applyBorder="1" applyAlignment="1">
      <alignment horizontal="center"/>
    </xf>
    <xf numFmtId="0" fontId="41" fillId="30" borderId="65" xfId="7" applyFont="1" applyFill="1" applyBorder="1" applyAlignment="1">
      <alignment horizontal="left"/>
    </xf>
    <xf numFmtId="49" fontId="41" fillId="30" borderId="3" xfId="7" applyNumberFormat="1" applyFont="1" applyFill="1" applyBorder="1" applyAlignment="1">
      <alignment horizontal="left"/>
    </xf>
    <xf numFmtId="0" fontId="41" fillId="30" borderId="3" xfId="0" applyFont="1" applyFill="1" applyBorder="1" applyAlignment="1">
      <alignment wrapText="1"/>
    </xf>
    <xf numFmtId="0" fontId="41" fillId="30" borderId="3" xfId="0" applyFont="1" applyFill="1" applyBorder="1" applyAlignment="1">
      <alignment horizontal="center" wrapText="1"/>
    </xf>
    <xf numFmtId="0" fontId="41" fillId="30" borderId="2" xfId="0" applyFont="1" applyFill="1" applyBorder="1" applyAlignment="1">
      <alignment horizontal="center" wrapText="1"/>
    </xf>
    <xf numFmtId="3" fontId="41" fillId="30" borderId="3" xfId="7" applyNumberFormat="1" applyFont="1" applyFill="1" applyBorder="1" applyAlignment="1">
      <alignment horizontal="right"/>
    </xf>
    <xf numFmtId="3" fontId="44" fillId="30" borderId="3" xfId="7" applyNumberFormat="1" applyFont="1" applyFill="1" applyBorder="1" applyAlignment="1">
      <alignment horizontal="right"/>
    </xf>
    <xf numFmtId="3" fontId="41" fillId="30" borderId="3" xfId="7" applyNumberFormat="1" applyFont="1" applyFill="1" applyBorder="1" applyAlignment="1">
      <alignment horizontal="center"/>
    </xf>
    <xf numFmtId="3" fontId="39" fillId="30" borderId="3" xfId="7" applyNumberFormat="1" applyFont="1" applyFill="1" applyBorder="1" applyAlignment="1">
      <alignment horizontal="right"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34" xfId="0" applyFont="1" applyBorder="1" applyAlignment="1">
      <alignment wrapText="1"/>
    </xf>
    <xf numFmtId="0" fontId="39" fillId="0" borderId="34" xfId="0" applyFont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39" fillId="7" borderId="16" xfId="0" applyFont="1" applyFill="1" applyBorder="1" applyAlignment="1">
      <alignment wrapText="1"/>
    </xf>
    <xf numFmtId="0" fontId="39" fillId="7" borderId="16" xfId="0" applyFont="1" applyFill="1" applyBorder="1" applyAlignment="1">
      <alignment horizontal="center" wrapText="1"/>
    </xf>
    <xf numFmtId="0" fontId="39" fillId="7" borderId="15" xfId="0" applyFont="1" applyFill="1" applyBorder="1" applyAlignment="1">
      <alignment horizontal="center" wrapText="1"/>
    </xf>
    <xf numFmtId="3" fontId="39" fillId="7" borderId="16" xfId="7" applyNumberFormat="1" applyFont="1" applyFill="1" applyBorder="1" applyAlignment="1">
      <alignment horizontal="right"/>
    </xf>
    <xf numFmtId="3" fontId="43" fillId="7" borderId="16" xfId="7" applyNumberFormat="1" applyFont="1" applyFill="1" applyBorder="1" applyAlignment="1">
      <alignment horizontal="right"/>
    </xf>
    <xf numFmtId="0" fontId="41" fillId="0" borderId="53" xfId="7" applyFont="1" applyFill="1" applyBorder="1" applyAlignment="1">
      <alignment horizontal="left" vertical="center"/>
    </xf>
    <xf numFmtId="0" fontId="39" fillId="0" borderId="65" xfId="0" applyFont="1" applyFill="1" applyBorder="1" applyAlignment="1">
      <alignment horizontal="center" wrapText="1"/>
    </xf>
    <xf numFmtId="3" fontId="43" fillId="0" borderId="53" xfId="7" applyNumberFormat="1" applyFont="1" applyFill="1" applyBorder="1" applyAlignment="1">
      <alignment horizontal="right"/>
    </xf>
    <xf numFmtId="3" fontId="41" fillId="0" borderId="53" xfId="7" applyNumberFormat="1" applyFont="1" applyFill="1" applyBorder="1" applyAlignment="1">
      <alignment horizontal="center"/>
    </xf>
    <xf numFmtId="0" fontId="41" fillId="0" borderId="0" xfId="7" applyFont="1" applyFill="1" applyAlignment="1"/>
    <xf numFmtId="0" fontId="39" fillId="0" borderId="59" xfId="7" applyFont="1" applyBorder="1" applyAlignment="1">
      <alignment horizontal="left" vertical="center" textRotation="180"/>
    </xf>
    <xf numFmtId="3" fontId="39" fillId="0" borderId="11" xfId="7" applyNumberFormat="1" applyFont="1" applyBorder="1" applyAlignment="1">
      <alignment horizontal="center"/>
    </xf>
    <xf numFmtId="0" fontId="39" fillId="0" borderId="65" xfId="7" applyFont="1" applyBorder="1" applyAlignment="1">
      <alignment horizontal="left" vertical="center" textRotation="180"/>
    </xf>
    <xf numFmtId="3" fontId="39" fillId="0" borderId="53" xfId="7" applyNumberFormat="1" applyFont="1" applyBorder="1" applyAlignment="1">
      <alignment horizontal="center"/>
    </xf>
    <xf numFmtId="0" fontId="39" fillId="4" borderId="1" xfId="7" applyFont="1" applyFill="1" applyBorder="1" applyAlignment="1">
      <alignment horizontal="center"/>
    </xf>
    <xf numFmtId="0" fontId="39" fillId="4" borderId="30" xfId="7" applyFont="1" applyFill="1" applyBorder="1" applyAlignment="1">
      <alignment horizontal="center"/>
    </xf>
    <xf numFmtId="0" fontId="41" fillId="4" borderId="3" xfId="7" applyFont="1" applyFill="1" applyBorder="1"/>
    <xf numFmtId="0" fontId="41" fillId="4" borderId="3" xfId="7" applyFont="1" applyFill="1" applyBorder="1" applyAlignment="1">
      <alignment horizontal="center"/>
    </xf>
    <xf numFmtId="0" fontId="41" fillId="4" borderId="2" xfId="7" applyFont="1" applyFill="1" applyBorder="1" applyAlignment="1">
      <alignment horizontal="center"/>
    </xf>
    <xf numFmtId="3" fontId="41" fillId="4" borderId="6" xfId="7" applyNumberFormat="1" applyFont="1" applyFill="1" applyBorder="1" applyAlignment="1">
      <alignment horizontal="right"/>
    </xf>
    <xf numFmtId="3" fontId="44" fillId="4" borderId="6" xfId="7" applyNumberFormat="1" applyFont="1" applyFill="1" applyBorder="1" applyAlignment="1">
      <alignment horizontal="right"/>
    </xf>
    <xf numFmtId="3" fontId="41" fillId="4" borderId="3" xfId="7" applyNumberFormat="1" applyFont="1" applyFill="1" applyBorder="1" applyAlignment="1">
      <alignment horizontal="center"/>
    </xf>
    <xf numFmtId="3" fontId="39" fillId="4" borderId="3" xfId="7" applyNumberFormat="1" applyFont="1" applyFill="1" applyBorder="1" applyAlignment="1">
      <alignment horizontal="right"/>
    </xf>
    <xf numFmtId="0" fontId="41" fillId="23" borderId="0" xfId="7" applyFont="1" applyFill="1"/>
    <xf numFmtId="3" fontId="41" fillId="0" borderId="0" xfId="7" applyNumberFormat="1" applyFont="1" applyFill="1"/>
    <xf numFmtId="3" fontId="44" fillId="0" borderId="0" xfId="7" applyNumberFormat="1" applyFont="1" applyFill="1"/>
    <xf numFmtId="3" fontId="41" fillId="0" borderId="0" xfId="7" applyNumberFormat="1" applyFont="1" applyFill="1" applyAlignment="1">
      <alignment horizontal="center"/>
    </xf>
    <xf numFmtId="0" fontId="39" fillId="0" borderId="0" xfId="3" applyFont="1" applyFill="1"/>
    <xf numFmtId="3" fontId="39" fillId="0" borderId="0" xfId="7" applyNumberFormat="1" applyFont="1" applyFill="1"/>
    <xf numFmtId="3" fontId="43" fillId="0" borderId="0" xfId="7" applyNumberFormat="1" applyFont="1" applyFill="1"/>
    <xf numFmtId="0" fontId="39" fillId="23" borderId="0" xfId="7" applyFont="1" applyFill="1" applyAlignment="1">
      <alignment horizontal="center"/>
    </xf>
    <xf numFmtId="0" fontId="43" fillId="23" borderId="0" xfId="7" applyFont="1" applyFill="1"/>
    <xf numFmtId="0" fontId="47" fillId="23" borderId="0" xfId="7" applyFont="1" applyFill="1" applyAlignment="1">
      <alignment horizontal="center"/>
    </xf>
    <xf numFmtId="0" fontId="43" fillId="23" borderId="0" xfId="7" applyFont="1" applyFill="1" applyAlignment="1">
      <alignment horizontal="center"/>
    </xf>
    <xf numFmtId="0" fontId="38" fillId="0" borderId="0" xfId="5" applyFont="1" applyFill="1"/>
    <xf numFmtId="0" fontId="49" fillId="0" borderId="0" xfId="5" applyFont="1" applyFill="1"/>
    <xf numFmtId="0" fontId="39" fillId="0" borderId="0" xfId="5" applyFont="1" applyFill="1"/>
    <xf numFmtId="0" fontId="43" fillId="0" borderId="0" xfId="5" applyFont="1" applyFill="1"/>
    <xf numFmtId="0" fontId="47" fillId="0" borderId="0" xfId="5" applyFont="1" applyFill="1" applyAlignment="1">
      <alignment horizontal="center"/>
    </xf>
    <xf numFmtId="0" fontId="43" fillId="0" borderId="0" xfId="5" applyFont="1" applyFill="1" applyAlignment="1">
      <alignment horizontal="center"/>
    </xf>
    <xf numFmtId="0" fontId="39" fillId="0" borderId="0" xfId="6" applyFont="1" applyFill="1"/>
    <xf numFmtId="0" fontId="43" fillId="0" borderId="0" xfId="6" applyFont="1" applyFill="1"/>
    <xf numFmtId="0" fontId="47" fillId="0" borderId="0" xfId="6" applyFont="1" applyFill="1" applyAlignment="1">
      <alignment horizontal="center"/>
    </xf>
    <xf numFmtId="0" fontId="43" fillId="0" borderId="0" xfId="6" applyFont="1" applyFill="1" applyAlignment="1">
      <alignment horizontal="center"/>
    </xf>
    <xf numFmtId="0" fontId="39" fillId="23" borderId="0" xfId="6" applyFont="1" applyFill="1"/>
    <xf numFmtId="3" fontId="39" fillId="0" borderId="0" xfId="0" applyNumberFormat="1" applyFont="1" applyFill="1"/>
    <xf numFmtId="3" fontId="43" fillId="0" borderId="0" xfId="0" applyNumberFormat="1" applyFont="1" applyFill="1"/>
    <xf numFmtId="0" fontId="47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49" fontId="41" fillId="2" borderId="2" xfId="6" applyNumberFormat="1" applyFont="1" applyFill="1" applyBorder="1" applyAlignment="1">
      <alignment horizontal="center" vertical="center" wrapText="1"/>
    </xf>
    <xf numFmtId="49" fontId="41" fillId="2" borderId="5" xfId="6" applyNumberFormat="1" applyFont="1" applyFill="1" applyBorder="1" applyAlignment="1">
      <alignment horizontal="center" vertical="center" wrapText="1"/>
    </xf>
    <xf numFmtId="0" fontId="38" fillId="2" borderId="5" xfId="6" applyFont="1" applyFill="1" applyBorder="1" applyAlignment="1">
      <alignment horizontal="center" vertical="center"/>
    </xf>
    <xf numFmtId="3" fontId="41" fillId="2" borderId="3" xfId="5" applyNumberFormat="1" applyFont="1" applyFill="1" applyBorder="1" applyAlignment="1">
      <alignment horizontal="center" vertical="center" wrapText="1"/>
    </xf>
    <xf numFmtId="3" fontId="44" fillId="2" borderId="3" xfId="5" applyNumberFormat="1" applyFont="1" applyFill="1" applyBorder="1" applyAlignment="1">
      <alignment horizontal="center" vertical="center" wrapText="1"/>
    </xf>
    <xf numFmtId="0" fontId="39" fillId="0" borderId="18" xfId="6" applyFont="1" applyBorder="1" applyAlignment="1">
      <alignment horizontal="center" wrapText="1"/>
    </xf>
    <xf numFmtId="0" fontId="39" fillId="0" borderId="13" xfId="6" applyFont="1" applyBorder="1" applyAlignment="1">
      <alignment horizontal="center" wrapText="1"/>
    </xf>
    <xf numFmtId="0" fontId="39" fillId="0" borderId="13" xfId="6" applyFont="1" applyBorder="1" applyAlignment="1">
      <alignment wrapText="1"/>
    </xf>
    <xf numFmtId="3" fontId="39" fillId="0" borderId="16" xfId="6" applyNumberFormat="1" applyFont="1" applyFill="1" applyBorder="1"/>
    <xf numFmtId="3" fontId="43" fillId="0" borderId="16" xfId="6" applyNumberFormat="1" applyFont="1" applyFill="1" applyBorder="1"/>
    <xf numFmtId="0" fontId="39" fillId="0" borderId="23" xfId="6" applyFont="1" applyBorder="1" applyAlignment="1">
      <alignment horizontal="center" wrapText="1"/>
    </xf>
    <xf numFmtId="0" fontId="39" fillId="0" borderId="25" xfId="6" applyFont="1" applyBorder="1" applyAlignment="1">
      <alignment horizontal="center" wrapText="1"/>
    </xf>
    <xf numFmtId="0" fontId="39" fillId="0" borderId="25" xfId="6" applyFont="1" applyBorder="1" applyAlignment="1">
      <alignment wrapText="1"/>
    </xf>
    <xf numFmtId="3" fontId="39" fillId="0" borderId="10" xfId="6" applyNumberFormat="1" applyFont="1" applyFill="1" applyBorder="1"/>
    <xf numFmtId="3" fontId="43" fillId="0" borderId="10" xfId="6" applyNumberFormat="1" applyFont="1" applyFill="1" applyBorder="1"/>
    <xf numFmtId="0" fontId="41" fillId="0" borderId="40" xfId="6" applyFont="1" applyBorder="1" applyAlignment="1">
      <alignment horizontal="center" wrapText="1"/>
    </xf>
    <xf numFmtId="0" fontId="41" fillId="0" borderId="37" xfId="6" applyFont="1" applyBorder="1" applyAlignment="1">
      <alignment horizontal="center" wrapText="1"/>
    </xf>
    <xf numFmtId="0" fontId="41" fillId="0" borderId="37" xfId="6" applyFont="1" applyBorder="1" applyAlignment="1">
      <alignment wrapText="1"/>
    </xf>
    <xf numFmtId="3" fontId="41" fillId="0" borderId="34" xfId="6" applyNumberFormat="1" applyFont="1" applyFill="1" applyBorder="1"/>
    <xf numFmtId="3" fontId="44" fillId="0" borderId="34" xfId="6" applyNumberFormat="1" applyFont="1" applyFill="1" applyBorder="1"/>
    <xf numFmtId="3" fontId="44" fillId="0" borderId="10" xfId="6" applyNumberFormat="1" applyFont="1" applyFill="1" applyBorder="1"/>
    <xf numFmtId="3" fontId="41" fillId="0" borderId="10" xfId="6" applyNumberFormat="1" applyFont="1" applyFill="1" applyBorder="1"/>
    <xf numFmtId="0" fontId="39" fillId="0" borderId="19" xfId="6" applyFont="1" applyBorder="1" applyAlignment="1">
      <alignment horizontal="center" wrapText="1"/>
    </xf>
    <xf numFmtId="0" fontId="39" fillId="0" borderId="14" xfId="6" applyFont="1" applyBorder="1" applyAlignment="1">
      <alignment wrapText="1"/>
    </xf>
    <xf numFmtId="3" fontId="39" fillId="0" borderId="11" xfId="6" applyNumberFormat="1" applyFont="1" applyFill="1" applyBorder="1"/>
    <xf numFmtId="3" fontId="43" fillId="0" borderId="11" xfId="6" applyNumberFormat="1" applyFont="1" applyFill="1" applyBorder="1"/>
    <xf numFmtId="0" fontId="39" fillId="0" borderId="14" xfId="6" applyFont="1" applyBorder="1" applyAlignment="1">
      <alignment horizontal="center" wrapText="1"/>
    </xf>
    <xf numFmtId="0" fontId="39" fillId="0" borderId="40" xfId="6" applyFont="1" applyBorder="1" applyAlignment="1">
      <alignment horizontal="center" wrapText="1"/>
    </xf>
    <xf numFmtId="0" fontId="39" fillId="0" borderId="37" xfId="6" applyFont="1" applyBorder="1" applyAlignment="1">
      <alignment horizontal="center" wrapText="1"/>
    </xf>
    <xf numFmtId="3" fontId="44" fillId="0" borderId="11" xfId="6" applyNumberFormat="1" applyFont="1" applyFill="1" applyBorder="1"/>
    <xf numFmtId="3" fontId="41" fillId="0" borderId="11" xfId="6" applyNumberFormat="1" applyFont="1" applyFill="1" applyBorder="1"/>
    <xf numFmtId="3" fontId="38" fillId="0" borderId="3" xfId="0" applyNumberFormat="1" applyFont="1" applyBorder="1"/>
    <xf numFmtId="3" fontId="54" fillId="0" borderId="3" xfId="0" applyNumberFormat="1" applyFont="1" applyBorder="1"/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47" fillId="23" borderId="0" xfId="0" applyFont="1" applyFill="1" applyAlignment="1">
      <alignment horizontal="center"/>
    </xf>
    <xf numFmtId="0" fontId="39" fillId="0" borderId="38" xfId="6" applyFont="1" applyBorder="1" applyAlignment="1">
      <alignment wrapText="1"/>
    </xf>
    <xf numFmtId="3" fontId="39" fillId="0" borderId="36" xfId="6" applyNumberFormat="1" applyFont="1" applyFill="1" applyBorder="1"/>
    <xf numFmtId="0" fontId="39" fillId="0" borderId="41" xfId="6" applyFont="1" applyBorder="1" applyAlignment="1">
      <alignment horizontal="center" wrapText="1"/>
    </xf>
    <xf numFmtId="0" fontId="39" fillId="0" borderId="38" xfId="6" applyFont="1" applyBorder="1" applyAlignment="1">
      <alignment horizontal="center" wrapText="1"/>
    </xf>
    <xf numFmtId="3" fontId="44" fillId="0" borderId="36" xfId="6" applyNumberFormat="1" applyFont="1" applyFill="1" applyBorder="1"/>
    <xf numFmtId="0" fontId="39" fillId="0" borderId="29" xfId="6" applyFont="1" applyBorder="1" applyAlignment="1">
      <alignment horizontal="center" wrapText="1"/>
    </xf>
    <xf numFmtId="0" fontId="39" fillId="0" borderId="24" xfId="6" applyFont="1" applyBorder="1" applyAlignment="1">
      <alignment horizontal="center" wrapText="1"/>
    </xf>
    <xf numFmtId="0" fontId="39" fillId="0" borderId="24" xfId="6" applyFont="1" applyBorder="1" applyAlignment="1">
      <alignment wrapText="1"/>
    </xf>
    <xf numFmtId="3" fontId="41" fillId="0" borderId="12" xfId="6" applyNumberFormat="1" applyFont="1" applyFill="1" applyBorder="1"/>
    <xf numFmtId="3" fontId="41" fillId="0" borderId="36" xfId="6" applyNumberFormat="1" applyFont="1" applyFill="1" applyBorder="1"/>
    <xf numFmtId="3" fontId="39" fillId="0" borderId="12" xfId="6" applyNumberFormat="1" applyFont="1" applyFill="1" applyBorder="1"/>
    <xf numFmtId="0" fontId="39" fillId="0" borderId="60" xfId="6" applyFont="1" applyBorder="1" applyAlignment="1">
      <alignment wrapText="1"/>
    </xf>
    <xf numFmtId="0" fontId="41" fillId="0" borderId="24" xfId="6" applyFont="1" applyBorder="1" applyAlignment="1">
      <alignment wrapText="1"/>
    </xf>
    <xf numFmtId="0" fontId="44" fillId="0" borderId="0" xfId="0" applyFont="1" applyFill="1" applyAlignment="1">
      <alignment horizontal="center"/>
    </xf>
    <xf numFmtId="0" fontId="49" fillId="0" borderId="0" xfId="5" applyFont="1"/>
    <xf numFmtId="0" fontId="39" fillId="0" borderId="0" xfId="5" applyFont="1"/>
    <xf numFmtId="0" fontId="43" fillId="0" borderId="0" xfId="5" applyFont="1"/>
    <xf numFmtId="0" fontId="47" fillId="0" borderId="0" xfId="5" applyFont="1"/>
    <xf numFmtId="0" fontId="43" fillId="0" borderId="0" xfId="5" applyFont="1" applyAlignment="1">
      <alignment horizontal="center"/>
    </xf>
    <xf numFmtId="0" fontId="39" fillId="0" borderId="0" xfId="6" applyFont="1"/>
    <xf numFmtId="0" fontId="43" fillId="0" borderId="0" xfId="6" applyFont="1"/>
    <xf numFmtId="0" fontId="47" fillId="0" borderId="0" xfId="6" applyFont="1"/>
    <xf numFmtId="0" fontId="43" fillId="0" borderId="0" xfId="6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23" borderId="0" xfId="0" applyFont="1" applyFill="1"/>
    <xf numFmtId="3" fontId="43" fillId="0" borderId="12" xfId="6" applyNumberFormat="1" applyFont="1" applyFill="1" applyBorder="1"/>
    <xf numFmtId="3" fontId="44" fillId="0" borderId="16" xfId="6" applyNumberFormat="1" applyFont="1" applyFill="1" applyBorder="1"/>
    <xf numFmtId="0" fontId="39" fillId="23" borderId="0" xfId="3" applyFont="1" applyFill="1"/>
    <xf numFmtId="0" fontId="75" fillId="25" borderId="0" xfId="0" applyFont="1" applyFill="1"/>
    <xf numFmtId="0" fontId="41" fillId="2" borderId="5" xfId="6" applyFont="1" applyFill="1" applyBorder="1" applyAlignment="1">
      <alignment horizontal="center" vertical="center" wrapText="1"/>
    </xf>
    <xf numFmtId="3" fontId="44" fillId="2" borderId="4" xfId="5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9" fillId="23" borderId="0" xfId="0" applyFont="1" applyFill="1" applyAlignment="1">
      <alignment vertical="center" wrapText="1"/>
    </xf>
    <xf numFmtId="0" fontId="39" fillId="0" borderId="18" xfId="6" applyFont="1" applyBorder="1" applyAlignment="1">
      <alignment horizontal="center" vertical="center" wrapText="1"/>
    </xf>
    <xf numFmtId="0" fontId="39" fillId="0" borderId="13" xfId="6" applyFont="1" applyBorder="1" applyAlignment="1">
      <alignment horizontal="center" vertical="center" wrapText="1"/>
    </xf>
    <xf numFmtId="0" fontId="39" fillId="0" borderId="13" xfId="6" applyFont="1" applyBorder="1" applyAlignment="1">
      <alignment vertical="center" wrapText="1"/>
    </xf>
    <xf numFmtId="3" fontId="39" fillId="0" borderId="16" xfId="6" applyNumberFormat="1" applyFont="1" applyFill="1" applyBorder="1" applyAlignment="1">
      <alignment vertical="center"/>
    </xf>
    <xf numFmtId="3" fontId="43" fillId="0" borderId="16" xfId="6" applyNumberFormat="1" applyFont="1" applyFill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39" fillId="23" borderId="0" xfId="0" applyFont="1" applyFill="1" applyAlignment="1">
      <alignment vertical="center"/>
    </xf>
    <xf numFmtId="3" fontId="43" fillId="0" borderId="10" xfId="6" applyNumberFormat="1" applyFont="1" applyFill="1" applyBorder="1" applyAlignment="1">
      <alignment vertical="center"/>
    </xf>
    <xf numFmtId="3" fontId="44" fillId="23" borderId="0" xfId="0" applyNumberFormat="1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0" fontId="76" fillId="24" borderId="0" xfId="0" applyFont="1" applyFill="1"/>
    <xf numFmtId="0" fontId="76" fillId="24" borderId="0" xfId="0" applyFont="1" applyFill="1" applyAlignment="1">
      <alignment horizontal="center"/>
    </xf>
    <xf numFmtId="3" fontId="77" fillId="24" borderId="0" xfId="0" applyNumberFormat="1" applyFont="1" applyFill="1" applyAlignment="1">
      <alignment horizontal="center"/>
    </xf>
    <xf numFmtId="3" fontId="76" fillId="24" borderId="0" xfId="0" applyNumberFormat="1" applyFont="1" applyFill="1" applyAlignment="1">
      <alignment horizontal="center"/>
    </xf>
    <xf numFmtId="3" fontId="76" fillId="24" borderId="0" xfId="0" applyNumberFormat="1" applyFont="1" applyFill="1"/>
    <xf numFmtId="3" fontId="40" fillId="24" borderId="0" xfId="0" applyNumberFormat="1" applyFont="1" applyFill="1"/>
    <xf numFmtId="0" fontId="72" fillId="0" borderId="18" xfId="0" applyFont="1" applyBorder="1"/>
    <xf numFmtId="0" fontId="72" fillId="0" borderId="20" xfId="0" applyFont="1" applyBorder="1" applyAlignment="1">
      <alignment horizontal="center"/>
    </xf>
    <xf numFmtId="0" fontId="72" fillId="0" borderId="13" xfId="0" applyFont="1" applyBorder="1"/>
    <xf numFmtId="0" fontId="78" fillId="4" borderId="60" xfId="0" applyFont="1" applyFill="1" applyBorder="1"/>
    <xf numFmtId="0" fontId="78" fillId="4" borderId="20" xfId="0" applyFont="1" applyFill="1" applyBorder="1"/>
    <xf numFmtId="0" fontId="78" fillId="4" borderId="13" xfId="0" applyFont="1" applyFill="1" applyBorder="1"/>
    <xf numFmtId="0" fontId="79" fillId="11" borderId="20" xfId="0" applyFont="1" applyFill="1" applyBorder="1"/>
    <xf numFmtId="0" fontId="79" fillId="11" borderId="13" xfId="0" applyFont="1" applyFill="1" applyBorder="1"/>
    <xf numFmtId="0" fontId="58" fillId="0" borderId="13" xfId="0" applyFont="1" applyBorder="1"/>
    <xf numFmtId="0" fontId="72" fillId="0" borderId="60" xfId="0" applyFont="1" applyBorder="1"/>
    <xf numFmtId="0" fontId="72" fillId="0" borderId="0" xfId="0" applyFont="1" applyBorder="1"/>
    <xf numFmtId="3" fontId="39" fillId="0" borderId="19" xfId="0" applyNumberFormat="1" applyFont="1" applyBorder="1"/>
    <xf numFmtId="3" fontId="39" fillId="0" borderId="21" xfId="0" applyNumberFormat="1" applyFont="1" applyBorder="1"/>
    <xf numFmtId="3" fontId="39" fillId="0" borderId="43" xfId="0" applyNumberFormat="1" applyFont="1" applyBorder="1"/>
    <xf numFmtId="3" fontId="39" fillId="4" borderId="43" xfId="0" applyNumberFormat="1" applyFont="1" applyFill="1" applyBorder="1"/>
    <xf numFmtId="3" fontId="43" fillId="0" borderId="19" xfId="0" applyNumberFormat="1" applyFont="1" applyBorder="1"/>
    <xf numFmtId="3" fontId="43" fillId="0" borderId="21" xfId="0" applyNumberFormat="1" applyFont="1" applyBorder="1"/>
    <xf numFmtId="3" fontId="43" fillId="0" borderId="43" xfId="0" applyNumberFormat="1" applyFont="1" applyBorder="1"/>
    <xf numFmtId="3" fontId="43" fillId="4" borderId="43" xfId="0" applyNumberFormat="1" applyFont="1" applyFill="1" applyBorder="1"/>
    <xf numFmtId="3" fontId="43" fillId="24" borderId="0" xfId="0" applyNumberFormat="1" applyFont="1" applyFill="1"/>
    <xf numFmtId="3" fontId="80" fillId="0" borderId="19" xfId="0" applyNumberFormat="1" applyFont="1" applyBorder="1"/>
    <xf numFmtId="3" fontId="80" fillId="0" borderId="21" xfId="0" applyNumberFormat="1" applyFont="1" applyBorder="1"/>
    <xf numFmtId="3" fontId="80" fillId="0" borderId="14" xfId="0" applyNumberFormat="1" applyFont="1" applyBorder="1"/>
    <xf numFmtId="3" fontId="80" fillId="0" borderId="43" xfId="0" applyNumberFormat="1" applyFont="1" applyBorder="1"/>
    <xf numFmtId="3" fontId="80" fillId="4" borderId="43" xfId="0" applyNumberFormat="1" applyFont="1" applyFill="1" applyBorder="1"/>
    <xf numFmtId="3" fontId="80" fillId="24" borderId="0" xfId="0" applyNumberFormat="1" applyFont="1" applyFill="1"/>
    <xf numFmtId="3" fontId="48" fillId="0" borderId="29" xfId="0" applyNumberFormat="1" applyFont="1" applyBorder="1"/>
    <xf numFmtId="3" fontId="48" fillId="0" borderId="76" xfId="0" applyNumberFormat="1" applyFont="1" applyBorder="1"/>
    <xf numFmtId="3" fontId="48" fillId="0" borderId="24" xfId="0" applyNumberFormat="1" applyFont="1" applyBorder="1"/>
    <xf numFmtId="3" fontId="48" fillId="0" borderId="66" xfId="0" applyNumberFormat="1" applyFont="1" applyBorder="1"/>
    <xf numFmtId="0" fontId="48" fillId="5" borderId="0" xfId="0" applyFont="1" applyFill="1"/>
    <xf numFmtId="3" fontId="48" fillId="24" borderId="0" xfId="0" applyNumberFormat="1" applyFont="1" applyFill="1"/>
    <xf numFmtId="3" fontId="72" fillId="18" borderId="40" xfId="0" applyNumberFormat="1" applyFont="1" applyFill="1" applyBorder="1"/>
    <xf numFmtId="3" fontId="72" fillId="18" borderId="48" xfId="0" applyNumberFormat="1" applyFont="1" applyFill="1" applyBorder="1"/>
    <xf numFmtId="3" fontId="72" fillId="18" borderId="37" xfId="0" applyNumberFormat="1" applyFont="1" applyFill="1" applyBorder="1"/>
    <xf numFmtId="3" fontId="72" fillId="18" borderId="33" xfId="0" applyNumberFormat="1" applyFont="1" applyFill="1" applyBorder="1"/>
    <xf numFmtId="3" fontId="72" fillId="24" borderId="0" xfId="0" applyNumberFormat="1" applyFont="1" applyFill="1"/>
    <xf numFmtId="3" fontId="39" fillId="5" borderId="69" xfId="0" applyNumberFormat="1" applyFont="1" applyFill="1" applyBorder="1"/>
    <xf numFmtId="3" fontId="39" fillId="5" borderId="0" xfId="0" applyNumberFormat="1" applyFont="1" applyFill="1" applyBorder="1"/>
    <xf numFmtId="0" fontId="39" fillId="5" borderId="0" xfId="0" applyFont="1" applyFill="1" applyBorder="1"/>
    <xf numFmtId="3" fontId="39" fillId="0" borderId="18" xfId="0" applyNumberFormat="1" applyFont="1" applyBorder="1"/>
    <xf numFmtId="3" fontId="39" fillId="0" borderId="20" xfId="0" applyNumberFormat="1" applyFont="1" applyBorder="1"/>
    <xf numFmtId="3" fontId="39" fillId="0" borderId="13" xfId="0" applyNumberFormat="1" applyFont="1" applyBorder="1"/>
    <xf numFmtId="3" fontId="39" fillId="0" borderId="60" xfId="0" applyNumberFormat="1" applyFont="1" applyBorder="1"/>
    <xf numFmtId="3" fontId="39" fillId="4" borderId="60" xfId="0" applyNumberFormat="1" applyFont="1" applyFill="1" applyBorder="1"/>
    <xf numFmtId="3" fontId="39" fillId="0" borderId="23" xfId="0" applyNumberFormat="1" applyFont="1" applyBorder="1"/>
    <xf numFmtId="3" fontId="39" fillId="0" borderId="42" xfId="0" applyNumberFormat="1" applyFont="1" applyBorder="1"/>
    <xf numFmtId="3" fontId="39" fillId="0" borderId="41" xfId="0" applyNumberFormat="1" applyFont="1" applyBorder="1"/>
    <xf numFmtId="3" fontId="39" fillId="0" borderId="24" xfId="0" applyNumberFormat="1" applyFont="1" applyBorder="1"/>
    <xf numFmtId="3" fontId="39" fillId="0" borderId="66" xfId="0" applyNumberFormat="1" applyFont="1" applyBorder="1"/>
    <xf numFmtId="3" fontId="39" fillId="0" borderId="76" xfId="0" applyNumberFormat="1" applyFont="1" applyBorder="1"/>
    <xf numFmtId="3" fontId="39" fillId="4" borderId="66" xfId="0" applyNumberFormat="1" applyFont="1" applyFill="1" applyBorder="1"/>
    <xf numFmtId="3" fontId="72" fillId="19" borderId="40" xfId="0" applyNumberFormat="1" applyFont="1" applyFill="1" applyBorder="1"/>
    <xf numFmtId="3" fontId="72" fillId="19" borderId="48" xfId="0" applyNumberFormat="1" applyFont="1" applyFill="1" applyBorder="1"/>
    <xf numFmtId="3" fontId="72" fillId="19" borderId="37" xfId="0" applyNumberFormat="1" applyFont="1" applyFill="1" applyBorder="1"/>
    <xf numFmtId="3" fontId="72" fillId="19" borderId="33" xfId="0" applyNumberFormat="1" applyFont="1" applyFill="1" applyBorder="1"/>
    <xf numFmtId="0" fontId="39" fillId="24" borderId="0" xfId="0" applyFont="1" applyFill="1" applyBorder="1"/>
    <xf numFmtId="0" fontId="72" fillId="0" borderId="20" xfId="0" applyFont="1" applyBorder="1"/>
    <xf numFmtId="3" fontId="58" fillId="0" borderId="13" xfId="0" applyNumberFormat="1" applyFont="1" applyBorder="1"/>
    <xf numFmtId="3" fontId="58" fillId="0" borderId="60" xfId="0" applyNumberFormat="1" applyFont="1" applyBorder="1"/>
    <xf numFmtId="3" fontId="58" fillId="0" borderId="20" xfId="0" applyNumberFormat="1" applyFont="1" applyBorder="1"/>
    <xf numFmtId="0" fontId="72" fillId="24" borderId="0" xfId="0" applyFont="1" applyFill="1"/>
    <xf numFmtId="0" fontId="39" fillId="17" borderId="40" xfId="0" applyFont="1" applyFill="1" applyBorder="1"/>
    <xf numFmtId="0" fontId="39" fillId="17" borderId="48" xfId="0" applyFont="1" applyFill="1" applyBorder="1"/>
    <xf numFmtId="9" fontId="81" fillId="17" borderId="37" xfId="8" applyFont="1" applyFill="1" applyBorder="1"/>
    <xf numFmtId="9" fontId="81" fillId="17" borderId="33" xfId="8" applyFont="1" applyFill="1" applyBorder="1"/>
    <xf numFmtId="9" fontId="81" fillId="17" borderId="48" xfId="8" applyFont="1" applyFill="1" applyBorder="1"/>
    <xf numFmtId="9" fontId="81" fillId="17" borderId="54" xfId="8" applyFont="1" applyFill="1" applyBorder="1"/>
    <xf numFmtId="9" fontId="81" fillId="17" borderId="55" xfId="8" applyFont="1" applyFill="1" applyBorder="1"/>
    <xf numFmtId="9" fontId="81" fillId="17" borderId="51" xfId="8" applyFont="1" applyFill="1" applyBorder="1"/>
    <xf numFmtId="9" fontId="81" fillId="17" borderId="28" xfId="8" applyFont="1" applyFill="1" applyBorder="1"/>
    <xf numFmtId="0" fontId="72" fillId="0" borderId="3" xfId="0" applyFont="1" applyBorder="1"/>
    <xf numFmtId="3" fontId="72" fillId="5" borderId="0" xfId="0" applyNumberFormat="1" applyFont="1" applyFill="1"/>
    <xf numFmtId="0" fontId="72" fillId="5" borderId="0" xfId="0" applyFont="1" applyFill="1"/>
    <xf numFmtId="0" fontId="39" fillId="0" borderId="18" xfId="0" applyFont="1" applyBorder="1"/>
    <xf numFmtId="0" fontId="39" fillId="0" borderId="20" xfId="0" applyFont="1" applyBorder="1"/>
    <xf numFmtId="3" fontId="39" fillId="0" borderId="31" xfId="0" applyNumberFormat="1" applyFont="1" applyBorder="1"/>
    <xf numFmtId="0" fontId="50" fillId="20" borderId="40" xfId="0" applyFont="1" applyFill="1" applyBorder="1"/>
    <xf numFmtId="9" fontId="78" fillId="20" borderId="37" xfId="8" applyFont="1" applyFill="1" applyBorder="1"/>
    <xf numFmtId="9" fontId="78" fillId="20" borderId="33" xfId="8" applyFont="1" applyFill="1" applyBorder="1"/>
    <xf numFmtId="9" fontId="78" fillId="20" borderId="48" xfId="8" applyFont="1" applyFill="1" applyBorder="1"/>
    <xf numFmtId="9" fontId="78" fillId="20" borderId="40" xfId="8" applyFont="1" applyFill="1" applyBorder="1"/>
    <xf numFmtId="0" fontId="50" fillId="24" borderId="0" xfId="0" applyFont="1" applyFill="1"/>
    <xf numFmtId="3" fontId="41" fillId="5" borderId="3" xfId="0" applyNumberFormat="1" applyFont="1" applyFill="1" applyBorder="1" applyAlignment="1">
      <alignment horizontal="center"/>
    </xf>
    <xf numFmtId="0" fontId="41" fillId="5" borderId="2" xfId="0" applyFont="1" applyFill="1" applyBorder="1" applyAlignment="1">
      <alignment horizontal="center"/>
    </xf>
    <xf numFmtId="0" fontId="41" fillId="5" borderId="2" xfId="0" applyFont="1" applyFill="1" applyBorder="1" applyAlignment="1"/>
    <xf numFmtId="0" fontId="41" fillId="5" borderId="30" xfId="0" applyFont="1" applyFill="1" applyBorder="1" applyAlignment="1"/>
    <xf numFmtId="0" fontId="41" fillId="5" borderId="6" xfId="0" applyFont="1" applyFill="1" applyBorder="1" applyAlignment="1"/>
    <xf numFmtId="0" fontId="41" fillId="5" borderId="0" xfId="0" applyFont="1" applyFill="1" applyBorder="1" applyAlignment="1"/>
    <xf numFmtId="0" fontId="39" fillId="5" borderId="3" xfId="0" applyFont="1" applyFill="1" applyBorder="1"/>
    <xf numFmtId="0" fontId="39" fillId="5" borderId="2" xfId="0" applyFont="1" applyFill="1" applyBorder="1"/>
    <xf numFmtId="3" fontId="39" fillId="5" borderId="1" xfId="0" applyNumberFormat="1" applyFont="1" applyFill="1" applyBorder="1" applyAlignment="1">
      <alignment horizontal="center"/>
    </xf>
    <xf numFmtId="3" fontId="39" fillId="5" borderId="5" xfId="0" applyNumberFormat="1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56" xfId="0" applyFont="1" applyFill="1" applyBorder="1" applyAlignment="1">
      <alignment horizontal="center"/>
    </xf>
    <xf numFmtId="3" fontId="39" fillId="5" borderId="2" xfId="0" applyNumberFormat="1" applyFont="1" applyFill="1" applyBorder="1" applyAlignment="1">
      <alignment horizontal="center"/>
    </xf>
    <xf numFmtId="0" fontId="39" fillId="5" borderId="0" xfId="0" applyFont="1" applyFill="1" applyBorder="1" applyAlignment="1">
      <alignment horizontal="center"/>
    </xf>
    <xf numFmtId="0" fontId="38" fillId="0" borderId="2" xfId="0" applyFont="1" applyBorder="1"/>
    <xf numFmtId="43" fontId="54" fillId="0" borderId="53" xfId="1" applyFont="1" applyBorder="1"/>
    <xf numFmtId="43" fontId="54" fillId="0" borderId="65" xfId="1" applyFont="1" applyBorder="1"/>
    <xf numFmtId="43" fontId="54" fillId="0" borderId="0" xfId="1" applyFont="1" applyBorder="1"/>
    <xf numFmtId="0" fontId="49" fillId="0" borderId="16" xfId="0" applyFont="1" applyBorder="1" applyAlignment="1">
      <alignment horizontal="right"/>
    </xf>
    <xf numFmtId="3" fontId="52" fillId="0" borderId="10" xfId="0" applyNumberFormat="1" applyFont="1" applyBorder="1"/>
    <xf numFmtId="3" fontId="52" fillId="0" borderId="17" xfId="0" applyNumberFormat="1" applyFont="1" applyBorder="1"/>
    <xf numFmtId="3" fontId="39" fillId="5" borderId="23" xfId="0" applyNumberFormat="1" applyFont="1" applyFill="1" applyBorder="1"/>
    <xf numFmtId="0" fontId="49" fillId="0" borderId="34" xfId="0" applyFont="1" applyBorder="1" applyAlignment="1">
      <alignment horizontal="right"/>
    </xf>
    <xf numFmtId="3" fontId="49" fillId="0" borderId="34" xfId="0" applyNumberFormat="1" applyFont="1" applyBorder="1"/>
    <xf numFmtId="3" fontId="49" fillId="0" borderId="32" xfId="0" applyNumberFormat="1" applyFont="1" applyBorder="1"/>
    <xf numFmtId="3" fontId="39" fillId="5" borderId="40" xfId="0" applyNumberFormat="1" applyFont="1" applyFill="1" applyBorder="1"/>
    <xf numFmtId="3" fontId="39" fillId="5" borderId="37" xfId="0" applyNumberFormat="1" applyFont="1" applyFill="1" applyBorder="1"/>
    <xf numFmtId="3" fontId="39" fillId="5" borderId="33" xfId="0" applyNumberFormat="1" applyFont="1" applyFill="1" applyBorder="1"/>
    <xf numFmtId="3" fontId="39" fillId="5" borderId="32" xfId="0" applyNumberFormat="1" applyFont="1" applyFill="1" applyBorder="1"/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 wrapText="1"/>
    </xf>
    <xf numFmtId="0" fontId="41" fillId="4" borderId="0" xfId="0" applyFont="1" applyFill="1" applyBorder="1" applyAlignment="1">
      <alignment vertical="center"/>
    </xf>
    <xf numFmtId="0" fontId="39" fillId="4" borderId="0" xfId="0" applyFont="1" applyFill="1" applyBorder="1"/>
    <xf numFmtId="0" fontId="41" fillId="24" borderId="14" xfId="0" applyFont="1" applyFill="1" applyBorder="1"/>
    <xf numFmtId="0" fontId="41" fillId="24" borderId="14" xfId="0" applyFont="1" applyFill="1" applyBorder="1" applyAlignment="1">
      <alignment horizontal="center"/>
    </xf>
    <xf numFmtId="3" fontId="41" fillId="24" borderId="14" xfId="0" applyNumberFormat="1" applyFont="1" applyFill="1" applyBorder="1"/>
    <xf numFmtId="0" fontId="43" fillId="0" borderId="25" xfId="0" applyFont="1" applyBorder="1" applyAlignment="1">
      <alignment horizontal="right"/>
    </xf>
    <xf numFmtId="0" fontId="44" fillId="0" borderId="25" xfId="0" applyFont="1" applyBorder="1" applyAlignment="1">
      <alignment horizontal="center"/>
    </xf>
    <xf numFmtId="3" fontId="43" fillId="0" borderId="25" xfId="0" applyNumberFormat="1" applyFont="1" applyBorder="1"/>
    <xf numFmtId="0" fontId="43" fillId="0" borderId="14" xfId="0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50" fillId="0" borderId="14" xfId="0" applyFont="1" applyBorder="1" applyAlignment="1">
      <alignment horizontal="center"/>
    </xf>
    <xf numFmtId="3" fontId="47" fillId="0" borderId="14" xfId="0" applyNumberFormat="1" applyFont="1" applyBorder="1"/>
    <xf numFmtId="0" fontId="39" fillId="4" borderId="14" xfId="0" applyFont="1" applyFill="1" applyBorder="1" applyAlignment="1">
      <alignment horizontal="right"/>
    </xf>
    <xf numFmtId="0" fontId="41" fillId="4" borderId="14" xfId="0" applyFont="1" applyFill="1" applyBorder="1" applyAlignment="1">
      <alignment horizontal="center"/>
    </xf>
    <xf numFmtId="0" fontId="43" fillId="0" borderId="24" xfId="0" applyFont="1" applyBorder="1" applyAlignment="1">
      <alignment horizontal="right"/>
    </xf>
    <xf numFmtId="0" fontId="44" fillId="0" borderId="24" xfId="0" applyFont="1" applyBorder="1" applyAlignment="1">
      <alignment horizontal="center"/>
    </xf>
    <xf numFmtId="3" fontId="43" fillId="0" borderId="24" xfId="0" applyNumberFormat="1" applyFont="1" applyBorder="1"/>
    <xf numFmtId="0" fontId="39" fillId="0" borderId="24" xfId="0" applyFont="1" applyBorder="1" applyAlignment="1">
      <alignment horizontal="right"/>
    </xf>
    <xf numFmtId="0" fontId="41" fillId="0" borderId="24" xfId="0" applyFont="1" applyBorder="1" applyAlignment="1">
      <alignment horizontal="center"/>
    </xf>
    <xf numFmtId="0" fontId="41" fillId="4" borderId="44" xfId="0" applyFont="1" applyFill="1" applyBorder="1"/>
    <xf numFmtId="0" fontId="41" fillId="4" borderId="44" xfId="0" applyFont="1" applyFill="1" applyBorder="1" applyAlignment="1">
      <alignment horizontal="center"/>
    </xf>
    <xf numFmtId="3" fontId="41" fillId="4" borderId="37" xfId="0" applyNumberFormat="1" applyFont="1" applyFill="1" applyBorder="1"/>
    <xf numFmtId="0" fontId="41" fillId="24" borderId="37" xfId="0" applyFont="1" applyFill="1" applyBorder="1"/>
    <xf numFmtId="0" fontId="41" fillId="24" borderId="37" xfId="0" applyFont="1" applyFill="1" applyBorder="1" applyAlignment="1">
      <alignment horizontal="center"/>
    </xf>
    <xf numFmtId="3" fontId="41" fillId="24" borderId="37" xfId="0" applyNumberFormat="1" applyFont="1" applyFill="1" applyBorder="1"/>
    <xf numFmtId="0" fontId="41" fillId="11" borderId="25" xfId="0" applyFont="1" applyFill="1" applyBorder="1"/>
    <xf numFmtId="0" fontId="41" fillId="11" borderId="25" xfId="0" applyFont="1" applyFill="1" applyBorder="1" applyAlignment="1">
      <alignment horizontal="center"/>
    </xf>
    <xf numFmtId="3" fontId="41" fillId="11" borderId="25" xfId="0" applyNumberFormat="1" applyFont="1" applyFill="1" applyBorder="1"/>
    <xf numFmtId="0" fontId="39" fillId="0" borderId="14" xfId="0" applyFont="1" applyBorder="1" applyAlignment="1">
      <alignment horizontal="right" vertical="center"/>
    </xf>
    <xf numFmtId="3" fontId="39" fillId="0" borderId="14" xfId="0" applyNumberFormat="1" applyFont="1" applyBorder="1" applyAlignment="1">
      <alignment vertical="center"/>
    </xf>
    <xf numFmtId="0" fontId="41" fillId="11" borderId="14" xfId="0" applyFont="1" applyFill="1" applyBorder="1"/>
    <xf numFmtId="0" fontId="41" fillId="11" borderId="14" xfId="0" applyFont="1" applyFill="1" applyBorder="1" applyAlignment="1">
      <alignment horizontal="center"/>
    </xf>
    <xf numFmtId="3" fontId="41" fillId="11" borderId="14" xfId="0" applyNumberFormat="1" applyFont="1" applyFill="1" applyBorder="1"/>
    <xf numFmtId="0" fontId="43" fillId="7" borderId="14" xfId="0" applyFont="1" applyFill="1" applyBorder="1" applyAlignment="1">
      <alignment horizontal="right"/>
    </xf>
    <xf numFmtId="0" fontId="44" fillId="7" borderId="14" xfId="0" applyFont="1" applyFill="1" applyBorder="1" applyAlignment="1">
      <alignment horizontal="center"/>
    </xf>
    <xf numFmtId="3" fontId="43" fillId="7" borderId="14" xfId="0" applyNumberFormat="1" applyFont="1" applyFill="1" applyBorder="1"/>
    <xf numFmtId="0" fontId="44" fillId="24" borderId="14" xfId="0" applyFont="1" applyFill="1" applyBorder="1"/>
    <xf numFmtId="0" fontId="44" fillId="24" borderId="14" xfId="0" applyFont="1" applyFill="1" applyBorder="1" applyAlignment="1">
      <alignment horizontal="left"/>
    </xf>
    <xf numFmtId="0" fontId="44" fillId="24" borderId="14" xfId="0" applyFont="1" applyFill="1" applyBorder="1" applyAlignment="1">
      <alignment horizontal="center"/>
    </xf>
    <xf numFmtId="3" fontId="44" fillId="24" borderId="14" xfId="0" applyNumberFormat="1" applyFont="1" applyFill="1" applyBorder="1"/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3" fontId="43" fillId="0" borderId="14" xfId="0" applyNumberFormat="1" applyFont="1" applyBorder="1" applyAlignment="1">
      <alignment vertical="center"/>
    </xf>
    <xf numFmtId="0" fontId="43" fillId="4" borderId="14" xfId="0" applyFont="1" applyFill="1" applyBorder="1" applyAlignment="1">
      <alignment horizontal="right" vertical="center"/>
    </xf>
    <xf numFmtId="0" fontId="44" fillId="4" borderId="14" xfId="0" applyFont="1" applyFill="1" applyBorder="1" applyAlignment="1">
      <alignment horizontal="center" vertical="center"/>
    </xf>
    <xf numFmtId="3" fontId="43" fillId="4" borderId="14" xfId="0" applyNumberFormat="1" applyFont="1" applyFill="1" applyBorder="1" applyAlignment="1">
      <alignment vertical="center"/>
    </xf>
    <xf numFmtId="0" fontId="41" fillId="24" borderId="14" xfId="0" applyFont="1" applyFill="1" applyBorder="1" applyAlignment="1">
      <alignment horizontal="left"/>
    </xf>
    <xf numFmtId="0" fontId="41" fillId="9" borderId="44" xfId="0" applyFont="1" applyFill="1" applyBorder="1"/>
    <xf numFmtId="0" fontId="41" fillId="9" borderId="44" xfId="0" applyFont="1" applyFill="1" applyBorder="1" applyAlignment="1">
      <alignment horizontal="center"/>
    </xf>
    <xf numFmtId="3" fontId="41" fillId="9" borderId="37" xfId="0" applyNumberFormat="1" applyFont="1" applyFill="1" applyBorder="1"/>
    <xf numFmtId="3" fontId="41" fillId="9" borderId="44" xfId="0" applyNumberFormat="1" applyFont="1" applyFill="1" applyBorder="1"/>
    <xf numFmtId="3" fontId="39" fillId="9" borderId="44" xfId="0" applyNumberFormat="1" applyFont="1" applyFill="1" applyBorder="1"/>
    <xf numFmtId="3" fontId="41" fillId="4" borderId="44" xfId="0" applyNumberFormat="1" applyFont="1" applyFill="1" applyBorder="1"/>
    <xf numFmtId="9" fontId="41" fillId="9" borderId="44" xfId="8" applyFont="1" applyFill="1" applyBorder="1"/>
    <xf numFmtId="0" fontId="75" fillId="5" borderId="0" xfId="0" applyFont="1" applyFill="1"/>
    <xf numFmtId="0" fontId="82" fillId="5" borderId="0" xfId="0" applyFont="1" applyFill="1"/>
    <xf numFmtId="49" fontId="41" fillId="5" borderId="0" xfId="0" applyNumberFormat="1" applyFont="1" applyFill="1" applyAlignment="1">
      <alignment horizontal="left" vertical="center"/>
    </xf>
    <xf numFmtId="0" fontId="75" fillId="12" borderId="0" xfId="0" applyFont="1" applyFill="1" applyBorder="1"/>
    <xf numFmtId="0" fontId="39" fillId="12" borderId="0" xfId="0" applyFont="1" applyFill="1" applyBorder="1"/>
    <xf numFmtId="0" fontId="75" fillId="12" borderId="0" xfId="0" applyFont="1" applyFill="1" applyBorder="1" applyAlignment="1">
      <alignment horizontal="center"/>
    </xf>
    <xf numFmtId="0" fontId="39" fillId="13" borderId="0" xfId="0" applyFont="1" applyFill="1" applyBorder="1"/>
    <xf numFmtId="0" fontId="75" fillId="13" borderId="0" xfId="0" applyFont="1" applyFill="1" applyBorder="1" applyAlignment="1">
      <alignment horizontal="center"/>
    </xf>
    <xf numFmtId="0" fontId="75" fillId="13" borderId="0" xfId="0" applyFont="1" applyFill="1" applyBorder="1"/>
    <xf numFmtId="0" fontId="75" fillId="5" borderId="1" xfId="0" applyFont="1" applyFill="1" applyBorder="1"/>
    <xf numFmtId="0" fontId="75" fillId="5" borderId="5" xfId="0" applyFont="1" applyFill="1" applyBorder="1"/>
    <xf numFmtId="0" fontId="75" fillId="5" borderId="5" xfId="0" applyFont="1" applyFill="1" applyBorder="1" applyAlignment="1">
      <alignment horizontal="center"/>
    </xf>
    <xf numFmtId="0" fontId="75" fillId="5" borderId="50" xfId="0" applyFont="1" applyFill="1" applyBorder="1"/>
    <xf numFmtId="0" fontId="75" fillId="5" borderId="3" xfId="0" applyFont="1" applyFill="1" applyBorder="1"/>
    <xf numFmtId="0" fontId="39" fillId="14" borderId="23" xfId="0" applyFont="1" applyFill="1" applyBorder="1"/>
    <xf numFmtId="0" fontId="39" fillId="14" borderId="25" xfId="0" applyFont="1" applyFill="1" applyBorder="1" applyAlignment="1">
      <alignment horizontal="right" indent="5"/>
    </xf>
    <xf numFmtId="168" fontId="39" fillId="14" borderId="25" xfId="0" applyNumberFormat="1" applyFont="1" applyFill="1" applyBorder="1" applyAlignment="1">
      <alignment horizontal="right" indent="1"/>
    </xf>
    <xf numFmtId="0" fontId="39" fillId="14" borderId="25" xfId="0" applyFont="1" applyFill="1" applyBorder="1"/>
    <xf numFmtId="0" fontId="39" fillId="14" borderId="25" xfId="0" applyFont="1" applyFill="1" applyBorder="1" applyAlignment="1">
      <alignment horizontal="center"/>
    </xf>
    <xf numFmtId="0" fontId="43" fillId="14" borderId="25" xfId="0" applyFont="1" applyFill="1" applyBorder="1"/>
    <xf numFmtId="0" fontId="43" fillId="14" borderId="26" xfId="0" applyFont="1" applyFill="1" applyBorder="1"/>
    <xf numFmtId="0" fontId="39" fillId="14" borderId="10" xfId="0" applyFont="1" applyFill="1" applyBorder="1"/>
    <xf numFmtId="0" fontId="39" fillId="14" borderId="14" xfId="0" applyFont="1" applyFill="1" applyBorder="1"/>
    <xf numFmtId="0" fontId="44" fillId="14" borderId="25" xfId="0" applyFont="1" applyFill="1" applyBorder="1" applyAlignment="1">
      <alignment horizontal="center"/>
    </xf>
    <xf numFmtId="0" fontId="39" fillId="4" borderId="23" xfId="0" applyFont="1" applyFill="1" applyBorder="1" applyAlignment="1">
      <alignment wrapText="1"/>
    </xf>
    <xf numFmtId="0" fontId="39" fillId="14" borderId="23" xfId="0" applyFont="1" applyFill="1" applyBorder="1" applyAlignment="1">
      <alignment wrapText="1"/>
    </xf>
    <xf numFmtId="168" fontId="39" fillId="4" borderId="25" xfId="0" applyNumberFormat="1" applyFont="1" applyFill="1" applyBorder="1" applyAlignment="1">
      <alignment horizontal="right" indent="1"/>
    </xf>
    <xf numFmtId="0" fontId="39" fillId="15" borderId="23" xfId="0" applyFont="1" applyFill="1" applyBorder="1" applyAlignment="1">
      <alignment wrapText="1"/>
    </xf>
    <xf numFmtId="0" fontId="39" fillId="15" borderId="25" xfId="0" applyFont="1" applyFill="1" applyBorder="1" applyAlignment="1">
      <alignment horizontal="right" indent="5"/>
    </xf>
    <xf numFmtId="168" fontId="39" fillId="15" borderId="25" xfId="0" applyNumberFormat="1" applyFont="1" applyFill="1" applyBorder="1" applyAlignment="1">
      <alignment horizontal="right" indent="1"/>
    </xf>
    <xf numFmtId="0" fontId="39" fillId="15" borderId="14" xfId="0" applyFont="1" applyFill="1" applyBorder="1"/>
    <xf numFmtId="0" fontId="44" fillId="15" borderId="25" xfId="0" applyFont="1" applyFill="1" applyBorder="1" applyAlignment="1">
      <alignment horizontal="center"/>
    </xf>
    <xf numFmtId="0" fontId="39" fillId="15" borderId="25" xfId="0" applyFont="1" applyFill="1" applyBorder="1" applyAlignment="1">
      <alignment horizontal="center"/>
    </xf>
    <xf numFmtId="0" fontId="43" fillId="15" borderId="25" xfId="0" applyFont="1" applyFill="1" applyBorder="1"/>
    <xf numFmtId="0" fontId="43" fillId="15" borderId="26" xfId="0" applyFont="1" applyFill="1" applyBorder="1"/>
    <xf numFmtId="0" fontId="39" fillId="15" borderId="10" xfId="0" applyFont="1" applyFill="1" applyBorder="1"/>
    <xf numFmtId="0" fontId="39" fillId="14" borderId="19" xfId="0" applyFont="1" applyFill="1" applyBorder="1"/>
    <xf numFmtId="0" fontId="39" fillId="14" borderId="14" xfId="0" applyFont="1" applyFill="1" applyBorder="1" applyAlignment="1">
      <alignment horizontal="right" indent="5"/>
    </xf>
    <xf numFmtId="168" fontId="39" fillId="14" borderId="14" xfId="0" applyNumberFormat="1" applyFont="1" applyFill="1" applyBorder="1" applyAlignment="1">
      <alignment horizontal="right" indent="1"/>
    </xf>
    <xf numFmtId="0" fontId="39" fillId="14" borderId="14" xfId="0" applyFont="1" applyFill="1" applyBorder="1" applyAlignment="1">
      <alignment horizontal="center"/>
    </xf>
    <xf numFmtId="0" fontId="43" fillId="14" borderId="14" xfId="0" applyFont="1" applyFill="1" applyBorder="1"/>
    <xf numFmtId="0" fontId="43" fillId="14" borderId="71" xfId="0" applyFont="1" applyFill="1" applyBorder="1"/>
    <xf numFmtId="0" fontId="39" fillId="14" borderId="11" xfId="0" applyFont="1" applyFill="1" applyBorder="1"/>
    <xf numFmtId="0" fontId="39" fillId="15" borderId="19" xfId="0" applyFont="1" applyFill="1" applyBorder="1"/>
    <xf numFmtId="0" fontId="39" fillId="15" borderId="14" xfId="0" applyFont="1" applyFill="1" applyBorder="1" applyAlignment="1">
      <alignment horizontal="right" indent="5"/>
    </xf>
    <xf numFmtId="168" fontId="39" fillId="15" borderId="14" xfId="0" applyNumberFormat="1" applyFont="1" applyFill="1" applyBorder="1" applyAlignment="1">
      <alignment horizontal="right" indent="1"/>
    </xf>
    <xf numFmtId="0" fontId="39" fillId="15" borderId="14" xfId="0" applyFont="1" applyFill="1" applyBorder="1" applyAlignment="1">
      <alignment horizontal="center"/>
    </xf>
    <xf numFmtId="0" fontId="44" fillId="15" borderId="14" xfId="0" applyFont="1" applyFill="1" applyBorder="1" applyAlignment="1">
      <alignment horizontal="center"/>
    </xf>
    <xf numFmtId="0" fontId="43" fillId="15" borderId="14" xfId="0" applyFont="1" applyFill="1" applyBorder="1"/>
    <xf numFmtId="0" fontId="43" fillId="15" borderId="71" xfId="0" applyFont="1" applyFill="1" applyBorder="1"/>
    <xf numFmtId="0" fontId="39" fillId="15" borderId="11" xfId="0" applyFont="1" applyFill="1" applyBorder="1"/>
    <xf numFmtId="0" fontId="44" fillId="14" borderId="14" xfId="0" applyFont="1" applyFill="1" applyBorder="1" applyAlignment="1">
      <alignment horizontal="center"/>
    </xf>
    <xf numFmtId="0" fontId="39" fillId="4" borderId="19" xfId="0" applyFont="1" applyFill="1" applyBorder="1"/>
    <xf numFmtId="0" fontId="39" fillId="14" borderId="37" xfId="0" applyFont="1" applyFill="1" applyBorder="1"/>
    <xf numFmtId="0" fontId="44" fillId="14" borderId="37" xfId="0" applyFont="1" applyFill="1" applyBorder="1" applyAlignment="1">
      <alignment horizontal="center"/>
    </xf>
    <xf numFmtId="0" fontId="43" fillId="14" borderId="37" xfId="0" applyFont="1" applyFill="1" applyBorder="1"/>
    <xf numFmtId="0" fontId="43" fillId="14" borderId="49" xfId="0" applyFont="1" applyFill="1" applyBorder="1"/>
    <xf numFmtId="0" fontId="39" fillId="14" borderId="34" xfId="0" applyFont="1" applyFill="1" applyBorder="1"/>
    <xf numFmtId="3" fontId="39" fillId="5" borderId="0" xfId="0" applyNumberFormat="1" applyFont="1" applyFill="1" applyAlignment="1">
      <alignment horizontal="right" indent="5"/>
    </xf>
    <xf numFmtId="168" fontId="39" fillId="5" borderId="0" xfId="0" applyNumberFormat="1" applyFont="1" applyFill="1"/>
    <xf numFmtId="0" fontId="75" fillId="5" borderId="56" xfId="0" applyFont="1" applyFill="1" applyBorder="1"/>
    <xf numFmtId="0" fontId="39" fillId="5" borderId="25" xfId="0" applyFont="1" applyFill="1" applyBorder="1"/>
    <xf numFmtId="0" fontId="39" fillId="5" borderId="27" xfId="0" applyFont="1" applyFill="1" applyBorder="1"/>
    <xf numFmtId="0" fontId="39" fillId="15" borderId="25" xfId="0" applyFont="1" applyFill="1" applyBorder="1"/>
    <xf numFmtId="0" fontId="39" fillId="15" borderId="23" xfId="0" applyFont="1" applyFill="1" applyBorder="1"/>
    <xf numFmtId="3" fontId="39" fillId="14" borderId="25" xfId="0" applyNumberFormat="1" applyFont="1" applyFill="1" applyBorder="1" applyAlignment="1">
      <alignment horizontal="right" indent="5"/>
    </xf>
    <xf numFmtId="0" fontId="39" fillId="7" borderId="19" xfId="0" applyFont="1" applyFill="1" applyBorder="1"/>
    <xf numFmtId="0" fontId="39" fillId="7" borderId="14" xfId="0" applyFont="1" applyFill="1" applyBorder="1" applyAlignment="1">
      <alignment horizontal="right" indent="5"/>
    </xf>
    <xf numFmtId="168" fontId="39" fillId="7" borderId="14" xfId="0" applyNumberFormat="1" applyFont="1" applyFill="1" applyBorder="1" applyAlignment="1">
      <alignment horizontal="right" indent="1"/>
    </xf>
    <xf numFmtId="0" fontId="39" fillId="7" borderId="14" xfId="0" applyFont="1" applyFill="1" applyBorder="1"/>
    <xf numFmtId="0" fontId="39" fillId="5" borderId="14" xfId="0" applyFont="1" applyFill="1" applyBorder="1"/>
    <xf numFmtId="0" fontId="39" fillId="5" borderId="43" xfId="0" applyFont="1" applyFill="1" applyBorder="1"/>
    <xf numFmtId="0" fontId="39" fillId="14" borderId="19" xfId="0" applyFont="1" applyFill="1" applyBorder="1" applyAlignment="1">
      <alignment wrapText="1"/>
    </xf>
    <xf numFmtId="0" fontId="39" fillId="5" borderId="19" xfId="0" applyFont="1" applyFill="1" applyBorder="1"/>
    <xf numFmtId="3" fontId="39" fillId="5" borderId="14" xfId="0" applyNumberFormat="1" applyFont="1" applyFill="1" applyBorder="1" applyAlignment="1">
      <alignment horizontal="right" indent="5"/>
    </xf>
    <xf numFmtId="168" fontId="39" fillId="5" borderId="14" xfId="0" applyNumberFormat="1" applyFont="1" applyFill="1" applyBorder="1" applyAlignment="1">
      <alignment horizontal="right" indent="1"/>
    </xf>
    <xf numFmtId="0" fontId="39" fillId="5" borderId="14" xfId="0" applyFont="1" applyFill="1" applyBorder="1" applyAlignment="1">
      <alignment horizontal="right" indent="5"/>
    </xf>
    <xf numFmtId="0" fontId="39" fillId="5" borderId="40" xfId="0" applyFont="1" applyFill="1" applyBorder="1"/>
    <xf numFmtId="0" fontId="39" fillId="5" borderId="37" xfId="0" applyFont="1" applyFill="1" applyBorder="1" applyAlignment="1">
      <alignment horizontal="right" indent="5"/>
    </xf>
    <xf numFmtId="168" fontId="39" fillId="5" borderId="51" xfId="0" applyNumberFormat="1" applyFont="1" applyFill="1" applyBorder="1" applyAlignment="1">
      <alignment horizontal="right" indent="1"/>
    </xf>
    <xf numFmtId="168" fontId="39" fillId="5" borderId="37" xfId="0" applyNumberFormat="1" applyFont="1" applyFill="1" applyBorder="1" applyAlignment="1">
      <alignment horizontal="right" indent="1"/>
    </xf>
    <xf numFmtId="0" fontId="39" fillId="5" borderId="37" xfId="0" applyFont="1" applyFill="1" applyBorder="1"/>
    <xf numFmtId="0" fontId="39" fillId="5" borderId="33" xfId="0" applyFont="1" applyFill="1" applyBorder="1"/>
    <xf numFmtId="0" fontId="75" fillId="5" borderId="22" xfId="0" applyFont="1" applyFill="1" applyBorder="1"/>
    <xf numFmtId="168" fontId="39" fillId="15" borderId="23" xfId="0" applyNumberFormat="1" applyFont="1" applyFill="1" applyBorder="1" applyAlignment="1">
      <alignment horizontal="right" indent="1"/>
    </xf>
    <xf numFmtId="168" fontId="39" fillId="15" borderId="42" xfId="0" applyNumberFormat="1" applyFont="1" applyFill="1" applyBorder="1" applyAlignment="1">
      <alignment horizontal="right" indent="1"/>
    </xf>
    <xf numFmtId="168" fontId="39" fillId="14" borderId="23" xfId="0" applyNumberFormat="1" applyFont="1" applyFill="1" applyBorder="1" applyAlignment="1">
      <alignment horizontal="right" indent="1"/>
    </xf>
    <xf numFmtId="168" fontId="39" fillId="14" borderId="42" xfId="0" applyNumberFormat="1" applyFont="1" applyFill="1" applyBorder="1" applyAlignment="1">
      <alignment horizontal="right" indent="1"/>
    </xf>
    <xf numFmtId="0" fontId="39" fillId="16" borderId="10" xfId="0" applyFont="1" applyFill="1" applyBorder="1"/>
    <xf numFmtId="168" fontId="39" fillId="16" borderId="19" xfId="0" applyNumberFormat="1" applyFont="1" applyFill="1" applyBorder="1" applyAlignment="1">
      <alignment horizontal="right" indent="1"/>
    </xf>
    <xf numFmtId="168" fontId="39" fillId="16" borderId="42" xfId="0" applyNumberFormat="1" applyFont="1" applyFill="1" applyBorder="1" applyAlignment="1">
      <alignment horizontal="right" indent="1"/>
    </xf>
    <xf numFmtId="0" fontId="39" fillId="16" borderId="25" xfId="0" applyFont="1" applyFill="1" applyBorder="1"/>
    <xf numFmtId="168" fontId="39" fillId="14" borderId="19" xfId="0" applyNumberFormat="1" applyFont="1" applyFill="1" applyBorder="1" applyAlignment="1">
      <alignment horizontal="right" indent="1"/>
    </xf>
    <xf numFmtId="168" fontId="39" fillId="15" borderId="19" xfId="0" applyNumberFormat="1" applyFont="1" applyFill="1" applyBorder="1" applyAlignment="1">
      <alignment horizontal="right" indent="1"/>
    </xf>
    <xf numFmtId="168" fontId="39" fillId="14" borderId="40" xfId="0" applyNumberFormat="1" applyFont="1" applyFill="1" applyBorder="1" applyAlignment="1">
      <alignment horizontal="right" indent="1"/>
    </xf>
    <xf numFmtId="168" fontId="39" fillId="14" borderId="48" xfId="0" applyNumberFormat="1" applyFont="1" applyFill="1" applyBorder="1" applyAlignment="1">
      <alignment horizontal="right" indent="1"/>
    </xf>
    <xf numFmtId="168" fontId="39" fillId="4" borderId="37" xfId="0" applyNumberFormat="1" applyFont="1" applyFill="1" applyBorder="1" applyAlignment="1">
      <alignment horizontal="right" indent="1"/>
    </xf>
    <xf numFmtId="168" fontId="39" fillId="5" borderId="37" xfId="0" applyNumberFormat="1" applyFont="1" applyFill="1" applyBorder="1" applyAlignment="1"/>
    <xf numFmtId="0" fontId="39" fillId="15" borderId="27" xfId="0" applyFont="1" applyFill="1" applyBorder="1"/>
    <xf numFmtId="0" fontId="39" fillId="14" borderId="10" xfId="0" applyFont="1" applyFill="1" applyBorder="1" applyAlignment="1">
      <alignment wrapText="1"/>
    </xf>
    <xf numFmtId="0" fontId="39" fillId="14" borderId="27" xfId="0" applyFont="1" applyFill="1" applyBorder="1"/>
    <xf numFmtId="0" fontId="39" fillId="17" borderId="10" xfId="0" applyFont="1" applyFill="1" applyBorder="1"/>
    <xf numFmtId="168" fontId="39" fillId="16" borderId="23" xfId="0" applyNumberFormat="1" applyFont="1" applyFill="1" applyBorder="1" applyAlignment="1">
      <alignment horizontal="right" indent="1"/>
    </xf>
    <xf numFmtId="168" fontId="39" fillId="16" borderId="25" xfId="0" applyNumberFormat="1" applyFont="1" applyFill="1" applyBorder="1" applyAlignment="1">
      <alignment horizontal="right" indent="1"/>
    </xf>
    <xf numFmtId="0" fontId="39" fillId="16" borderId="27" xfId="0" applyFont="1" applyFill="1" applyBorder="1"/>
    <xf numFmtId="0" fontId="39" fillId="15" borderId="10" xfId="0" applyFont="1" applyFill="1" applyBorder="1" applyAlignment="1">
      <alignment wrapText="1"/>
    </xf>
    <xf numFmtId="0" fontId="39" fillId="5" borderId="53" xfId="0" applyFont="1" applyFill="1" applyBorder="1"/>
    <xf numFmtId="168" fontId="39" fillId="5" borderId="40" xfId="0" applyNumberFormat="1" applyFont="1" applyFill="1" applyBorder="1" applyAlignment="1">
      <alignment horizontal="right" indent="1"/>
    </xf>
    <xf numFmtId="168" fontId="39" fillId="5" borderId="55" xfId="0" applyNumberFormat="1" applyFont="1" applyFill="1" applyBorder="1" applyAlignment="1">
      <alignment horizontal="right" indent="1"/>
    </xf>
    <xf numFmtId="0" fontId="39" fillId="5" borderId="28" xfId="0" applyFont="1" applyFill="1" applyBorder="1"/>
    <xf numFmtId="0" fontId="39" fillId="5" borderId="10" xfId="0" applyFont="1" applyFill="1" applyBorder="1" applyAlignment="1">
      <alignment wrapText="1"/>
    </xf>
    <xf numFmtId="168" fontId="39" fillId="5" borderId="23" xfId="0" applyNumberFormat="1" applyFont="1" applyFill="1" applyBorder="1" applyAlignment="1">
      <alignment horizontal="right" indent="1"/>
    </xf>
    <xf numFmtId="168" fontId="39" fillId="5" borderId="42" xfId="0" applyNumberFormat="1" applyFont="1" applyFill="1" applyBorder="1" applyAlignment="1">
      <alignment horizontal="right" indent="1"/>
    </xf>
    <xf numFmtId="168" fontId="39" fillId="5" borderId="25" xfId="0" applyNumberFormat="1" applyFont="1" applyFill="1" applyBorder="1" applyAlignment="1">
      <alignment horizontal="right" indent="1"/>
    </xf>
    <xf numFmtId="0" fontId="39" fillId="15" borderId="53" xfId="0" applyFont="1" applyFill="1" applyBorder="1"/>
    <xf numFmtId="168" fontId="39" fillId="15" borderId="40" xfId="0" applyNumberFormat="1" applyFont="1" applyFill="1" applyBorder="1" applyAlignment="1">
      <alignment horizontal="right" indent="1"/>
    </xf>
    <xf numFmtId="168" fontId="39" fillId="15" borderId="55" xfId="0" applyNumberFormat="1" applyFont="1" applyFill="1" applyBorder="1" applyAlignment="1">
      <alignment horizontal="right" indent="1"/>
    </xf>
    <xf numFmtId="168" fontId="39" fillId="15" borderId="51" xfId="0" applyNumberFormat="1" applyFont="1" applyFill="1" applyBorder="1" applyAlignment="1">
      <alignment horizontal="right" indent="1"/>
    </xf>
    <xf numFmtId="0" fontId="39" fillId="15" borderId="28" xfId="0" applyFont="1" applyFill="1" applyBorder="1"/>
    <xf numFmtId="0" fontId="75" fillId="5" borderId="0" xfId="0" applyFont="1" applyFill="1" applyAlignment="1">
      <alignment horizontal="center"/>
    </xf>
    <xf numFmtId="0" fontId="82" fillId="5" borderId="0" xfId="0" applyFont="1" applyFill="1" applyAlignment="1">
      <alignment horizontal="right"/>
    </xf>
    <xf numFmtId="168" fontId="82" fillId="5" borderId="0" xfId="0" applyNumberFormat="1" applyFont="1" applyFill="1"/>
    <xf numFmtId="168" fontId="75" fillId="5" borderId="0" xfId="0" applyNumberFormat="1" applyFont="1" applyFill="1"/>
    <xf numFmtId="168" fontId="83" fillId="5" borderId="0" xfId="0" applyNumberFormat="1" applyFont="1" applyFill="1"/>
    <xf numFmtId="168" fontId="44" fillId="5" borderId="0" xfId="0" applyNumberFormat="1" applyFont="1" applyFill="1"/>
    <xf numFmtId="0" fontId="82" fillId="14" borderId="0" xfId="0" applyFont="1" applyFill="1"/>
    <xf numFmtId="168" fontId="82" fillId="14" borderId="0" xfId="0" applyNumberFormat="1" applyFont="1" applyFill="1"/>
    <xf numFmtId="0" fontId="82" fillId="17" borderId="0" xfId="0" applyFont="1" applyFill="1"/>
    <xf numFmtId="168" fontId="82" fillId="17" borderId="0" xfId="0" applyNumberFormat="1" applyFont="1" applyFill="1"/>
    <xf numFmtId="168" fontId="84" fillId="5" borderId="0" xfId="0" applyNumberFormat="1" applyFont="1" applyFill="1"/>
    <xf numFmtId="3" fontId="41" fillId="24" borderId="0" xfId="0" applyNumberFormat="1" applyFont="1" applyFill="1"/>
    <xf numFmtId="3" fontId="50" fillId="24" borderId="0" xfId="0" applyNumberFormat="1" applyFont="1" applyFill="1"/>
    <xf numFmtId="0" fontId="44" fillId="24" borderId="0" xfId="0" applyFont="1" applyFill="1"/>
    <xf numFmtId="3" fontId="50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47" fillId="24" borderId="0" xfId="0" applyNumberFormat="1" applyFont="1" applyFill="1"/>
    <xf numFmtId="0" fontId="47" fillId="0" borderId="0" xfId="0" applyFont="1" applyAlignment="1">
      <alignment horizontal="right" wrapText="1"/>
    </xf>
    <xf numFmtId="0" fontId="70" fillId="11" borderId="14" xfId="0" applyFont="1" applyFill="1" applyBorder="1" applyAlignment="1">
      <alignment horizontal="center"/>
    </xf>
    <xf numFmtId="0" fontId="70" fillId="11" borderId="14" xfId="0" applyFont="1" applyFill="1" applyBorder="1"/>
    <xf numFmtId="0" fontId="39" fillId="11" borderId="14" xfId="0" applyFont="1" applyFill="1" applyBorder="1"/>
    <xf numFmtId="3" fontId="39" fillId="11" borderId="14" xfId="0" applyNumberFormat="1" applyFont="1" applyFill="1" applyBorder="1"/>
    <xf numFmtId="0" fontId="39" fillId="11" borderId="14" xfId="0" applyFont="1" applyFill="1" applyBorder="1" applyAlignment="1">
      <alignment horizontal="center"/>
    </xf>
    <xf numFmtId="49" fontId="57" fillId="23" borderId="0" xfId="0" applyNumberFormat="1" applyFont="1" applyFill="1" applyAlignment="1">
      <alignment horizontal="center"/>
    </xf>
    <xf numFmtId="4" fontId="57" fillId="23" borderId="0" xfId="0" applyNumberFormat="1" applyFont="1" applyFill="1" applyAlignment="1">
      <alignment horizontal="center"/>
    </xf>
    <xf numFmtId="0" fontId="59" fillId="23" borderId="0" xfId="0" applyFont="1" applyFill="1" applyAlignment="1">
      <alignment horizontal="right"/>
    </xf>
    <xf numFmtId="4" fontId="59" fillId="23" borderId="0" xfId="0" applyNumberFormat="1" applyFont="1" applyFill="1"/>
    <xf numFmtId="4" fontId="62" fillId="23" borderId="0" xfId="0" applyNumberFormat="1" applyFont="1" applyFill="1" applyAlignment="1">
      <alignment horizontal="center"/>
    </xf>
    <xf numFmtId="3" fontId="59" fillId="23" borderId="0" xfId="0" applyNumberFormat="1" applyFont="1" applyFill="1" applyAlignment="1">
      <alignment horizontal="center"/>
    </xf>
    <xf numFmtId="0" fontId="59" fillId="23" borderId="0" xfId="0" applyFont="1" applyFill="1" applyAlignment="1">
      <alignment horizontal="center"/>
    </xf>
    <xf numFmtId="4" fontId="59" fillId="23" borderId="0" xfId="0" applyNumberFormat="1" applyFont="1" applyFill="1" applyAlignment="1">
      <alignment horizontal="center"/>
    </xf>
    <xf numFmtId="3" fontId="39" fillId="9" borderId="15" xfId="0" applyNumberFormat="1" applyFont="1" applyFill="1" applyBorder="1"/>
    <xf numFmtId="3" fontId="39" fillId="9" borderId="58" xfId="0" applyNumberFormat="1" applyFont="1" applyFill="1" applyBorder="1"/>
    <xf numFmtId="0" fontId="39" fillId="0" borderId="10" xfId="7" applyFont="1" applyBorder="1" applyAlignment="1">
      <alignment vertical="center" wrapText="1"/>
    </xf>
    <xf numFmtId="0" fontId="39" fillId="0" borderId="10" xfId="7" applyFont="1" applyBorder="1" applyAlignment="1">
      <alignment vertical="center"/>
    </xf>
    <xf numFmtId="0" fontId="39" fillId="0" borderId="10" xfId="7" applyFont="1" applyBorder="1" applyAlignment="1">
      <alignment horizontal="center" vertical="center"/>
    </xf>
    <xf numFmtId="0" fontId="39" fillId="0" borderId="17" xfId="7" applyFont="1" applyBorder="1" applyAlignment="1">
      <alignment horizontal="center" vertical="center"/>
    </xf>
    <xf numFmtId="0" fontId="47" fillId="0" borderId="0" xfId="7" applyFont="1" applyFill="1" applyAlignment="1">
      <alignment horizontal="center" vertical="center"/>
    </xf>
    <xf numFmtId="0" fontId="43" fillId="0" borderId="0" xfId="7" applyFont="1" applyFill="1" applyAlignment="1">
      <alignment horizontal="center" vertical="center"/>
    </xf>
    <xf numFmtId="0" fontId="39" fillId="23" borderId="0" xfId="7" applyFont="1" applyFill="1" applyAlignment="1">
      <alignment vertical="center"/>
    </xf>
    <xf numFmtId="0" fontId="43" fillId="0" borderId="19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8" xfId="0" applyFont="1" applyFill="1" applyBorder="1" applyAlignment="1">
      <alignment wrapText="1"/>
    </xf>
    <xf numFmtId="3" fontId="43" fillId="0" borderId="8" xfId="0" applyNumberFormat="1" applyFont="1" applyFill="1" applyBorder="1" applyAlignment="1">
      <alignment wrapText="1"/>
    </xf>
    <xf numFmtId="3" fontId="43" fillId="5" borderId="11" xfId="0" applyNumberFormat="1" applyFont="1" applyFill="1" applyBorder="1"/>
    <xf numFmtId="49" fontId="39" fillId="0" borderId="11" xfId="7" applyNumberFormat="1" applyFont="1" applyBorder="1" applyAlignment="1">
      <alignment horizontal="left" vertical="center"/>
    </xf>
    <xf numFmtId="0" fontId="39" fillId="0" borderId="11" xfId="7" applyFont="1" applyBorder="1" applyAlignment="1">
      <alignment vertical="center" wrapText="1"/>
    </xf>
    <xf numFmtId="0" fontId="39" fillId="0" borderId="11" xfId="7" applyFont="1" applyBorder="1" applyAlignment="1">
      <alignment vertical="center"/>
    </xf>
    <xf numFmtId="0" fontId="39" fillId="0" borderId="11" xfId="7" applyFont="1" applyBorder="1" applyAlignment="1">
      <alignment horizontal="center" vertical="center"/>
    </xf>
    <xf numFmtId="0" fontId="39" fillId="0" borderId="58" xfId="7" applyFont="1" applyBorder="1" applyAlignment="1">
      <alignment horizontal="center" vertical="center"/>
    </xf>
    <xf numFmtId="3" fontId="39" fillId="0" borderId="11" xfId="7" applyNumberFormat="1" applyFont="1" applyBorder="1" applyAlignment="1">
      <alignment horizontal="right" vertical="center"/>
    </xf>
    <xf numFmtId="3" fontId="41" fillId="0" borderId="11" xfId="7" applyNumberFormat="1" applyFont="1" applyBorder="1" applyAlignment="1">
      <alignment horizontal="right" vertical="center"/>
    </xf>
    <xf numFmtId="0" fontId="39" fillId="30" borderId="53" xfId="7" applyFont="1" applyFill="1" applyBorder="1" applyAlignment="1">
      <alignment wrapText="1"/>
    </xf>
    <xf numFmtId="0" fontId="74" fillId="5" borderId="11" xfId="0" applyFont="1" applyFill="1" applyBorder="1" applyAlignment="1">
      <alignment wrapText="1"/>
    </xf>
    <xf numFmtId="3" fontId="43" fillId="4" borderId="3" xfId="0" applyNumberFormat="1" applyFont="1" applyFill="1" applyBorder="1"/>
    <xf numFmtId="4" fontId="37" fillId="25" borderId="14" xfId="0" applyNumberFormat="1" applyFont="1" applyFill="1" applyBorder="1" applyAlignment="1">
      <alignment vertical="top"/>
    </xf>
    <xf numFmtId="3" fontId="39" fillId="0" borderId="53" xfId="7" applyNumberFormat="1" applyFont="1" applyBorder="1" applyAlignment="1">
      <alignment horizontal="right" wrapText="1"/>
    </xf>
    <xf numFmtId="0" fontId="44" fillId="3" borderId="23" xfId="0" applyFont="1" applyFill="1" applyBorder="1" applyAlignment="1">
      <alignment horizontal="center"/>
    </xf>
    <xf numFmtId="3" fontId="43" fillId="9" borderId="58" xfId="0" applyNumberFormat="1" applyFont="1" applyFill="1" applyBorder="1"/>
    <xf numFmtId="3" fontId="43" fillId="0" borderId="21" xfId="0" applyNumberFormat="1" applyFont="1" applyFill="1" applyBorder="1"/>
    <xf numFmtId="3" fontId="43" fillId="9" borderId="14" xfId="0" applyNumberFormat="1" applyFont="1" applyFill="1" applyBorder="1"/>
    <xf numFmtId="3" fontId="43" fillId="9" borderId="19" xfId="0" applyNumberFormat="1" applyFont="1" applyFill="1" applyBorder="1"/>
    <xf numFmtId="3" fontId="43" fillId="0" borderId="43" xfId="0" applyNumberFormat="1" applyFont="1" applyFill="1" applyBorder="1"/>
    <xf numFmtId="0" fontId="43" fillId="5" borderId="27" xfId="0" applyFont="1" applyFill="1" applyBorder="1" applyAlignment="1">
      <alignment horizontal="right" wrapText="1"/>
    </xf>
    <xf numFmtId="3" fontId="43" fillId="4" borderId="10" xfId="0" applyNumberFormat="1" applyFont="1" applyFill="1" applyBorder="1"/>
    <xf numFmtId="3" fontId="43" fillId="5" borderId="17" xfId="0" applyNumberFormat="1" applyFont="1" applyFill="1" applyBorder="1"/>
    <xf numFmtId="3" fontId="43" fillId="7" borderId="10" xfId="0" applyNumberFormat="1" applyFont="1" applyFill="1" applyBorder="1"/>
    <xf numFmtId="3" fontId="43" fillId="5" borderId="42" xfId="0" applyNumberFormat="1" applyFont="1" applyFill="1" applyBorder="1"/>
    <xf numFmtId="3" fontId="43" fillId="5" borderId="27" xfId="0" applyNumberFormat="1" applyFont="1" applyFill="1" applyBorder="1"/>
    <xf numFmtId="3" fontId="39" fillId="11" borderId="11" xfId="0" applyNumberFormat="1" applyFont="1" applyFill="1" applyBorder="1"/>
    <xf numFmtId="3" fontId="39" fillId="0" borderId="17" xfId="10" applyNumberFormat="1" applyFont="1" applyFill="1" applyBorder="1" applyAlignment="1">
      <alignment horizontal="right" vertical="center"/>
    </xf>
    <xf numFmtId="9" fontId="39" fillId="0" borderId="0" xfId="8" applyFont="1"/>
    <xf numFmtId="3" fontId="61" fillId="23" borderId="0" xfId="0" applyNumberFormat="1" applyFont="1" applyFill="1" applyAlignment="1">
      <alignment horizontal="right"/>
    </xf>
    <xf numFmtId="4" fontId="58" fillId="23" borderId="0" xfId="0" applyNumberFormat="1" applyFont="1" applyFill="1" applyAlignment="1">
      <alignment horizontal="right"/>
    </xf>
    <xf numFmtId="0" fontId="39" fillId="0" borderId="45" xfId="0" applyFont="1" applyBorder="1"/>
    <xf numFmtId="3" fontId="85" fillId="0" borderId="0" xfId="0" applyNumberFormat="1" applyFont="1"/>
    <xf numFmtId="0" fontId="85" fillId="0" borderId="45" xfId="0" applyFont="1" applyBorder="1"/>
    <xf numFmtId="0" fontId="85" fillId="0" borderId="45" xfId="0" applyFont="1" applyBorder="1" applyAlignment="1">
      <alignment horizontal="left"/>
    </xf>
    <xf numFmtId="0" fontId="39" fillId="12" borderId="0" xfId="0" applyFont="1" applyFill="1"/>
    <xf numFmtId="0" fontId="39" fillId="0" borderId="1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6" xfId="0" applyFont="1" applyBorder="1"/>
    <xf numFmtId="0" fontId="39" fillId="0" borderId="18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10" xfId="0" applyFont="1" applyBorder="1"/>
    <xf numFmtId="0" fontId="39" fillId="0" borderId="23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11" xfId="0" applyFont="1" applyBorder="1"/>
    <xf numFmtId="0" fontId="39" fillId="0" borderId="19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59" xfId="0" applyFont="1" applyFill="1" applyBorder="1" applyAlignment="1">
      <alignment horizontal="center"/>
    </xf>
    <xf numFmtId="0" fontId="39" fillId="0" borderId="10" xfId="0" applyFont="1" applyFill="1" applyBorder="1"/>
    <xf numFmtId="0" fontId="39" fillId="0" borderId="26" xfId="0" applyFont="1" applyFill="1" applyBorder="1" applyAlignment="1">
      <alignment horizontal="center"/>
    </xf>
    <xf numFmtId="0" fontId="39" fillId="0" borderId="69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11" xfId="0" applyFont="1" applyFill="1" applyBorder="1"/>
    <xf numFmtId="0" fontId="39" fillId="0" borderId="58" xfId="0" applyFont="1" applyFill="1" applyBorder="1" applyAlignment="1">
      <alignment horizontal="center"/>
    </xf>
    <xf numFmtId="0" fontId="39" fillId="0" borderId="71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34" xfId="0" applyFont="1" applyBorder="1"/>
    <xf numFmtId="0" fontId="39" fillId="0" borderId="4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41" fillId="5" borderId="18" xfId="0" applyFont="1" applyFill="1" applyBorder="1"/>
    <xf numFmtId="0" fontId="41" fillId="5" borderId="13" xfId="0" applyFont="1" applyFill="1" applyBorder="1"/>
    <xf numFmtId="0" fontId="41" fillId="5" borderId="60" xfId="0" applyFont="1" applyFill="1" applyBorder="1"/>
    <xf numFmtId="0" fontId="63" fillId="12" borderId="0" xfId="0" applyFont="1" applyFill="1"/>
    <xf numFmtId="0" fontId="43" fillId="5" borderId="40" xfId="0" applyFont="1" applyFill="1" applyBorder="1"/>
    <xf numFmtId="0" fontId="43" fillId="5" borderId="37" xfId="0" applyFont="1" applyFill="1" applyBorder="1"/>
    <xf numFmtId="0" fontId="43" fillId="5" borderId="33" xfId="0" applyFont="1" applyFill="1" applyBorder="1"/>
    <xf numFmtId="0" fontId="41" fillId="5" borderId="1" xfId="0" applyFont="1" applyFill="1" applyBorder="1"/>
    <xf numFmtId="0" fontId="41" fillId="5" borderId="5" xfId="0" applyFont="1" applyFill="1" applyBorder="1"/>
    <xf numFmtId="0" fontId="41" fillId="5" borderId="56" xfId="0" applyFont="1" applyFill="1" applyBorder="1"/>
    <xf numFmtId="0" fontId="72" fillId="12" borderId="0" xfId="0" applyFont="1" applyFill="1"/>
    <xf numFmtId="0" fontId="47" fillId="12" borderId="0" xfId="0" applyFont="1" applyFill="1"/>
    <xf numFmtId="0" fontId="47" fillId="0" borderId="3" xfId="0" applyFont="1" applyBorder="1"/>
    <xf numFmtId="0" fontId="47" fillId="0" borderId="1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3" fontId="39" fillId="4" borderId="8" xfId="0" applyNumberFormat="1" applyFont="1" applyFill="1" applyBorder="1" applyAlignment="1">
      <alignment wrapText="1"/>
    </xf>
    <xf numFmtId="0" fontId="47" fillId="0" borderId="0" xfId="7" applyFont="1" applyFill="1"/>
    <xf numFmtId="3" fontId="50" fillId="3" borderId="3" xfId="4" applyNumberFormat="1" applyFont="1" applyFill="1" applyBorder="1" applyAlignment="1">
      <alignment horizontal="center" vertical="center" wrapText="1"/>
    </xf>
    <xf numFmtId="3" fontId="50" fillId="5" borderId="30" xfId="7" applyNumberFormat="1" applyFont="1" applyFill="1" applyBorder="1" applyAlignment="1"/>
    <xf numFmtId="3" fontId="47" fillId="0" borderId="16" xfId="7" applyNumberFormat="1" applyFont="1" applyBorder="1" applyAlignment="1">
      <alignment horizontal="right"/>
    </xf>
    <xf numFmtId="3" fontId="47" fillId="0" borderId="10" xfId="7" applyNumberFormat="1" applyFont="1" applyBorder="1" applyAlignment="1">
      <alignment horizontal="right"/>
    </xf>
    <xf numFmtId="3" fontId="47" fillId="0" borderId="34" xfId="7" applyNumberFormat="1" applyFont="1" applyBorder="1" applyAlignment="1">
      <alignment horizontal="right"/>
    </xf>
    <xf numFmtId="3" fontId="50" fillId="30" borderId="53" xfId="7" applyNumberFormat="1" applyFont="1" applyFill="1" applyBorder="1" applyAlignment="1">
      <alignment horizontal="right"/>
    </xf>
    <xf numFmtId="3" fontId="47" fillId="0" borderId="10" xfId="7" applyNumberFormat="1" applyFont="1" applyBorder="1" applyAlignment="1">
      <alignment horizontal="right" vertical="center"/>
    </xf>
    <xf numFmtId="3" fontId="47" fillId="0" borderId="11" xfId="7" applyNumberFormat="1" applyFont="1" applyBorder="1" applyAlignment="1">
      <alignment horizontal="right" vertical="center"/>
    </xf>
    <xf numFmtId="3" fontId="47" fillId="7" borderId="10" xfId="7" applyNumberFormat="1" applyFont="1" applyFill="1" applyBorder="1" applyAlignment="1">
      <alignment horizontal="right"/>
    </xf>
    <xf numFmtId="3" fontId="47" fillId="0" borderId="53" xfId="7" applyNumberFormat="1" applyFont="1" applyBorder="1" applyAlignment="1">
      <alignment horizontal="right"/>
    </xf>
    <xf numFmtId="3" fontId="47" fillId="0" borderId="11" xfId="7" applyNumberFormat="1" applyFont="1" applyBorder="1" applyAlignment="1">
      <alignment horizontal="right"/>
    </xf>
    <xf numFmtId="3" fontId="47" fillId="0" borderId="53" xfId="7" applyNumberFormat="1" applyFont="1" applyFill="1" applyBorder="1" applyAlignment="1">
      <alignment horizontal="right"/>
    </xf>
    <xf numFmtId="3" fontId="47" fillId="7" borderId="11" xfId="7" applyNumberFormat="1" applyFont="1" applyFill="1" applyBorder="1" applyAlignment="1">
      <alignment horizontal="right"/>
    </xf>
    <xf numFmtId="3" fontId="50" fillId="30" borderId="3" xfId="7" applyNumberFormat="1" applyFont="1" applyFill="1" applyBorder="1" applyAlignment="1">
      <alignment horizontal="right"/>
    </xf>
    <xf numFmtId="3" fontId="47" fillId="7" borderId="16" xfId="7" applyNumberFormat="1" applyFont="1" applyFill="1" applyBorder="1" applyAlignment="1">
      <alignment horizontal="right"/>
    </xf>
    <xf numFmtId="3" fontId="50" fillId="4" borderId="6" xfId="7" applyNumberFormat="1" applyFont="1" applyFill="1" applyBorder="1" applyAlignment="1">
      <alignment horizontal="right"/>
    </xf>
    <xf numFmtId="3" fontId="50" fillId="0" borderId="0" xfId="7" applyNumberFormat="1" applyFont="1" applyFill="1"/>
    <xf numFmtId="0" fontId="47" fillId="23" borderId="0" xfId="7" applyFont="1" applyFill="1"/>
    <xf numFmtId="3" fontId="41" fillId="0" borderId="42" xfId="10" applyNumberFormat="1" applyFont="1" applyFill="1" applyBorder="1" applyAlignment="1">
      <alignment horizontal="right" vertical="center"/>
    </xf>
    <xf numFmtId="49" fontId="41" fillId="2" borderId="2" xfId="5" applyNumberFormat="1" applyFont="1" applyFill="1" applyBorder="1" applyAlignment="1">
      <alignment horizontal="center" vertical="center"/>
    </xf>
    <xf numFmtId="49" fontId="41" fillId="2" borderId="30" xfId="5" applyNumberFormat="1" applyFont="1" applyFill="1" applyBorder="1" applyAlignment="1">
      <alignment horizontal="center" vertical="center"/>
    </xf>
    <xf numFmtId="49" fontId="43" fillId="5" borderId="0" xfId="3" applyNumberFormat="1" applyFont="1" applyFill="1" applyAlignment="1">
      <alignment horizontal="center"/>
    </xf>
    <xf numFmtId="49" fontId="47" fillId="5" borderId="0" xfId="3" applyNumberFormat="1" applyFont="1" applyFill="1" applyAlignment="1">
      <alignment horizontal="center"/>
    </xf>
    <xf numFmtId="49" fontId="39" fillId="24" borderId="0" xfId="3" applyNumberFormat="1" applyFont="1" applyFill="1" applyAlignment="1">
      <alignment horizontal="center"/>
    </xf>
    <xf numFmtId="0" fontId="41" fillId="2" borderId="0" xfId="5" applyFont="1" applyFill="1" applyBorder="1" applyAlignment="1">
      <alignment horizontal="center" vertical="center"/>
    </xf>
    <xf numFmtId="0" fontId="41" fillId="5" borderId="4" xfId="5" applyFont="1" applyFill="1" applyBorder="1" applyAlignment="1">
      <alignment vertical="center"/>
    </xf>
    <xf numFmtId="0" fontId="41" fillId="2" borderId="41" xfId="5" applyFont="1" applyFill="1" applyBorder="1" applyAlignment="1">
      <alignment horizontal="center" vertical="center"/>
    </xf>
    <xf numFmtId="0" fontId="41" fillId="2" borderId="69" xfId="5" applyFont="1" applyFill="1" applyBorder="1" applyAlignment="1">
      <alignment horizontal="center" vertical="center"/>
    </xf>
    <xf numFmtId="0" fontId="41" fillId="2" borderId="38" xfId="5" applyFont="1" applyFill="1" applyBorder="1" applyAlignment="1">
      <alignment horizontal="center" vertical="center"/>
    </xf>
    <xf numFmtId="0" fontId="41" fillId="2" borderId="57" xfId="5" applyFont="1" applyFill="1" applyBorder="1" applyAlignment="1">
      <alignment horizontal="center" vertical="center"/>
    </xf>
    <xf numFmtId="0" fontId="41" fillId="2" borderId="61" xfId="5" applyFont="1" applyFill="1" applyBorder="1" applyAlignment="1">
      <alignment horizontal="center" vertical="center"/>
    </xf>
    <xf numFmtId="49" fontId="41" fillId="4" borderId="5" xfId="5" applyNumberFormat="1" applyFont="1" applyFill="1" applyBorder="1" applyAlignment="1">
      <alignment horizontal="center" vertical="center"/>
    </xf>
    <xf numFmtId="49" fontId="41" fillId="4" borderId="56" xfId="5" applyNumberFormat="1" applyFont="1" applyFill="1" applyBorder="1" applyAlignment="1">
      <alignment horizontal="center" vertical="center"/>
    </xf>
    <xf numFmtId="3" fontId="41" fillId="0" borderId="25" xfId="10" applyNumberFormat="1" applyFont="1" applyFill="1" applyBorder="1" applyAlignment="1">
      <alignment horizontal="right" vertical="center"/>
    </xf>
    <xf numFmtId="3" fontId="41" fillId="0" borderId="21" xfId="10" applyNumberFormat="1" applyFont="1" applyFill="1" applyBorder="1"/>
    <xf numFmtId="3" fontId="41" fillId="0" borderId="62" xfId="10" applyNumberFormat="1" applyFont="1" applyFill="1" applyBorder="1"/>
    <xf numFmtId="3" fontId="41" fillId="0" borderId="19" xfId="10" applyNumberFormat="1" applyFont="1" applyFill="1" applyBorder="1"/>
    <xf numFmtId="3" fontId="41" fillId="0" borderId="42" xfId="10" applyNumberFormat="1" applyFont="1" applyFill="1" applyBorder="1"/>
    <xf numFmtId="3" fontId="41" fillId="0" borderId="47" xfId="10" applyNumberFormat="1" applyFont="1" applyFill="1" applyBorder="1"/>
    <xf numFmtId="3" fontId="41" fillId="0" borderId="14" xfId="10" applyNumberFormat="1" applyFont="1" applyFill="1" applyBorder="1"/>
    <xf numFmtId="3" fontId="41" fillId="0" borderId="23" xfId="10" applyNumberFormat="1" applyFont="1" applyFill="1" applyBorder="1"/>
    <xf numFmtId="3" fontId="46" fillId="0" borderId="25" xfId="10" applyNumberFormat="1" applyFont="1" applyFill="1" applyBorder="1"/>
    <xf numFmtId="3" fontId="87" fillId="0" borderId="42" xfId="10" applyNumberFormat="1" applyFont="1" applyFill="1" applyBorder="1"/>
    <xf numFmtId="0" fontId="41" fillId="0" borderId="13" xfId="6" applyFont="1" applyBorder="1" applyAlignment="1">
      <alignment wrapText="1"/>
    </xf>
    <xf numFmtId="3" fontId="41" fillId="0" borderId="16" xfId="6" applyNumberFormat="1" applyFont="1" applyFill="1" applyBorder="1"/>
    <xf numFmtId="0" fontId="41" fillId="0" borderId="14" xfId="6" applyFont="1" applyBorder="1" applyAlignment="1">
      <alignment wrapText="1"/>
    </xf>
    <xf numFmtId="3" fontId="41" fillId="0" borderId="47" xfId="10" applyNumberFormat="1" applyFont="1" applyFill="1" applyBorder="1" applyAlignment="1">
      <alignment horizontal="right" vertical="center"/>
    </xf>
    <xf numFmtId="3" fontId="41" fillId="0" borderId="71" xfId="10" applyNumberFormat="1" applyFont="1" applyFill="1" applyBorder="1"/>
    <xf numFmtId="3" fontId="43" fillId="23" borderId="0" xfId="5" applyNumberFormat="1" applyFont="1" applyFill="1"/>
    <xf numFmtId="3" fontId="58" fillId="23" borderId="0" xfId="8" applyNumberFormat="1" applyFont="1" applyFill="1"/>
    <xf numFmtId="3" fontId="63" fillId="23" borderId="0" xfId="0" applyNumberFormat="1" applyFont="1" applyFill="1" applyAlignment="1">
      <alignment horizontal="left" wrapText="1"/>
    </xf>
    <xf numFmtId="3" fontId="63" fillId="23" borderId="0" xfId="0" applyNumberFormat="1" applyFont="1" applyFill="1" applyAlignment="1">
      <alignment wrapText="1"/>
    </xf>
    <xf numFmtId="3" fontId="41" fillId="0" borderId="25" xfId="10" applyNumberFormat="1" applyFont="1" applyFill="1" applyBorder="1"/>
    <xf numFmtId="3" fontId="41" fillId="0" borderId="26" xfId="10" applyNumberFormat="1" applyFont="1" applyFill="1" applyBorder="1" applyAlignment="1">
      <alignment horizontal="right" vertical="center"/>
    </xf>
    <xf numFmtId="3" fontId="41" fillId="2" borderId="30" xfId="5" applyNumberFormat="1" applyFont="1" applyFill="1" applyBorder="1" applyAlignment="1">
      <alignment vertical="center"/>
    </xf>
    <xf numFmtId="0" fontId="41" fillId="3" borderId="32" xfId="0" applyFont="1" applyFill="1" applyBorder="1" applyAlignment="1">
      <alignment horizontal="left" wrapText="1"/>
    </xf>
    <xf numFmtId="0" fontId="88" fillId="0" borderId="0" xfId="0" applyFont="1"/>
    <xf numFmtId="3" fontId="88" fillId="0" borderId="0" xfId="0" applyNumberFormat="1" applyFont="1"/>
    <xf numFmtId="0" fontId="88" fillId="0" borderId="24" xfId="0" applyFont="1" applyBorder="1" applyAlignment="1">
      <alignment horizontal="center" vertical="center"/>
    </xf>
    <xf numFmtId="0" fontId="88" fillId="0" borderId="73" xfId="0" applyFont="1" applyBorder="1" applyAlignment="1">
      <alignment horizontal="center" vertical="center"/>
    </xf>
    <xf numFmtId="0" fontId="89" fillId="0" borderId="4" xfId="0" applyFont="1" applyBorder="1" applyAlignment="1">
      <alignment horizontal="center" vertical="center"/>
    </xf>
    <xf numFmtId="0" fontId="88" fillId="4" borderId="112" xfId="0" applyFont="1" applyFill="1" applyBorder="1"/>
    <xf numFmtId="3" fontId="88" fillId="4" borderId="112" xfId="0" applyNumberFormat="1" applyFont="1" applyFill="1" applyBorder="1"/>
    <xf numFmtId="3" fontId="88" fillId="4" borderId="64" xfId="0" applyNumberFormat="1" applyFont="1" applyFill="1" applyBorder="1"/>
    <xf numFmtId="2" fontId="89" fillId="0" borderId="4" xfId="0" applyNumberFormat="1" applyFont="1" applyBorder="1"/>
    <xf numFmtId="0" fontId="88" fillId="4" borderId="38" xfId="0" applyFont="1" applyFill="1" applyBorder="1"/>
    <xf numFmtId="3" fontId="88" fillId="4" borderId="38" xfId="0" applyNumberFormat="1" applyFont="1" applyFill="1" applyBorder="1"/>
    <xf numFmtId="3" fontId="88" fillId="4" borderId="0" xfId="0" applyNumberFormat="1" applyFont="1" applyFill="1"/>
    <xf numFmtId="2" fontId="89" fillId="0" borderId="36" xfId="0" applyNumberFormat="1" applyFont="1" applyBorder="1"/>
    <xf numFmtId="3" fontId="88" fillId="4" borderId="69" xfId="0" applyNumberFormat="1" applyFont="1" applyFill="1" applyBorder="1"/>
    <xf numFmtId="3" fontId="89" fillId="0" borderId="36" xfId="0" applyNumberFormat="1" applyFont="1" applyBorder="1"/>
    <xf numFmtId="167" fontId="88" fillId="4" borderId="38" xfId="0" applyNumberFormat="1" applyFont="1" applyFill="1" applyBorder="1"/>
    <xf numFmtId="167" fontId="88" fillId="4" borderId="0" xfId="0" applyNumberFormat="1" applyFont="1" applyFill="1"/>
    <xf numFmtId="0" fontId="88" fillId="4" borderId="51" xfId="0" applyFont="1" applyFill="1" applyBorder="1"/>
    <xf numFmtId="167" fontId="88" fillId="4" borderId="51" xfId="0" applyNumberFormat="1" applyFont="1" applyFill="1" applyBorder="1"/>
    <xf numFmtId="167" fontId="88" fillId="4" borderId="45" xfId="0" applyNumberFormat="1" applyFont="1" applyFill="1" applyBorder="1"/>
    <xf numFmtId="2" fontId="89" fillId="0" borderId="53" xfId="0" applyNumberFormat="1" applyFont="1" applyBorder="1"/>
    <xf numFmtId="0" fontId="88" fillId="43" borderId="112" xfId="0" applyFont="1" applyFill="1" applyBorder="1"/>
    <xf numFmtId="3" fontId="88" fillId="43" borderId="112" xfId="0" applyNumberFormat="1" applyFont="1" applyFill="1" applyBorder="1"/>
    <xf numFmtId="3" fontId="89" fillId="0" borderId="4" xfId="0" applyNumberFormat="1" applyFont="1" applyBorder="1"/>
    <xf numFmtId="0" fontId="88" fillId="43" borderId="38" xfId="0" applyFont="1" applyFill="1" applyBorder="1"/>
    <xf numFmtId="3" fontId="88" fillId="43" borderId="38" xfId="0" applyNumberFormat="1" applyFont="1" applyFill="1" applyBorder="1"/>
    <xf numFmtId="3" fontId="88" fillId="43" borderId="0" xfId="0" applyNumberFormat="1" applyFont="1" applyFill="1"/>
    <xf numFmtId="3" fontId="88" fillId="0" borderId="36" xfId="0" applyNumberFormat="1" applyFont="1" applyBorder="1"/>
    <xf numFmtId="167" fontId="88" fillId="43" borderId="38" xfId="0" applyNumberFormat="1" applyFont="1" applyFill="1" applyBorder="1"/>
    <xf numFmtId="167" fontId="88" fillId="43" borderId="0" xfId="0" applyNumberFormat="1" applyFont="1" applyFill="1"/>
    <xf numFmtId="0" fontId="88" fillId="43" borderId="25" xfId="0" applyFont="1" applyFill="1" applyBorder="1"/>
    <xf numFmtId="167" fontId="88" fillId="43" borderId="25" xfId="0" applyNumberFormat="1" applyFont="1" applyFill="1" applyBorder="1"/>
    <xf numFmtId="167" fontId="88" fillId="43" borderId="47" xfId="0" applyNumberFormat="1" applyFont="1" applyFill="1" applyBorder="1"/>
    <xf numFmtId="3" fontId="89" fillId="0" borderId="53" xfId="0" applyNumberFormat="1" applyFont="1" applyBorder="1"/>
    <xf numFmtId="0" fontId="88" fillId="43" borderId="24" xfId="0" applyFont="1" applyFill="1" applyBorder="1"/>
    <xf numFmtId="3" fontId="88" fillId="43" borderId="24" xfId="0" applyNumberFormat="1" applyFont="1" applyFill="1" applyBorder="1"/>
    <xf numFmtId="3" fontId="89" fillId="0" borderId="62" xfId="0" applyNumberFormat="1" applyFont="1" applyBorder="1"/>
    <xf numFmtId="0" fontId="88" fillId="0" borderId="62" xfId="0" applyFont="1" applyBorder="1"/>
    <xf numFmtId="0" fontId="90" fillId="28" borderId="2" xfId="0" applyFont="1" applyFill="1" applyBorder="1" applyAlignment="1">
      <alignment horizontal="center" vertical="center" wrapText="1"/>
    </xf>
    <xf numFmtId="0" fontId="91" fillId="28" borderId="1" xfId="0" applyFont="1" applyFill="1" applyBorder="1" applyAlignment="1">
      <alignment horizontal="center" vertical="center" wrapText="1"/>
    </xf>
    <xf numFmtId="0" fontId="91" fillId="28" borderId="5" xfId="0" applyFont="1" applyFill="1" applyBorder="1"/>
    <xf numFmtId="3" fontId="91" fillId="28" borderId="5" xfId="0" applyNumberFormat="1" applyFont="1" applyFill="1" applyBorder="1"/>
    <xf numFmtId="3" fontId="91" fillId="28" borderId="56" xfId="0" applyNumberFormat="1" applyFont="1" applyFill="1" applyBorder="1"/>
    <xf numFmtId="3" fontId="89" fillId="43" borderId="36" xfId="0" applyNumberFormat="1" applyFont="1" applyFill="1" applyBorder="1" applyAlignment="1">
      <alignment horizontal="center" vertical="center"/>
    </xf>
    <xf numFmtId="0" fontId="92" fillId="30" borderId="38" xfId="0" applyFont="1" applyFill="1" applyBorder="1"/>
    <xf numFmtId="1" fontId="92" fillId="30" borderId="38" xfId="0" applyNumberFormat="1" applyFont="1" applyFill="1" applyBorder="1"/>
    <xf numFmtId="0" fontId="88" fillId="30" borderId="4" xfId="0" applyFont="1" applyFill="1" applyBorder="1"/>
    <xf numFmtId="1" fontId="92" fillId="30" borderId="0" xfId="0" applyNumberFormat="1" applyFont="1" applyFill="1"/>
    <xf numFmtId="0" fontId="88" fillId="30" borderId="36" xfId="0" applyFont="1" applyFill="1" applyBorder="1"/>
    <xf numFmtId="1" fontId="92" fillId="30" borderId="69" xfId="0" applyNumberFormat="1" applyFont="1" applyFill="1" applyBorder="1"/>
    <xf numFmtId="167" fontId="92" fillId="30" borderId="38" xfId="0" applyNumberFormat="1" applyFont="1" applyFill="1" applyBorder="1"/>
    <xf numFmtId="167" fontId="92" fillId="30" borderId="0" xfId="0" applyNumberFormat="1" applyFont="1" applyFill="1"/>
    <xf numFmtId="167" fontId="92" fillId="30" borderId="69" xfId="0" applyNumberFormat="1" applyFont="1" applyFill="1" applyBorder="1"/>
    <xf numFmtId="167" fontId="88" fillId="0" borderId="0" xfId="0" applyNumberFormat="1" applyFont="1"/>
    <xf numFmtId="167" fontId="88" fillId="30" borderId="53" xfId="0" applyNumberFormat="1" applyFont="1" applyFill="1" applyBorder="1"/>
    <xf numFmtId="0" fontId="92" fillId="7" borderId="112" xfId="0" applyFont="1" applyFill="1" applyBorder="1"/>
    <xf numFmtId="3" fontId="92" fillId="7" borderId="112" xfId="0" applyNumberFormat="1" applyFont="1" applyFill="1" applyBorder="1"/>
    <xf numFmtId="3" fontId="92" fillId="7" borderId="113" xfId="0" applyNumberFormat="1" applyFont="1" applyFill="1" applyBorder="1"/>
    <xf numFmtId="0" fontId="92" fillId="7" borderId="38" xfId="0" applyFont="1" applyFill="1" applyBorder="1"/>
    <xf numFmtId="3" fontId="92" fillId="7" borderId="38" xfId="0" applyNumberFormat="1" applyFont="1" applyFill="1" applyBorder="1"/>
    <xf numFmtId="3" fontId="92" fillId="7" borderId="39" xfId="0" applyNumberFormat="1" applyFont="1" applyFill="1" applyBorder="1"/>
    <xf numFmtId="3" fontId="92" fillId="7" borderId="61" xfId="0" applyNumberFormat="1" applyFont="1" applyFill="1" applyBorder="1"/>
    <xf numFmtId="167" fontId="92" fillId="7" borderId="38" xfId="0" applyNumberFormat="1" applyFont="1" applyFill="1" applyBorder="1"/>
    <xf numFmtId="167" fontId="92" fillId="7" borderId="39" xfId="0" applyNumberFormat="1" applyFont="1" applyFill="1" applyBorder="1"/>
    <xf numFmtId="0" fontId="92" fillId="7" borderId="25" xfId="0" applyFont="1" applyFill="1" applyBorder="1"/>
    <xf numFmtId="167" fontId="92" fillId="7" borderId="25" xfId="0" applyNumberFormat="1" applyFont="1" applyFill="1" applyBorder="1"/>
    <xf numFmtId="167" fontId="92" fillId="7" borderId="7" xfId="0" applyNumberFormat="1" applyFont="1" applyFill="1" applyBorder="1"/>
    <xf numFmtId="0" fontId="92" fillId="7" borderId="24" xfId="0" applyFont="1" applyFill="1" applyBorder="1"/>
    <xf numFmtId="0" fontId="88" fillId="0" borderId="57" xfId="0" applyFont="1" applyBorder="1"/>
    <xf numFmtId="3" fontId="88" fillId="7" borderId="42" xfId="0" applyNumberFormat="1" applyFont="1" applyFill="1" applyBorder="1"/>
    <xf numFmtId="1" fontId="88" fillId="7" borderId="23" xfId="0" applyNumberFormat="1" applyFont="1" applyFill="1" applyBorder="1"/>
    <xf numFmtId="3" fontId="89" fillId="7" borderId="21" xfId="0" applyNumberFormat="1" applyFont="1" applyFill="1" applyBorder="1"/>
    <xf numFmtId="0" fontId="89" fillId="0" borderId="0" xfId="0" applyFont="1"/>
    <xf numFmtId="0" fontId="92" fillId="7" borderId="51" xfId="0" applyFont="1" applyFill="1" applyBorder="1"/>
    <xf numFmtId="167" fontId="92" fillId="7" borderId="51" xfId="0" applyNumberFormat="1" applyFont="1" applyFill="1" applyBorder="1"/>
    <xf numFmtId="167" fontId="92" fillId="7" borderId="68" xfId="0" applyNumberFormat="1" applyFont="1" applyFill="1" applyBorder="1"/>
    <xf numFmtId="3" fontId="88" fillId="7" borderId="48" xfId="0" applyNumberFormat="1" applyFont="1" applyFill="1" applyBorder="1" applyAlignment="1">
      <alignment horizontal="left" wrapText="1"/>
    </xf>
    <xf numFmtId="174" fontId="88" fillId="7" borderId="37" xfId="0" applyNumberFormat="1" applyFont="1" applyFill="1" applyBorder="1" applyAlignment="1">
      <alignment horizontal="right" wrapText="1"/>
    </xf>
    <xf numFmtId="174" fontId="88" fillId="7" borderId="33" xfId="0" applyNumberFormat="1" applyFont="1" applyFill="1" applyBorder="1" applyAlignment="1">
      <alignment horizontal="right" wrapText="1"/>
    </xf>
    <xf numFmtId="1" fontId="88" fillId="7" borderId="21" xfId="0" applyNumberFormat="1" applyFont="1" applyFill="1" applyBorder="1"/>
    <xf numFmtId="0" fontId="92" fillId="29" borderId="112" xfId="0" applyFont="1" applyFill="1" applyBorder="1"/>
    <xf numFmtId="3" fontId="92" fillId="29" borderId="112" xfId="0" applyNumberFormat="1" applyFont="1" applyFill="1" applyBorder="1"/>
    <xf numFmtId="0" fontId="88" fillId="0" borderId="4" xfId="0" applyFont="1" applyBorder="1"/>
    <xf numFmtId="0" fontId="92" fillId="29" borderId="38" xfId="0" applyFont="1" applyFill="1" applyBorder="1"/>
    <xf numFmtId="3" fontId="92" fillId="29" borderId="38" xfId="0" applyNumberFormat="1" applyFont="1" applyFill="1" applyBorder="1"/>
    <xf numFmtId="3" fontId="92" fillId="29" borderId="39" xfId="0" applyNumberFormat="1" applyFont="1" applyFill="1" applyBorder="1"/>
    <xf numFmtId="0" fontId="88" fillId="0" borderId="36" xfId="0" applyFont="1" applyBorder="1"/>
    <xf numFmtId="3" fontId="92" fillId="29" borderId="61" xfId="0" applyNumberFormat="1" applyFont="1" applyFill="1" applyBorder="1"/>
    <xf numFmtId="167" fontId="92" fillId="29" borderId="38" xfId="0" applyNumberFormat="1" applyFont="1" applyFill="1" applyBorder="1"/>
    <xf numFmtId="167" fontId="92" fillId="29" borderId="39" xfId="0" applyNumberFormat="1" applyFont="1" applyFill="1" applyBorder="1"/>
    <xf numFmtId="0" fontId="92" fillId="29" borderId="25" xfId="0" applyFont="1" applyFill="1" applyBorder="1"/>
    <xf numFmtId="167" fontId="92" fillId="29" borderId="25" xfId="0" applyNumberFormat="1" applyFont="1" applyFill="1" applyBorder="1"/>
    <xf numFmtId="167" fontId="92" fillId="29" borderId="7" xfId="0" applyNumberFormat="1" applyFont="1" applyFill="1" applyBorder="1"/>
    <xf numFmtId="0" fontId="92" fillId="29" borderId="24" xfId="0" applyFont="1" applyFill="1" applyBorder="1"/>
    <xf numFmtId="0" fontId="92" fillId="29" borderId="41" xfId="0" applyFont="1" applyFill="1" applyBorder="1" applyAlignment="1">
      <alignment horizontal="center" vertical="center" wrapText="1"/>
    </xf>
    <xf numFmtId="3" fontId="88" fillId="18" borderId="21" xfId="0" applyNumberFormat="1" applyFont="1" applyFill="1" applyBorder="1" applyAlignment="1">
      <alignment vertical="center"/>
    </xf>
    <xf numFmtId="1" fontId="88" fillId="18" borderId="14" xfId="0" applyNumberFormat="1" applyFont="1" applyFill="1" applyBorder="1" applyAlignment="1">
      <alignment vertical="center"/>
    </xf>
    <xf numFmtId="1" fontId="88" fillId="18" borderId="43" xfId="0" applyNumberFormat="1" applyFont="1" applyFill="1" applyBorder="1" applyAlignment="1">
      <alignment vertical="center"/>
    </xf>
    <xf numFmtId="3" fontId="89" fillId="18" borderId="21" xfId="0" applyNumberFormat="1" applyFont="1" applyFill="1" applyBorder="1"/>
    <xf numFmtId="0" fontId="92" fillId="29" borderId="54" xfId="0" applyFont="1" applyFill="1" applyBorder="1" applyAlignment="1">
      <alignment horizontal="center" vertical="center" wrapText="1"/>
    </xf>
    <xf numFmtId="0" fontId="92" fillId="29" borderId="51" xfId="0" applyFont="1" applyFill="1" applyBorder="1"/>
    <xf numFmtId="167" fontId="92" fillId="29" borderId="51" xfId="0" applyNumberFormat="1" applyFont="1" applyFill="1" applyBorder="1"/>
    <xf numFmtId="167" fontId="92" fillId="29" borderId="68" xfId="0" applyNumberFormat="1" applyFont="1" applyFill="1" applyBorder="1"/>
    <xf numFmtId="0" fontId="88" fillId="0" borderId="53" xfId="0" applyFont="1" applyBorder="1"/>
    <xf numFmtId="3" fontId="89" fillId="18" borderId="48" xfId="0" applyNumberFormat="1" applyFont="1" applyFill="1" applyBorder="1" applyAlignment="1">
      <alignment vertical="center" wrapText="1"/>
    </xf>
    <xf numFmtId="4" fontId="89" fillId="18" borderId="37" xfId="0" applyNumberFormat="1" applyFont="1" applyFill="1" applyBorder="1" applyAlignment="1">
      <alignment vertical="center" wrapText="1"/>
    </xf>
    <xf numFmtId="4" fontId="89" fillId="18" borderId="33" xfId="0" applyNumberFormat="1" applyFont="1" applyFill="1" applyBorder="1" applyAlignment="1">
      <alignment vertical="center" wrapText="1"/>
    </xf>
    <xf numFmtId="4" fontId="88" fillId="18" borderId="21" xfId="0" applyNumberFormat="1" applyFont="1" applyFill="1" applyBorder="1"/>
    <xf numFmtId="0" fontId="89" fillId="0" borderId="45" xfId="0" applyFont="1" applyBorder="1" applyAlignment="1">
      <alignment vertical="center"/>
    </xf>
    <xf numFmtId="0" fontId="90" fillId="28" borderId="3" xfId="0" applyFont="1" applyFill="1" applyBorder="1" applyAlignment="1">
      <alignment horizontal="center" vertical="center" wrapText="1"/>
    </xf>
    <xf numFmtId="0" fontId="88" fillId="0" borderId="3" xfId="0" applyFont="1" applyBorder="1"/>
    <xf numFmtId="3" fontId="89" fillId="18" borderId="0" xfId="0" applyNumberFormat="1" applyFont="1" applyFill="1" applyAlignment="1">
      <alignment vertical="center" wrapText="1"/>
    </xf>
    <xf numFmtId="4" fontId="89" fillId="18" borderId="0" xfId="0" applyNumberFormat="1" applyFont="1" applyFill="1" applyAlignment="1">
      <alignment vertical="center" wrapText="1"/>
    </xf>
    <xf numFmtId="4" fontId="88" fillId="18" borderId="0" xfId="0" applyNumberFormat="1" applyFont="1" applyFill="1"/>
    <xf numFmtId="0" fontId="89" fillId="0" borderId="0" xfId="0" applyFont="1" applyAlignment="1">
      <alignment vertical="center"/>
    </xf>
    <xf numFmtId="0" fontId="90" fillId="28" borderId="4" xfId="0" applyFont="1" applyFill="1" applyBorder="1" applyAlignment="1">
      <alignment horizontal="center" vertical="center" wrapText="1"/>
    </xf>
    <xf numFmtId="0" fontId="91" fillId="28" borderId="111" xfId="0" applyFont="1" applyFill="1" applyBorder="1" applyAlignment="1">
      <alignment horizontal="center" vertical="center" wrapText="1"/>
    </xf>
    <xf numFmtId="0" fontId="91" fillId="28" borderId="112" xfId="0" applyFont="1" applyFill="1" applyBorder="1"/>
    <xf numFmtId="3" fontId="91" fillId="28" borderId="112" xfId="0" applyNumberFormat="1" applyFont="1" applyFill="1" applyBorder="1"/>
    <xf numFmtId="3" fontId="88" fillId="29" borderId="112" xfId="0" applyNumberFormat="1" applyFont="1" applyFill="1" applyBorder="1"/>
    <xf numFmtId="3" fontId="88" fillId="29" borderId="38" xfId="0" applyNumberFormat="1" applyFont="1" applyFill="1" applyBorder="1"/>
    <xf numFmtId="3" fontId="88" fillId="29" borderId="39" xfId="0" applyNumberFormat="1" applyFont="1" applyFill="1" applyBorder="1"/>
    <xf numFmtId="3" fontId="88" fillId="29" borderId="61" xfId="0" applyNumberFormat="1" applyFont="1" applyFill="1" applyBorder="1"/>
    <xf numFmtId="167" fontId="88" fillId="29" borderId="38" xfId="0" applyNumberFormat="1" applyFont="1" applyFill="1" applyBorder="1"/>
    <xf numFmtId="167" fontId="88" fillId="29" borderId="39" xfId="0" applyNumberFormat="1" applyFont="1" applyFill="1" applyBorder="1"/>
    <xf numFmtId="167" fontId="88" fillId="29" borderId="51" xfId="0" applyNumberFormat="1" applyFont="1" applyFill="1" applyBorder="1"/>
    <xf numFmtId="167" fontId="88" fillId="29" borderId="28" xfId="0" applyNumberFormat="1" applyFont="1" applyFill="1" applyBorder="1"/>
    <xf numFmtId="0" fontId="92" fillId="11" borderId="112" xfId="0" applyFont="1" applyFill="1" applyBorder="1"/>
    <xf numFmtId="3" fontId="88" fillId="11" borderId="112" xfId="0" applyNumberFormat="1" applyFont="1" applyFill="1" applyBorder="1"/>
    <xf numFmtId="0" fontId="92" fillId="11" borderId="38" xfId="0" applyFont="1" applyFill="1" applyBorder="1"/>
    <xf numFmtId="3" fontId="88" fillId="11" borderId="38" xfId="0" applyNumberFormat="1" applyFont="1" applyFill="1" applyBorder="1"/>
    <xf numFmtId="3" fontId="88" fillId="11" borderId="39" xfId="0" applyNumberFormat="1" applyFont="1" applyFill="1" applyBorder="1"/>
    <xf numFmtId="3" fontId="88" fillId="11" borderId="61" xfId="0" applyNumberFormat="1" applyFont="1" applyFill="1" applyBorder="1"/>
    <xf numFmtId="167" fontId="88" fillId="11" borderId="38" xfId="0" applyNumberFormat="1" applyFont="1" applyFill="1" applyBorder="1"/>
    <xf numFmtId="167" fontId="88" fillId="11" borderId="39" xfId="0" applyNumberFormat="1" applyFont="1" applyFill="1" applyBorder="1"/>
    <xf numFmtId="0" fontId="92" fillId="11" borderId="51" xfId="0" applyFont="1" applyFill="1" applyBorder="1"/>
    <xf numFmtId="167" fontId="88" fillId="11" borderId="51" xfId="0" applyNumberFormat="1" applyFont="1" applyFill="1" applyBorder="1"/>
    <xf numFmtId="167" fontId="88" fillId="11" borderId="28" xfId="0" applyNumberFormat="1" applyFont="1" applyFill="1" applyBorder="1"/>
    <xf numFmtId="0" fontId="92" fillId="43" borderId="112" xfId="0" applyFont="1" applyFill="1" applyBorder="1"/>
    <xf numFmtId="3" fontId="88" fillId="43" borderId="67" xfId="0" applyNumberFormat="1" applyFont="1" applyFill="1" applyBorder="1"/>
    <xf numFmtId="0" fontId="92" fillId="43" borderId="38" xfId="0" applyFont="1" applyFill="1" applyBorder="1"/>
    <xf numFmtId="3" fontId="88" fillId="43" borderId="39" xfId="0" applyNumberFormat="1" applyFont="1" applyFill="1" applyBorder="1"/>
    <xf numFmtId="3" fontId="88" fillId="43" borderId="61" xfId="0" applyNumberFormat="1" applyFont="1" applyFill="1" applyBorder="1"/>
    <xf numFmtId="167" fontId="88" fillId="43" borderId="61" xfId="0" applyNumberFormat="1" applyFont="1" applyFill="1" applyBorder="1"/>
    <xf numFmtId="0" fontId="92" fillId="43" borderId="51" xfId="0" applyFont="1" applyFill="1" applyBorder="1"/>
    <xf numFmtId="167" fontId="88" fillId="43" borderId="51" xfId="0" applyNumberFormat="1" applyFont="1" applyFill="1" applyBorder="1"/>
    <xf numFmtId="167" fontId="88" fillId="43" borderId="28" xfId="0" applyNumberFormat="1" applyFont="1" applyFill="1" applyBorder="1"/>
    <xf numFmtId="0" fontId="88" fillId="35" borderId="63" xfId="0" applyFont="1" applyFill="1" applyBorder="1"/>
    <xf numFmtId="0" fontId="92" fillId="35" borderId="112" xfId="0" applyFont="1" applyFill="1" applyBorder="1"/>
    <xf numFmtId="1" fontId="88" fillId="35" borderId="112" xfId="0" applyNumberFormat="1" applyFont="1" applyFill="1" applyBorder="1"/>
    <xf numFmtId="0" fontId="88" fillId="35" borderId="59" xfId="0" applyFont="1" applyFill="1" applyBorder="1"/>
    <xf numFmtId="0" fontId="92" fillId="35" borderId="38" xfId="0" applyFont="1" applyFill="1" applyBorder="1"/>
    <xf numFmtId="1" fontId="88" fillId="35" borderId="38" xfId="0" applyNumberFormat="1" applyFont="1" applyFill="1" applyBorder="1"/>
    <xf numFmtId="1" fontId="88" fillId="35" borderId="61" xfId="0" applyNumberFormat="1" applyFont="1" applyFill="1" applyBorder="1"/>
    <xf numFmtId="0" fontId="88" fillId="35" borderId="17" xfId="0" applyFont="1" applyFill="1" applyBorder="1"/>
    <xf numFmtId="0" fontId="92" fillId="35" borderId="25" xfId="0" applyFont="1" applyFill="1" applyBorder="1"/>
    <xf numFmtId="1" fontId="88" fillId="35" borderId="25" xfId="0" applyNumberFormat="1" applyFont="1" applyFill="1" applyBorder="1"/>
    <xf numFmtId="1" fontId="88" fillId="35" borderId="27" xfId="0" applyNumberFormat="1" applyFont="1" applyFill="1" applyBorder="1"/>
    <xf numFmtId="0" fontId="88" fillId="16" borderId="74" xfId="0" applyFont="1" applyFill="1" applyBorder="1"/>
    <xf numFmtId="0" fontId="92" fillId="16" borderId="24" xfId="0" applyFont="1" applyFill="1" applyBorder="1"/>
    <xf numFmtId="1" fontId="88" fillId="16" borderId="38" xfId="0" applyNumberFormat="1" applyFont="1" applyFill="1" applyBorder="1"/>
    <xf numFmtId="0" fontId="88" fillId="16" borderId="59" xfId="0" applyFont="1" applyFill="1" applyBorder="1"/>
    <xf numFmtId="0" fontId="92" fillId="16" borderId="38" xfId="0" applyFont="1" applyFill="1" applyBorder="1"/>
    <xf numFmtId="1" fontId="88" fillId="16" borderId="61" xfId="0" applyNumberFormat="1" applyFont="1" applyFill="1" applyBorder="1"/>
    <xf numFmtId="0" fontId="88" fillId="16" borderId="17" xfId="0" applyFont="1" applyFill="1" applyBorder="1"/>
    <xf numFmtId="0" fontId="92" fillId="16" borderId="25" xfId="0" applyFont="1" applyFill="1" applyBorder="1"/>
    <xf numFmtId="1" fontId="88" fillId="16" borderId="25" xfId="0" applyNumberFormat="1" applyFont="1" applyFill="1" applyBorder="1"/>
    <xf numFmtId="1" fontId="88" fillId="16" borderId="27" xfId="0" applyNumberFormat="1" applyFont="1" applyFill="1" applyBorder="1"/>
    <xf numFmtId="0" fontId="92" fillId="45" borderId="24" xfId="0" applyFont="1" applyFill="1" applyBorder="1"/>
    <xf numFmtId="1" fontId="88" fillId="45" borderId="24" xfId="0" applyNumberFormat="1" applyFont="1" applyFill="1" applyBorder="1"/>
    <xf numFmtId="0" fontId="92" fillId="45" borderId="38" xfId="0" applyFont="1" applyFill="1" applyBorder="1"/>
    <xf numFmtId="1" fontId="88" fillId="45" borderId="38" xfId="0" applyNumberFormat="1" applyFont="1" applyFill="1" applyBorder="1"/>
    <xf numFmtId="1" fontId="88" fillId="45" borderId="39" xfId="0" applyNumberFormat="1" applyFont="1" applyFill="1" applyBorder="1"/>
    <xf numFmtId="0" fontId="92" fillId="45" borderId="51" xfId="0" applyFont="1" applyFill="1" applyBorder="1"/>
    <xf numFmtId="1" fontId="88" fillId="45" borderId="51" xfId="0" applyNumberFormat="1" applyFont="1" applyFill="1" applyBorder="1"/>
    <xf numFmtId="1" fontId="88" fillId="45" borderId="28" xfId="0" applyNumberFormat="1" applyFont="1" applyFill="1" applyBorder="1"/>
    <xf numFmtId="0" fontId="29" fillId="0" borderId="14" xfId="0" applyFont="1" applyBorder="1"/>
    <xf numFmtId="167" fontId="91" fillId="0" borderId="0" xfId="0" applyNumberFormat="1" applyFont="1"/>
    <xf numFmtId="3" fontId="89" fillId="0" borderId="0" xfId="0" applyNumberFormat="1" applyFont="1"/>
    <xf numFmtId="49" fontId="41" fillId="7" borderId="1" xfId="5" applyNumberFormat="1" applyFont="1" applyFill="1" applyBorder="1" applyAlignment="1">
      <alignment horizontal="center" vertical="center"/>
    </xf>
    <xf numFmtId="49" fontId="41" fillId="7" borderId="5" xfId="5" applyNumberFormat="1" applyFont="1" applyFill="1" applyBorder="1" applyAlignment="1">
      <alignment horizontal="center" vertical="center"/>
    </xf>
    <xf numFmtId="169" fontId="51" fillId="0" borderId="46" xfId="0" applyNumberFormat="1" applyFont="1" applyBorder="1" applyAlignment="1">
      <alignment horizontal="center"/>
    </xf>
    <xf numFmtId="9" fontId="41" fillId="0" borderId="46" xfId="8" applyFont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3" fontId="39" fillId="0" borderId="34" xfId="0" applyNumberFormat="1" applyFont="1" applyBorder="1"/>
    <xf numFmtId="3" fontId="39" fillId="0" borderId="48" xfId="0" applyNumberFormat="1" applyFont="1" applyBorder="1" applyAlignment="1">
      <alignment horizontal="center"/>
    </xf>
    <xf numFmtId="3" fontId="43" fillId="0" borderId="49" xfId="0" applyNumberFormat="1" applyFont="1" applyBorder="1" applyAlignment="1">
      <alignment horizontal="center"/>
    </xf>
    <xf numFmtId="3" fontId="39" fillId="0" borderId="40" xfId="0" applyNumberFormat="1" applyFont="1" applyBorder="1" applyAlignment="1">
      <alignment horizontal="center"/>
    </xf>
    <xf numFmtId="3" fontId="43" fillId="0" borderId="33" xfId="0" applyNumberFormat="1" applyFont="1" applyBorder="1" applyAlignment="1">
      <alignment horizontal="center"/>
    </xf>
    <xf numFmtId="3" fontId="39" fillId="0" borderId="10" xfId="0" applyNumberFormat="1" applyFont="1" applyBorder="1"/>
    <xf numFmtId="3" fontId="43" fillId="0" borderId="26" xfId="0" applyNumberFormat="1" applyFont="1" applyBorder="1"/>
    <xf numFmtId="3" fontId="43" fillId="0" borderId="27" xfId="0" applyNumberFormat="1" applyFont="1" applyBorder="1"/>
    <xf numFmtId="3" fontId="39" fillId="0" borderId="11" xfId="0" applyNumberFormat="1" applyFont="1" applyBorder="1"/>
    <xf numFmtId="3" fontId="43" fillId="0" borderId="71" xfId="0" applyNumberFormat="1" applyFont="1" applyBorder="1"/>
    <xf numFmtId="3" fontId="39" fillId="0" borderId="12" xfId="0" applyNumberFormat="1" applyFont="1" applyBorder="1"/>
    <xf numFmtId="3" fontId="43" fillId="0" borderId="73" xfId="0" applyNumberFormat="1" applyFont="1" applyBorder="1"/>
    <xf numFmtId="3" fontId="39" fillId="0" borderId="29" xfId="0" applyNumberFormat="1" applyFont="1" applyBorder="1"/>
    <xf numFmtId="3" fontId="43" fillId="0" borderId="66" xfId="0" applyNumberFormat="1" applyFont="1" applyBorder="1"/>
    <xf numFmtId="0" fontId="75" fillId="0" borderId="0" xfId="0" applyFont="1"/>
    <xf numFmtId="3" fontId="75" fillId="0" borderId="0" xfId="0" applyNumberFormat="1" applyFont="1"/>
    <xf numFmtId="49" fontId="41" fillId="0" borderId="16" xfId="0" applyNumberFormat="1" applyFont="1" applyBorder="1" applyAlignment="1">
      <alignment horizontal="center"/>
    </xf>
    <xf numFmtId="0" fontId="47" fillId="3" borderId="25" xfId="0" applyFont="1" applyFill="1" applyBorder="1" applyAlignment="1">
      <alignment horizontal="center"/>
    </xf>
    <xf numFmtId="0" fontId="47" fillId="3" borderId="7" xfId="0" applyFont="1" applyFill="1" applyBorder="1" applyAlignment="1">
      <alignment wrapText="1"/>
    </xf>
    <xf numFmtId="3" fontId="50" fillId="0" borderId="11" xfId="0" applyNumberFormat="1" applyFont="1" applyFill="1" applyBorder="1"/>
    <xf numFmtId="171" fontId="50" fillId="0" borderId="11" xfId="0" applyNumberFormat="1" applyFont="1" applyFill="1" applyBorder="1" applyAlignment="1">
      <alignment horizontal="right"/>
    </xf>
    <xf numFmtId="3" fontId="47" fillId="0" borderId="19" xfId="0" applyNumberFormat="1" applyFont="1" applyFill="1" applyBorder="1"/>
    <xf numFmtId="3" fontId="47" fillId="0" borderId="71" xfId="0" applyNumberFormat="1" applyFont="1" applyFill="1" applyBorder="1"/>
    <xf numFmtId="3" fontId="47" fillId="0" borderId="14" xfId="0" applyNumberFormat="1" applyFont="1" applyFill="1" applyBorder="1"/>
    <xf numFmtId="3" fontId="47" fillId="0" borderId="21" xfId="0" applyNumberFormat="1" applyFont="1" applyFill="1" applyBorder="1"/>
    <xf numFmtId="3" fontId="47" fillId="6" borderId="58" xfId="0" applyNumberFormat="1" applyFont="1" applyFill="1" applyBorder="1"/>
    <xf numFmtId="3" fontId="47" fillId="0" borderId="8" xfId="0" applyNumberFormat="1" applyFont="1" applyFill="1" applyBorder="1"/>
    <xf numFmtId="4" fontId="53" fillId="0" borderId="0" xfId="0" applyNumberFormat="1" applyFont="1"/>
    <xf numFmtId="4" fontId="53" fillId="0" borderId="0" xfId="0" applyNumberFormat="1" applyFont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40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3" fontId="50" fillId="0" borderId="3" xfId="0" applyNumberFormat="1" applyFont="1" applyBorder="1"/>
    <xf numFmtId="3" fontId="50" fillId="0" borderId="22" xfId="0" applyNumberFormat="1" applyFont="1" applyBorder="1"/>
    <xf numFmtId="3" fontId="50" fillId="0" borderId="50" xfId="0" applyNumberFormat="1" applyFont="1" applyBorder="1"/>
    <xf numFmtId="3" fontId="50" fillId="0" borderId="1" xfId="0" applyNumberFormat="1" applyFont="1" applyBorder="1"/>
    <xf numFmtId="3" fontId="50" fillId="0" borderId="56" xfId="0" applyNumberFormat="1" applyFont="1" applyBorder="1"/>
    <xf numFmtId="3" fontId="43" fillId="4" borderId="71" xfId="10" applyNumberFormat="1" applyFont="1" applyFill="1" applyBorder="1"/>
    <xf numFmtId="9" fontId="43" fillId="0" borderId="0" xfId="8" applyFont="1"/>
    <xf numFmtId="3" fontId="39" fillId="5" borderId="8" xfId="0" applyNumberFormat="1" applyFont="1" applyFill="1" applyBorder="1" applyAlignment="1">
      <alignment wrapText="1"/>
    </xf>
    <xf numFmtId="0" fontId="31" fillId="26" borderId="77" xfId="11" applyAlignment="1">
      <alignment horizontal="center"/>
    </xf>
    <xf numFmtId="0" fontId="31" fillId="26" borderId="77" xfId="1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4" fontId="1" fillId="27" borderId="71" xfId="12" applyNumberFormat="1" applyBorder="1"/>
    <xf numFmtId="0" fontId="1" fillId="27" borderId="62" xfId="12" applyBorder="1"/>
    <xf numFmtId="0" fontId="1" fillId="27" borderId="62" xfId="12" applyBorder="1" applyAlignment="1">
      <alignment horizontal="right" vertical="center"/>
    </xf>
    <xf numFmtId="0" fontId="1" fillId="27" borderId="21" xfId="12" applyBorder="1" applyAlignment="1">
      <alignment horizontal="right"/>
    </xf>
    <xf numFmtId="0" fontId="0" fillId="27" borderId="62" xfId="12" applyFont="1" applyBorder="1" applyAlignment="1">
      <alignment horizontal="right"/>
    </xf>
    <xf numFmtId="0" fontId="0" fillId="27" borderId="21" xfId="12" applyFont="1" applyBorder="1" applyAlignment="1">
      <alignment horizontal="right"/>
    </xf>
    <xf numFmtId="14" fontId="1" fillId="5" borderId="14" xfId="12" applyNumberFormat="1" applyFill="1" applyBorder="1"/>
    <xf numFmtId="0" fontId="0" fillId="5" borderId="14" xfId="12" applyFont="1" applyFill="1" applyBorder="1"/>
    <xf numFmtId="0" fontId="0" fillId="5" borderId="14" xfId="12" applyFont="1" applyFill="1" applyBorder="1" applyAlignment="1">
      <alignment horizontal="right"/>
    </xf>
    <xf numFmtId="14" fontId="0" fillId="28" borderId="71" xfId="0" applyNumberFormat="1" applyFill="1" applyBorder="1"/>
    <xf numFmtId="0" fontId="0" fillId="28" borderId="62" xfId="0" applyFill="1" applyBorder="1"/>
    <xf numFmtId="0" fontId="0" fillId="28" borderId="62" xfId="0" applyFill="1" applyBorder="1" applyAlignment="1">
      <alignment horizontal="right"/>
    </xf>
    <xf numFmtId="0" fontId="0" fillId="28" borderId="21" xfId="0" applyFill="1" applyBorder="1" applyAlignment="1">
      <alignment horizontal="right"/>
    </xf>
    <xf numFmtId="0" fontId="0" fillId="28" borderId="71" xfId="0" applyFill="1" applyBorder="1"/>
    <xf numFmtId="14" fontId="0" fillId="28" borderId="62" xfId="0" applyNumberFormat="1" applyFill="1" applyBorder="1"/>
    <xf numFmtId="3" fontId="45" fillId="4" borderId="12" xfId="0" applyNumberFormat="1" applyFont="1" applyFill="1" applyBorder="1" applyAlignment="1">
      <alignment vertical="center"/>
    </xf>
    <xf numFmtId="3" fontId="39" fillId="24" borderId="0" xfId="3" applyNumberFormat="1" applyFont="1" applyFill="1"/>
    <xf numFmtId="0" fontId="43" fillId="0" borderId="14" xfId="0" applyFont="1" applyBorder="1" applyAlignment="1">
      <alignment horizontal="center"/>
    </xf>
    <xf numFmtId="0" fontId="43" fillId="0" borderId="14" xfId="0" applyFont="1" applyBorder="1"/>
    <xf numFmtId="3" fontId="43" fillId="0" borderId="14" xfId="0" applyNumberFormat="1" applyFont="1" applyBorder="1" applyAlignment="1">
      <alignment horizontal="right"/>
    </xf>
    <xf numFmtId="3" fontId="43" fillId="4" borderId="0" xfId="0" applyNumberFormat="1" applyFont="1" applyFill="1"/>
    <xf numFmtId="9" fontId="43" fillId="0" borderId="0" xfId="0" applyNumberFormat="1" applyFont="1" applyAlignment="1">
      <alignment horizontal="center"/>
    </xf>
    <xf numFmtId="3" fontId="39" fillId="0" borderId="0" xfId="0" applyNumberFormat="1" applyFont="1" applyBorder="1"/>
    <xf numFmtId="9" fontId="81" fillId="17" borderId="0" xfId="8" applyFont="1" applyFill="1" applyBorder="1"/>
    <xf numFmtId="9" fontId="78" fillId="20" borderId="0" xfId="8" applyFont="1" applyFill="1" applyBorder="1"/>
    <xf numFmtId="3" fontId="47" fillId="0" borderId="29" xfId="0" applyNumberFormat="1" applyFont="1" applyBorder="1"/>
    <xf numFmtId="3" fontId="47" fillId="0" borderId="76" xfId="0" applyNumberFormat="1" applyFont="1" applyBorder="1"/>
    <xf numFmtId="3" fontId="47" fillId="0" borderId="24" xfId="0" applyNumberFormat="1" applyFont="1" applyBorder="1"/>
    <xf numFmtId="3" fontId="47" fillId="0" borderId="66" xfId="0" applyNumberFormat="1" applyFont="1" applyBorder="1"/>
    <xf numFmtId="0" fontId="47" fillId="5" borderId="0" xfId="0" applyFont="1" applyFill="1"/>
    <xf numFmtId="0" fontId="41" fillId="3" borderId="32" xfId="0" applyFont="1" applyFill="1" applyBorder="1" applyAlignment="1">
      <alignment horizontal="left" wrapText="1"/>
    </xf>
    <xf numFmtId="0" fontId="41" fillId="0" borderId="0" xfId="5" applyFont="1"/>
    <xf numFmtId="49" fontId="58" fillId="23" borderId="0" xfId="0" applyNumberFormat="1" applyFont="1" applyFill="1" applyAlignment="1">
      <alignment horizontal="right"/>
    </xf>
    <xf numFmtId="4" fontId="94" fillId="23" borderId="0" xfId="0" applyNumberFormat="1" applyFont="1" applyFill="1"/>
    <xf numFmtId="12" fontId="48" fillId="0" borderId="0" xfId="0" applyNumberFormat="1" applyFont="1" applyFill="1" applyAlignment="1">
      <alignment wrapText="1"/>
    </xf>
    <xf numFmtId="3" fontId="5" fillId="0" borderId="0" xfId="0" applyNumberFormat="1" applyFont="1"/>
    <xf numFmtId="3" fontId="95" fillId="0" borderId="0" xfId="0" applyNumberFormat="1" applyFont="1"/>
    <xf numFmtId="3" fontId="0" fillId="0" borderId="0" xfId="0" applyNumberFormat="1" applyAlignment="1">
      <alignment horizontal="center"/>
    </xf>
    <xf numFmtId="0" fontId="43" fillId="14" borderId="40" xfId="0" applyFont="1" applyFill="1" applyBorder="1"/>
    <xf numFmtId="0" fontId="43" fillId="14" borderId="37" xfId="0" applyFont="1" applyFill="1" applyBorder="1" applyAlignment="1">
      <alignment horizontal="right" indent="5"/>
    </xf>
    <xf numFmtId="168" fontId="43" fillId="14" borderId="37" xfId="0" applyNumberFormat="1" applyFont="1" applyFill="1" applyBorder="1" applyAlignment="1">
      <alignment horizontal="right" indent="1"/>
    </xf>
    <xf numFmtId="168" fontId="43" fillId="14" borderId="51" xfId="0" applyNumberFormat="1" applyFont="1" applyFill="1" applyBorder="1" applyAlignment="1">
      <alignment horizontal="right" indent="1"/>
    </xf>
    <xf numFmtId="0" fontId="43" fillId="14" borderId="37" xfId="0" applyFont="1" applyFill="1" applyBorder="1" applyAlignment="1">
      <alignment horizontal="center"/>
    </xf>
    <xf numFmtId="0" fontId="43" fillId="14" borderId="34" xfId="0" applyFont="1" applyFill="1" applyBorder="1"/>
    <xf numFmtId="0" fontId="43" fillId="5" borderId="0" xfId="0" applyFont="1" applyFill="1"/>
    <xf numFmtId="0" fontId="43" fillId="14" borderId="23" xfId="0" applyFont="1" applyFill="1" applyBorder="1" applyAlignment="1">
      <alignment wrapText="1"/>
    </xf>
    <xf numFmtId="0" fontId="43" fillId="14" borderId="25" xfId="0" applyFont="1" applyFill="1" applyBorder="1" applyAlignment="1">
      <alignment horizontal="right" indent="5"/>
    </xf>
    <xf numFmtId="168" fontId="43" fillId="14" borderId="25" xfId="0" applyNumberFormat="1" applyFont="1" applyFill="1" applyBorder="1" applyAlignment="1">
      <alignment horizontal="right" indent="1"/>
    </xf>
    <xf numFmtId="168" fontId="43" fillId="4" borderId="25" xfId="0" applyNumberFormat="1" applyFont="1" applyFill="1" applyBorder="1" applyAlignment="1">
      <alignment horizontal="right" indent="1"/>
    </xf>
    <xf numFmtId="0" fontId="43" fillId="14" borderId="25" xfId="0" applyFont="1" applyFill="1" applyBorder="1" applyAlignment="1">
      <alignment horizontal="center"/>
    </xf>
    <xf numFmtId="0" fontId="43" fillId="14" borderId="10" xfId="0" applyFont="1" applyFill="1" applyBorder="1"/>
    <xf numFmtId="0" fontId="44" fillId="5" borderId="0" xfId="0" applyFont="1" applyFill="1"/>
    <xf numFmtId="0" fontId="73" fillId="5" borderId="0" xfId="0" applyFont="1" applyFill="1"/>
    <xf numFmtId="3" fontId="39" fillId="0" borderId="62" xfId="0" applyNumberFormat="1" applyFont="1" applyBorder="1"/>
    <xf numFmtId="3" fontId="39" fillId="0" borderId="46" xfId="0" applyNumberFormat="1" applyFont="1" applyBorder="1"/>
    <xf numFmtId="3" fontId="43" fillId="0" borderId="72" xfId="0" applyNumberFormat="1" applyFont="1" applyBorder="1"/>
    <xf numFmtId="3" fontId="39" fillId="0" borderId="71" xfId="0" applyNumberFormat="1" applyFont="1" applyBorder="1"/>
    <xf numFmtId="3" fontId="58" fillId="4" borderId="0" xfId="0" applyNumberFormat="1" applyFont="1" applyFill="1"/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left" wrapText="1"/>
    </xf>
    <xf numFmtId="0" fontId="41" fillId="3" borderId="30" xfId="0" applyFont="1" applyFill="1" applyBorder="1" applyAlignment="1">
      <alignment horizontal="left" wrapText="1"/>
    </xf>
    <xf numFmtId="0" fontId="41" fillId="3" borderId="6" xfId="0" applyFont="1" applyFill="1" applyBorder="1" applyAlignment="1">
      <alignment horizontal="left" wrapText="1"/>
    </xf>
    <xf numFmtId="3" fontId="41" fillId="2" borderId="2" xfId="5" applyNumberFormat="1" applyFont="1" applyFill="1" applyBorder="1" applyAlignment="1">
      <alignment horizontal="left" vertical="center" wrapText="1"/>
    </xf>
    <xf numFmtId="3" fontId="41" fillId="2" borderId="30" xfId="5" applyNumberFormat="1" applyFont="1" applyFill="1" applyBorder="1" applyAlignment="1">
      <alignment horizontal="left" vertical="center" wrapText="1"/>
    </xf>
    <xf numFmtId="3" fontId="41" fillId="2" borderId="6" xfId="5" applyNumberFormat="1" applyFont="1" applyFill="1" applyBorder="1" applyAlignment="1">
      <alignment horizontal="left" vertical="center" wrapText="1"/>
    </xf>
    <xf numFmtId="0" fontId="66" fillId="3" borderId="2" xfId="0" applyFont="1" applyFill="1" applyBorder="1" applyAlignment="1">
      <alignment horizontal="left" wrapText="1"/>
    </xf>
    <xf numFmtId="0" fontId="66" fillId="3" borderId="30" xfId="0" applyFont="1" applyFill="1" applyBorder="1" applyAlignment="1">
      <alignment horizontal="left" wrapText="1"/>
    </xf>
    <xf numFmtId="0" fontId="66" fillId="3" borderId="6" xfId="0" applyFont="1" applyFill="1" applyBorder="1" applyAlignment="1">
      <alignment horizontal="left" wrapText="1"/>
    </xf>
    <xf numFmtId="0" fontId="41" fillId="5" borderId="74" xfId="0" applyFont="1" applyFill="1" applyBorder="1" applyAlignment="1">
      <alignment horizontal="center" vertical="center" textRotation="180"/>
    </xf>
    <xf numFmtId="0" fontId="41" fillId="5" borderId="59" xfId="0" applyFont="1" applyFill="1" applyBorder="1" applyAlignment="1">
      <alignment horizontal="center" vertical="center" textRotation="180"/>
    </xf>
    <xf numFmtId="0" fontId="41" fillId="3" borderId="32" xfId="0" applyFont="1" applyFill="1" applyBorder="1" applyAlignment="1">
      <alignment horizontal="left" wrapText="1"/>
    </xf>
    <xf numFmtId="0" fontId="41" fillId="3" borderId="35" xfId="0" applyFont="1" applyFill="1" applyBorder="1" applyAlignment="1">
      <alignment horizontal="left" wrapText="1"/>
    </xf>
    <xf numFmtId="0" fontId="43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3" fontId="41" fillId="6" borderId="20" xfId="0" applyNumberFormat="1" applyFont="1" applyFill="1" applyBorder="1" applyAlignment="1">
      <alignment horizontal="center"/>
    </xf>
    <xf numFmtId="3" fontId="41" fillId="6" borderId="72" xfId="0" applyNumberFormat="1" applyFont="1" applyFill="1" applyBorder="1" applyAlignment="1">
      <alignment horizontal="center"/>
    </xf>
    <xf numFmtId="3" fontId="41" fillId="4" borderId="18" xfId="0" applyNumberFormat="1" applyFont="1" applyFill="1" applyBorder="1" applyAlignment="1">
      <alignment horizontal="center"/>
    </xf>
    <xf numFmtId="3" fontId="41" fillId="4" borderId="60" xfId="0" applyNumberFormat="1" applyFont="1" applyFill="1" applyBorder="1" applyAlignment="1">
      <alignment horizontal="center"/>
    </xf>
    <xf numFmtId="3" fontId="41" fillId="6" borderId="60" xfId="0" applyNumberFormat="1" applyFont="1" applyFill="1" applyBorder="1" applyAlignment="1">
      <alignment horizontal="center"/>
    </xf>
    <xf numFmtId="0" fontId="41" fillId="2" borderId="63" xfId="5" applyFont="1" applyFill="1" applyBorder="1" applyAlignment="1">
      <alignment horizontal="center" vertical="center"/>
    </xf>
    <xf numFmtId="0" fontId="41" fillId="2" borderId="64" xfId="5" applyFont="1" applyFill="1" applyBorder="1" applyAlignment="1">
      <alignment horizontal="center" vertical="center"/>
    </xf>
    <xf numFmtId="0" fontId="41" fillId="2" borderId="67" xfId="5" applyFont="1" applyFill="1" applyBorder="1" applyAlignment="1">
      <alignment horizontal="center" vertical="center"/>
    </xf>
    <xf numFmtId="0" fontId="41" fillId="2" borderId="65" xfId="5" applyFont="1" applyFill="1" applyBorder="1" applyAlignment="1">
      <alignment horizontal="center" vertical="center"/>
    </xf>
    <xf numFmtId="0" fontId="41" fillId="2" borderId="45" xfId="5" applyFont="1" applyFill="1" applyBorder="1" applyAlignment="1">
      <alignment horizontal="center" vertical="center"/>
    </xf>
    <xf numFmtId="0" fontId="41" fillId="2" borderId="68" xfId="5" applyFont="1" applyFill="1" applyBorder="1" applyAlignment="1">
      <alignment horizontal="center" vertical="center"/>
    </xf>
    <xf numFmtId="3" fontId="42" fillId="9" borderId="2" xfId="10" applyNumberFormat="1" applyFont="1" applyFill="1" applyBorder="1" applyAlignment="1">
      <alignment horizontal="left"/>
    </xf>
    <xf numFmtId="3" fontId="42" fillId="9" borderId="30" xfId="10" applyNumberFormat="1" applyFont="1" applyFill="1" applyBorder="1" applyAlignment="1">
      <alignment horizontal="left"/>
    </xf>
    <xf numFmtId="3" fontId="42" fillId="9" borderId="6" xfId="10" applyNumberFormat="1" applyFont="1" applyFill="1" applyBorder="1" applyAlignment="1">
      <alignment horizontal="left"/>
    </xf>
    <xf numFmtId="3" fontId="39" fillId="8" borderId="65" xfId="10" applyNumberFormat="1" applyFont="1" applyFill="1" applyBorder="1" applyAlignment="1">
      <alignment horizontal="left"/>
    </xf>
    <xf numFmtId="3" fontId="39" fillId="8" borderId="68" xfId="10" applyNumberFormat="1" applyFont="1" applyFill="1" applyBorder="1" applyAlignment="1">
      <alignment horizontal="left"/>
    </xf>
    <xf numFmtId="0" fontId="41" fillId="0" borderId="4" xfId="3" applyFont="1" applyBorder="1" applyAlignment="1">
      <alignment horizontal="center" vertical="center" textRotation="90"/>
    </xf>
    <xf numFmtId="0" fontId="41" fillId="0" borderId="36" xfId="3" applyFont="1" applyBorder="1" applyAlignment="1">
      <alignment horizontal="center" vertical="center" textRotation="90"/>
    </xf>
    <xf numFmtId="0" fontId="41" fillId="0" borderId="53" xfId="3" applyFont="1" applyBorder="1" applyAlignment="1">
      <alignment horizontal="center" vertical="center" textRotation="90"/>
    </xf>
    <xf numFmtId="3" fontId="39" fillId="8" borderId="2" xfId="10" applyNumberFormat="1" applyFont="1" applyFill="1" applyBorder="1" applyAlignment="1">
      <alignment horizontal="left"/>
    </xf>
    <xf numFmtId="3" fontId="39" fillId="8" borderId="6" xfId="10" applyNumberFormat="1" applyFont="1" applyFill="1" applyBorder="1" applyAlignment="1">
      <alignment horizontal="left"/>
    </xf>
    <xf numFmtId="3" fontId="40" fillId="9" borderId="32" xfId="10" applyNumberFormat="1" applyFont="1" applyFill="1" applyBorder="1" applyAlignment="1">
      <alignment horizontal="left"/>
    </xf>
    <xf numFmtId="3" fontId="40" fillId="9" borderId="35" xfId="10" applyNumberFormat="1" applyFont="1" applyFill="1" applyBorder="1" applyAlignment="1">
      <alignment horizontal="left"/>
    </xf>
    <xf numFmtId="0" fontId="42" fillId="10" borderId="2" xfId="5" applyFont="1" applyFill="1" applyBorder="1" applyAlignment="1">
      <alignment horizontal="left" vertical="center"/>
    </xf>
    <xf numFmtId="0" fontId="42" fillId="10" borderId="6" xfId="5" applyFont="1" applyFill="1" applyBorder="1" applyAlignment="1">
      <alignment horizontal="left" vertical="center"/>
    </xf>
    <xf numFmtId="3" fontId="43" fillId="8" borderId="65" xfId="10" applyNumberFormat="1" applyFont="1" applyFill="1" applyBorder="1" applyAlignment="1">
      <alignment horizontal="left"/>
    </xf>
    <xf numFmtId="3" fontId="43" fillId="8" borderId="68" xfId="10" applyNumberFormat="1" applyFont="1" applyFill="1" applyBorder="1" applyAlignment="1">
      <alignment horizontal="left"/>
    </xf>
    <xf numFmtId="3" fontId="39" fillId="9" borderId="32" xfId="10" applyNumberFormat="1" applyFont="1" applyFill="1" applyBorder="1" applyAlignment="1">
      <alignment horizontal="left"/>
    </xf>
    <xf numFmtId="3" fontId="39" fillId="9" borderId="35" xfId="10" applyNumberFormat="1" applyFont="1" applyFill="1" applyBorder="1" applyAlignment="1">
      <alignment horizontal="left"/>
    </xf>
    <xf numFmtId="0" fontId="88" fillId="45" borderId="29" xfId="0" applyFont="1" applyFill="1" applyBorder="1" applyAlignment="1">
      <alignment horizontal="center" vertical="center" wrapText="1" shrinkToFit="1"/>
    </xf>
    <xf numFmtId="0" fontId="88" fillId="45" borderId="41" xfId="0" applyFont="1" applyFill="1" applyBorder="1" applyAlignment="1">
      <alignment horizontal="center" vertical="center" wrapText="1" shrinkToFit="1"/>
    </xf>
    <xf numFmtId="0" fontId="88" fillId="45" borderId="54" xfId="0" applyFont="1" applyFill="1" applyBorder="1" applyAlignment="1">
      <alignment horizontal="center" vertical="center" wrapText="1" shrinkToFit="1"/>
    </xf>
    <xf numFmtId="0" fontId="89" fillId="29" borderId="4" xfId="0" applyFont="1" applyFill="1" applyBorder="1" applyAlignment="1">
      <alignment horizontal="center" vertical="center" wrapText="1"/>
    </xf>
    <xf numFmtId="0" fontId="89" fillId="29" borderId="36" xfId="0" applyFont="1" applyFill="1" applyBorder="1" applyAlignment="1">
      <alignment horizontal="center" vertical="center" wrapText="1"/>
    </xf>
    <xf numFmtId="0" fontId="89" fillId="29" borderId="53" xfId="0" applyFont="1" applyFill="1" applyBorder="1" applyAlignment="1">
      <alignment horizontal="center" vertical="center" wrapText="1"/>
    </xf>
    <xf numFmtId="0" fontId="88" fillId="29" borderId="111" xfId="0" applyFont="1" applyFill="1" applyBorder="1" applyAlignment="1">
      <alignment horizontal="justify" vertical="center"/>
    </xf>
    <xf numFmtId="0" fontId="88" fillId="29" borderId="41" xfId="0" applyFont="1" applyFill="1" applyBorder="1" applyAlignment="1">
      <alignment horizontal="justify" vertical="center"/>
    </xf>
    <xf numFmtId="0" fontId="88" fillId="29" borderId="54" xfId="0" applyFont="1" applyFill="1" applyBorder="1" applyAlignment="1">
      <alignment horizontal="justify" vertical="center"/>
    </xf>
    <xf numFmtId="0" fontId="89" fillId="44" borderId="4" xfId="0" applyFont="1" applyFill="1" applyBorder="1" applyAlignment="1">
      <alignment horizontal="center" vertical="center" wrapText="1"/>
    </xf>
    <xf numFmtId="0" fontId="89" fillId="44" borderId="36" xfId="0" applyFont="1" applyFill="1" applyBorder="1" applyAlignment="1">
      <alignment horizontal="center" vertical="center" wrapText="1"/>
    </xf>
    <xf numFmtId="0" fontId="89" fillId="44" borderId="53" xfId="0" applyFont="1" applyFill="1" applyBorder="1" applyAlignment="1">
      <alignment horizontal="center" vertical="center" wrapText="1"/>
    </xf>
    <xf numFmtId="0" fontId="88" fillId="11" borderId="111" xfId="0" applyFont="1" applyFill="1" applyBorder="1" applyAlignment="1">
      <alignment horizontal="justify" vertical="center"/>
    </xf>
    <xf numFmtId="0" fontId="88" fillId="11" borderId="41" xfId="0" applyFont="1" applyFill="1" applyBorder="1" applyAlignment="1">
      <alignment horizontal="justify" vertical="center"/>
    </xf>
    <xf numFmtId="0" fontId="88" fillId="11" borderId="54" xfId="0" applyFont="1" applyFill="1" applyBorder="1" applyAlignment="1">
      <alignment horizontal="justify" vertical="center"/>
    </xf>
    <xf numFmtId="0" fontId="89" fillId="43" borderId="4" xfId="0" applyFont="1" applyFill="1" applyBorder="1" applyAlignment="1">
      <alignment horizontal="center" vertical="center" wrapText="1"/>
    </xf>
    <xf numFmtId="0" fontId="89" fillId="43" borderId="36" xfId="0" applyFont="1" applyFill="1" applyBorder="1" applyAlignment="1">
      <alignment horizontal="center" vertical="center" wrapText="1"/>
    </xf>
    <xf numFmtId="0" fontId="89" fillId="43" borderId="53" xfId="0" applyFont="1" applyFill="1" applyBorder="1" applyAlignment="1">
      <alignment horizontal="center" vertical="center" wrapText="1"/>
    </xf>
    <xf numFmtId="0" fontId="88" fillId="43" borderId="111" xfId="0" applyFont="1" applyFill="1" applyBorder="1" applyAlignment="1">
      <alignment horizontal="justify" vertical="center"/>
    </xf>
    <xf numFmtId="0" fontId="88" fillId="43" borderId="41" xfId="0" applyFont="1" applyFill="1" applyBorder="1" applyAlignment="1">
      <alignment horizontal="justify" vertical="center"/>
    </xf>
    <xf numFmtId="0" fontId="88" fillId="43" borderId="54" xfId="0" applyFont="1" applyFill="1" applyBorder="1" applyAlignment="1">
      <alignment horizontal="justify" vertical="center"/>
    </xf>
    <xf numFmtId="0" fontId="92" fillId="29" borderId="111" xfId="0" applyFont="1" applyFill="1" applyBorder="1" applyAlignment="1">
      <alignment horizontal="center" vertical="center" wrapText="1"/>
    </xf>
    <xf numFmtId="0" fontId="92" fillId="29" borderId="41" xfId="0" applyFont="1" applyFill="1" applyBorder="1" applyAlignment="1">
      <alignment horizontal="center" vertical="center" wrapText="1"/>
    </xf>
    <xf numFmtId="0" fontId="92" fillId="29" borderId="23" xfId="0" applyFont="1" applyFill="1" applyBorder="1" applyAlignment="1">
      <alignment horizontal="center" vertical="center" wrapText="1"/>
    </xf>
    <xf numFmtId="0" fontId="88" fillId="18" borderId="64" xfId="0" applyFont="1" applyFill="1" applyBorder="1" applyAlignment="1">
      <alignment horizontal="center" vertical="center"/>
    </xf>
    <xf numFmtId="0" fontId="88" fillId="18" borderId="67" xfId="0" applyFont="1" applyFill="1" applyBorder="1" applyAlignment="1">
      <alignment horizontal="center" vertical="center"/>
    </xf>
    <xf numFmtId="0" fontId="88" fillId="18" borderId="0" xfId="0" applyFont="1" applyFill="1" applyAlignment="1">
      <alignment horizontal="center" vertical="center"/>
    </xf>
    <xf numFmtId="0" fontId="88" fillId="18" borderId="39" xfId="0" applyFont="1" applyFill="1" applyBorder="1" applyAlignment="1">
      <alignment horizontal="center" vertical="center"/>
    </xf>
    <xf numFmtId="0" fontId="92" fillId="29" borderId="29" xfId="0" applyFont="1" applyFill="1" applyBorder="1" applyAlignment="1">
      <alignment horizontal="center" vertical="center" wrapText="1"/>
    </xf>
    <xf numFmtId="0" fontId="89" fillId="30" borderId="36" xfId="0" applyFont="1" applyFill="1" applyBorder="1" applyAlignment="1">
      <alignment horizontal="center" vertical="center" wrapText="1"/>
    </xf>
    <xf numFmtId="0" fontId="89" fillId="30" borderId="53" xfId="0" applyFont="1" applyFill="1" applyBorder="1" applyAlignment="1">
      <alignment horizontal="center" vertical="center" wrapText="1"/>
    </xf>
    <xf numFmtId="0" fontId="92" fillId="30" borderId="57" xfId="0" applyFont="1" applyFill="1" applyBorder="1" applyAlignment="1">
      <alignment horizontal="center" vertical="center" wrapText="1"/>
    </xf>
    <xf numFmtId="0" fontId="89" fillId="7" borderId="4" xfId="0" applyFont="1" applyFill="1" applyBorder="1" applyAlignment="1">
      <alignment horizontal="center" vertical="center" wrapText="1"/>
    </xf>
    <xf numFmtId="0" fontId="89" fillId="7" borderId="36" xfId="0" applyFont="1" applyFill="1" applyBorder="1" applyAlignment="1">
      <alignment horizontal="center" vertical="center" wrapText="1"/>
    </xf>
    <xf numFmtId="0" fontId="89" fillId="7" borderId="53" xfId="0" applyFont="1" applyFill="1" applyBorder="1" applyAlignment="1">
      <alignment horizontal="center" vertical="center" wrapText="1"/>
    </xf>
    <xf numFmtId="0" fontId="92" fillId="7" borderId="111" xfId="0" applyFont="1" applyFill="1" applyBorder="1" applyAlignment="1">
      <alignment horizontal="center" vertical="center" wrapText="1"/>
    </xf>
    <xf numFmtId="0" fontId="92" fillId="7" borderId="41" xfId="0" applyFont="1" applyFill="1" applyBorder="1" applyAlignment="1">
      <alignment horizontal="center" vertical="center" wrapText="1"/>
    </xf>
    <xf numFmtId="0" fontId="92" fillId="7" borderId="23" xfId="0" applyFont="1" applyFill="1" applyBorder="1" applyAlignment="1">
      <alignment horizontal="center" vertical="center" wrapText="1"/>
    </xf>
    <xf numFmtId="0" fontId="88" fillId="7" borderId="63" xfId="0" applyFont="1" applyFill="1" applyBorder="1" applyAlignment="1">
      <alignment horizontal="center"/>
    </xf>
    <xf numFmtId="0" fontId="88" fillId="7" borderId="64" xfId="0" applyFont="1" applyFill="1" applyBorder="1" applyAlignment="1">
      <alignment horizontal="center"/>
    </xf>
    <xf numFmtId="0" fontId="88" fillId="7" borderId="67" xfId="0" applyFont="1" applyFill="1" applyBorder="1" applyAlignment="1">
      <alignment horizontal="center"/>
    </xf>
    <xf numFmtId="0" fontId="88" fillId="7" borderId="59" xfId="0" applyFont="1" applyFill="1" applyBorder="1" applyAlignment="1">
      <alignment horizontal="center"/>
    </xf>
    <xf numFmtId="0" fontId="88" fillId="7" borderId="0" xfId="0" applyFont="1" applyFill="1" applyAlignment="1">
      <alignment horizontal="center"/>
    </xf>
    <xf numFmtId="0" fontId="88" fillId="7" borderId="39" xfId="0" applyFont="1" applyFill="1" applyBorder="1" applyAlignment="1">
      <alignment horizontal="center"/>
    </xf>
    <xf numFmtId="0" fontId="88" fillId="7" borderId="65" xfId="0" applyFont="1" applyFill="1" applyBorder="1" applyAlignment="1">
      <alignment horizontal="center"/>
    </xf>
    <xf numFmtId="0" fontId="88" fillId="7" borderId="45" xfId="0" applyFont="1" applyFill="1" applyBorder="1" applyAlignment="1">
      <alignment horizontal="center"/>
    </xf>
    <xf numFmtId="0" fontId="88" fillId="7" borderId="68" xfId="0" applyFont="1" applyFill="1" applyBorder="1" applyAlignment="1">
      <alignment horizontal="center"/>
    </xf>
    <xf numFmtId="0" fontId="92" fillId="7" borderId="29" xfId="0" applyFont="1" applyFill="1" applyBorder="1" applyAlignment="1">
      <alignment horizontal="center" vertical="center" wrapText="1"/>
    </xf>
    <xf numFmtId="0" fontId="92" fillId="7" borderId="54" xfId="0" applyFont="1" applyFill="1" applyBorder="1" applyAlignment="1">
      <alignment horizontal="center" vertical="center" wrapText="1"/>
    </xf>
    <xf numFmtId="0" fontId="89" fillId="4" borderId="4" xfId="0" applyFont="1" applyFill="1" applyBorder="1" applyAlignment="1">
      <alignment horizontal="center" vertical="center" wrapText="1"/>
    </xf>
    <xf numFmtId="0" fontId="89" fillId="4" borderId="36" xfId="0" applyFont="1" applyFill="1" applyBorder="1" applyAlignment="1">
      <alignment horizontal="center" vertical="center" wrapText="1"/>
    </xf>
    <xf numFmtId="0" fontId="88" fillId="4" borderId="111" xfId="0" applyFont="1" applyFill="1" applyBorder="1" applyAlignment="1">
      <alignment horizontal="center" vertical="center"/>
    </xf>
    <xf numFmtId="0" fontId="88" fillId="4" borderId="41" xfId="0" applyFont="1" applyFill="1" applyBorder="1" applyAlignment="1">
      <alignment horizontal="center" vertical="center"/>
    </xf>
    <xf numFmtId="0" fontId="88" fillId="4" borderId="54" xfId="0" applyFont="1" applyFill="1" applyBorder="1" applyAlignment="1">
      <alignment horizontal="center" vertical="center"/>
    </xf>
    <xf numFmtId="0" fontId="88" fillId="43" borderId="111" xfId="0" applyFont="1" applyFill="1" applyBorder="1" applyAlignment="1">
      <alignment horizontal="center" vertical="center"/>
    </xf>
    <xf numFmtId="0" fontId="88" fillId="43" borderId="41" xfId="0" applyFont="1" applyFill="1" applyBorder="1" applyAlignment="1">
      <alignment horizontal="center" vertical="center"/>
    </xf>
    <xf numFmtId="0" fontId="88" fillId="43" borderId="23" xfId="0" applyFont="1" applyFill="1" applyBorder="1" applyAlignment="1">
      <alignment horizontal="center" vertical="center"/>
    </xf>
    <xf numFmtId="3" fontId="89" fillId="43" borderId="4" xfId="0" applyNumberFormat="1" applyFont="1" applyFill="1" applyBorder="1" applyAlignment="1">
      <alignment horizontal="center" vertical="center"/>
    </xf>
    <xf numFmtId="3" fontId="89" fillId="43" borderId="36" xfId="0" applyNumberFormat="1" applyFont="1" applyFill="1" applyBorder="1" applyAlignment="1">
      <alignment horizontal="center" vertical="center"/>
    </xf>
    <xf numFmtId="3" fontId="89" fillId="43" borderId="53" xfId="0" applyNumberFormat="1" applyFont="1" applyFill="1" applyBorder="1" applyAlignment="1">
      <alignment horizontal="center" vertical="center"/>
    </xf>
    <xf numFmtId="0" fontId="88" fillId="43" borderId="29" xfId="0" applyFont="1" applyFill="1" applyBorder="1" applyAlignment="1">
      <alignment horizontal="center" vertical="center" wrapText="1"/>
    </xf>
    <xf numFmtId="0" fontId="88" fillId="43" borderId="41" xfId="0" applyFont="1" applyFill="1" applyBorder="1" applyAlignment="1">
      <alignment horizontal="center" vertical="center" wrapText="1"/>
    </xf>
    <xf numFmtId="0" fontId="41" fillId="30" borderId="2" xfId="7" applyFont="1" applyFill="1" applyBorder="1" applyAlignment="1">
      <alignment horizontal="left"/>
    </xf>
    <xf numFmtId="0" fontId="41" fillId="30" borderId="6" xfId="7" applyFont="1" applyFill="1" applyBorder="1" applyAlignment="1">
      <alignment horizontal="left"/>
    </xf>
    <xf numFmtId="0" fontId="41" fillId="30" borderId="68" xfId="7" applyFont="1" applyFill="1" applyBorder="1" applyAlignment="1">
      <alignment horizontal="left"/>
    </xf>
    <xf numFmtId="0" fontId="38" fillId="0" borderId="0" xfId="6" applyFont="1" applyFill="1" applyAlignment="1">
      <alignment horizontal="left"/>
    </xf>
    <xf numFmtId="0" fontId="49" fillId="0" borderId="0" xfId="6" applyFont="1" applyFill="1" applyAlignment="1">
      <alignment horizontal="left"/>
    </xf>
    <xf numFmtId="0" fontId="38" fillId="0" borderId="2" xfId="0" applyFont="1" applyBorder="1" applyAlignment="1">
      <alignment horizontal="left" wrapText="1"/>
    </xf>
    <xf numFmtId="0" fontId="38" fillId="0" borderId="30" xfId="0" applyFont="1" applyBorder="1" applyAlignment="1">
      <alignment horizontal="left" wrapText="1"/>
    </xf>
    <xf numFmtId="0" fontId="38" fillId="0" borderId="22" xfId="0" applyFont="1" applyBorder="1" applyAlignment="1">
      <alignment horizontal="left" wrapText="1"/>
    </xf>
    <xf numFmtId="0" fontId="38" fillId="0" borderId="0" xfId="6" applyFont="1" applyAlignment="1">
      <alignment horizontal="left"/>
    </xf>
    <xf numFmtId="0" fontId="49" fillId="0" borderId="0" xfId="6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7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75" fillId="5" borderId="0" xfId="0" applyFont="1" applyFill="1" applyBorder="1" applyAlignment="1">
      <alignment horizontal="center"/>
    </xf>
  </cellXfs>
  <cellStyles count="13">
    <cellStyle name="40 % – Zvýraznění1" xfId="12" builtinId="31"/>
    <cellStyle name="Čárka" xfId="1" builtinId="3"/>
    <cellStyle name="Normální" xfId="0" builtinId="0"/>
    <cellStyle name="Normální 2" xfId="2"/>
    <cellStyle name="Normální 3" xfId="3"/>
    <cellStyle name="normální_1.-7 2 2" xfId="4"/>
    <cellStyle name="normální_čerp.-celek 1.-9.09" xfId="5"/>
    <cellStyle name="normální_Fondy" xfId="6"/>
    <cellStyle name="normální_t 01" xfId="7"/>
    <cellStyle name="Procenta" xfId="8" builtinId="5"/>
    <cellStyle name="Vstup" xfId="11" builtinId="20"/>
    <cellStyle name="Обычный 2" xfId="9"/>
    <cellStyle name="Обычный 2_2009 04-06 1901 MCF as of 08 04 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82327209098934E-2"/>
          <c:y val="0.19334612286550495"/>
          <c:w val="0.63884414065832684"/>
          <c:h val="0.700777261482630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E1-4C4C-B2DC-133D155FA97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E1-4C4C-B2DC-133D155FA979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E1-4C4C-B2DC-133D155FA979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E1-4C4C-B2DC-133D155FA979}"/>
              </c:ext>
            </c:extLst>
          </c:dPt>
          <c:dLbls>
            <c:dLbl>
              <c:idx val="1"/>
              <c:layout>
                <c:manualLayout>
                  <c:x val="2.6259365762836082E-2"/>
                  <c:y val="-0.103511757999946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E1-4C4C-B2DC-133D155FA9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087708204734434"/>
                  <c:y val="1.75345758547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E1-4C4C-B2DC-133D155FA9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534640148948876E-2"/>
                  <c:y val="-0.213494171814382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E1-4C4C-B2DC-133D155FA97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RUD'!$N$8:$N$11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RUD'!$P$8:$P$11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1E1-4C4C-B2DC-133D155FA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37069756524336"/>
          <c:y val="7.8823224020074412E-2"/>
          <c:w val="0.55626673495081402"/>
          <c:h val="0.751877015373078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3E-4805-994C-07F246EEB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3E-4805-994C-07F246EEB0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3E-4805-994C-07F246EEB0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3E-4805-994C-07F246EEB0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3E-4805-994C-07F246EEB085}"/>
              </c:ext>
            </c:extLst>
          </c:dPt>
          <c:dLbls>
            <c:dLbl>
              <c:idx val="0"/>
              <c:layout>
                <c:manualLayout>
                  <c:x val="0.13441734417344173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742547425474256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43566566374325"/>
                  <c:y val="-1.75824175824176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224932249322496"/>
                  <c:y val="-6.446886446886447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525745257452566"/>
                  <c:y val="-9.032174853150398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3E-4805-994C-07F246EEB0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urier New" panose="02070309020205020404" pitchFamily="49" charset="0"/>
                    <a:ea typeface="+mn-ea"/>
                    <a:cs typeface="Courier New" panose="02070309020205020404" pitchFamily="49" charset="0"/>
                  </a:defRPr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2020'!$B$4:$B$8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'Graf P-V 2020'!$C$4:$C$8</c:f>
              <c:numCache>
                <c:formatCode>#,##0</c:formatCode>
                <c:ptCount val="5"/>
                <c:pt idx="0">
                  <c:v>103854597</c:v>
                </c:pt>
                <c:pt idx="1">
                  <c:v>24482205</c:v>
                </c:pt>
                <c:pt idx="2">
                  <c:v>65000</c:v>
                </c:pt>
                <c:pt idx="3">
                  <c:v>18739376</c:v>
                </c:pt>
                <c:pt idx="4">
                  <c:v>11000000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33E-4805-994C-07F246EEB0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ourier New" panose="02070309020205020404" pitchFamily="49" charset="0"/>
          <a:cs typeface="Courier New" panose="02070309020205020404" pitchFamily="49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0494313210849"/>
          <c:y val="0.19143431356695698"/>
          <c:w val="0.43836811023622047"/>
          <c:h val="0.6910235029201516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A3-4AF3-B956-47FA48128CB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A3-4AF3-B956-47FA48128CB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A3-4AF3-B956-47FA48128C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2020'!$B$36:$B$38</c:f>
              <c:strCache>
                <c:ptCount val="3"/>
                <c:pt idx="0">
                  <c:v>Běžné výdaje</c:v>
                </c:pt>
                <c:pt idx="1">
                  <c:v>Kapitálové výdaje</c:v>
                </c:pt>
                <c:pt idx="2">
                  <c:v>Financování</c:v>
                </c:pt>
              </c:strCache>
            </c:strRef>
          </c:cat>
          <c:val>
            <c:numRef>
              <c:f>'Graf P-V 2020'!$C$36:$C$38</c:f>
              <c:numCache>
                <c:formatCode>#,##0</c:formatCode>
                <c:ptCount val="3"/>
                <c:pt idx="0">
                  <c:v>123067947.87349999</c:v>
                </c:pt>
                <c:pt idx="1">
                  <c:v>16196108.68</c:v>
                </c:pt>
                <c:pt idx="2">
                  <c:v>18877121.446500011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A3-4AF3-B956-47FA48128C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2015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D1-470C-A057-87F811CDE278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D1-470C-A057-87F811CDE278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D1-470C-A057-87F811CDE278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D1-470C-A057-87F811CDE278}"/>
              </c:ext>
            </c:extLst>
          </c:dPt>
          <c:dLbls>
            <c:dLbl>
              <c:idx val="0"/>
              <c:layout>
                <c:manualLayout>
                  <c:x val="9.5988626421697285E-3"/>
                  <c:y val="-3.809384023923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500000000010246E-4"/>
                  <c:y val="-0.1185185010179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101706036745404E-3"/>
                  <c:y val="3.75663956991711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104111986001815E-2"/>
                  <c:y val="-0.372295813106258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D1-470C-A057-87F811CDE27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RUD'!$E$8:$E$11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RUD'!$G$8:$G$11</c:f>
              <c:numCache>
                <c:formatCode>#,##0.00</c:formatCode>
                <c:ptCount val="4"/>
                <c:pt idx="0">
                  <c:v>0.40947991998836331</c:v>
                </c:pt>
                <c:pt idx="1">
                  <c:v>0.7862683708387822</c:v>
                </c:pt>
                <c:pt idx="2">
                  <c:v>1.0013121908697897</c:v>
                </c:pt>
                <c:pt idx="3">
                  <c:v>2.1970604739380191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7D1-470C-A057-87F811CD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2014_skutečnost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A5-4C14-AAB4-113791C7A07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9A5-4C14-AAB4-113791C7A07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9A5-4C14-AAB4-113791C7A07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9A5-4C14-AAB4-113791C7A07E}"/>
              </c:ext>
            </c:extLst>
          </c:dPt>
          <c:dLbls>
            <c:dLbl>
              <c:idx val="0"/>
              <c:layout>
                <c:manualLayout>
                  <c:x val="5.6825715181828614E-2"/>
                  <c:y val="-5.8680736957625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731656184486373E-3"/>
                  <c:y val="-6.515350542950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230789547532976E-2"/>
                  <c:y val="8.7968685438605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29473910100853E-2"/>
                  <c:y val="-0.277982808002728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9A5-4C14-AAB4-113791C7A0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RUD'!$A$8:$A$11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RUD'!$C$8:$C$11</c:f>
              <c:numCache>
                <c:formatCode>#,##0.00</c:formatCode>
                <c:ptCount val="4"/>
                <c:pt idx="0">
                  <c:v>0.38657163825886059</c:v>
                </c:pt>
                <c:pt idx="1">
                  <c:v>0.59796367149995799</c:v>
                </c:pt>
                <c:pt idx="2">
                  <c:v>0.93007614610619882</c:v>
                </c:pt>
                <c:pt idx="3">
                  <c:v>1.9146114605110029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9A5-4C14-AAB4-113791C7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Rozpočtové</a:t>
            </a:r>
            <a:r>
              <a:rPr lang="cs-CZ" sz="1400" b="0" i="0" u="none" strike="noStrike" baseline="0">
                <a:solidFill>
                  <a:srgbClr val="333333"/>
                </a:solidFill>
                <a:latin typeface="Calibri"/>
              </a:rPr>
              <a:t> </a:t>
            </a: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příjmy rok 2017 v%</a:t>
            </a:r>
          </a:p>
        </c:rich>
      </c:tx>
      <c:layout>
        <c:manualLayout>
          <c:xMode val="edge"/>
          <c:yMode val="edge"/>
          <c:x val="0.25647698293032556"/>
          <c:y val="1.570461587038462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4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373443157003734E-2"/>
          <c:y val="0.18015795267454338"/>
          <c:w val="0.82983305948545061"/>
          <c:h val="0.7279133731005601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08-411C-974D-815F5681AC7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08-411C-974D-815F5681AC7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08-411C-974D-815F5681AC7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08-411C-974D-815F5681AC75}"/>
              </c:ext>
            </c:extLst>
          </c:dPt>
          <c:dLbls>
            <c:dLbl>
              <c:idx val="0"/>
              <c:layout>
                <c:manualLayout>
                  <c:x val="-2.1601476644687711E-2"/>
                  <c:y val="-0.11254443392789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08-411C-974D-815F5681AC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85473970225292E-3"/>
                  <c:y val="-0.284952896883114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D08-411C-974D-815F5681AC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275057081279389E-2"/>
                  <c:y val="5.69412145285990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D08-411C-974D-815F5681AC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RUD'!$B$42:$B$46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transfery_Dotace</c:v>
                </c:pt>
                <c:pt idx="4">
                  <c:v>Financování</c:v>
                </c:pt>
              </c:strCache>
            </c:strRef>
          </c:cat>
          <c:val>
            <c:numRef>
              <c:f>'Graf_analýza nákladovost na RUD'!$E$42:$E$46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D08-411C-974D-815F5681A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C-455C-A529-299427328DC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4C-455C-A529-299427328DC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4C-455C-A529-299427328DC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4C-455C-A529-299427328DCE}"/>
              </c:ext>
            </c:extLst>
          </c:dPt>
          <c:dLbls>
            <c:dLbl>
              <c:idx val="0"/>
              <c:layout>
                <c:manualLayout>
                  <c:x val="1.6709618614746322E-2"/>
                  <c:y val="-5.4338744526957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02E-2"/>
                  <c:y val="-1.3984528363203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4C-455C-A529-299427328D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RUD'!$A$70:$A$73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RUD'!$C$70:$C$73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4C-455C-A529-2994273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702E-2"/>
          <c:y val="0.11518553514144066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RUD'!$A$99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RUD'!$B$99:$D$99</c:f>
              <c:numCache>
                <c:formatCode>0%</c:formatCode>
                <c:ptCount val="3"/>
                <c:pt idx="0">
                  <c:v>0.41</c:v>
                </c:pt>
                <c:pt idx="1">
                  <c:v>0.99</c:v>
                </c:pt>
                <c:pt idx="2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84A-BD40-1717E2EBD808}"/>
            </c:ext>
          </c:extLst>
        </c:ser>
        <c:ser>
          <c:idx val="1"/>
          <c:order val="1"/>
          <c:tx>
            <c:strRef>
              <c:f>'Graf_analýza nákladovost na RUD'!$A$100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RUD'!$B$100:$D$100</c:f>
              <c:numCache>
                <c:formatCode>0%</c:formatCode>
                <c:ptCount val="3"/>
                <c:pt idx="0">
                  <c:v>0.39</c:v>
                </c:pt>
                <c:pt idx="1">
                  <c:v>0.89</c:v>
                </c:pt>
                <c:pt idx="2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39-484A-BD40-1717E2EBD808}"/>
            </c:ext>
          </c:extLst>
        </c:ser>
        <c:ser>
          <c:idx val="2"/>
          <c:order val="2"/>
          <c:tx>
            <c:strRef>
              <c:f>'Graf_analýza nákladovost na RUD'!$A$101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RUD'!$B$101:$D$101</c:f>
              <c:numCache>
                <c:formatCode>0%</c:formatCode>
                <c:ptCount val="3"/>
                <c:pt idx="0">
                  <c:v>0.41</c:v>
                </c:pt>
                <c:pt idx="1">
                  <c:v>0.79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39-484A-BD40-1717E2EBD808}"/>
            </c:ext>
          </c:extLst>
        </c:ser>
        <c:ser>
          <c:idx val="3"/>
          <c:order val="3"/>
          <c:tx>
            <c:strRef>
              <c:f>'Graf_analýza nákladovost na RUD'!$A$102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RUD'!$B$102:$D$102</c:f>
              <c:numCache>
                <c:formatCode>0%</c:formatCode>
                <c:ptCount val="3"/>
                <c:pt idx="0">
                  <c:v>0.39</c:v>
                </c:pt>
                <c:pt idx="1">
                  <c:v>0.6</c:v>
                </c:pt>
                <c:pt idx="2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39-484A-BD40-1717E2EB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615784"/>
        <c:axId val="193616168"/>
      </c:barChart>
      <c:catAx>
        <c:axId val="19361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3616168"/>
        <c:crosses val="autoZero"/>
        <c:auto val="1"/>
        <c:lblAlgn val="ctr"/>
        <c:lblOffset val="100"/>
        <c:noMultiLvlLbl val="0"/>
      </c:catAx>
      <c:valAx>
        <c:axId val="19361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3615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105315782895558"/>
          <c:y val="1.5594541910331383E-2"/>
          <c:w val="0.15914800123668749"/>
          <c:h val="3.5087719298245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RUD'!$A$142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RUD'!$B$142:$F$142</c:f>
              <c:numCache>
                <c:formatCode>#,##0.00</c:formatCode>
                <c:ptCount val="5"/>
                <c:pt idx="0" formatCode="General">
                  <c:v>64168276</c:v>
                </c:pt>
                <c:pt idx="1">
                  <c:v>68876667</c:v>
                </c:pt>
                <c:pt idx="2">
                  <c:v>70886189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E-49BC-9990-C9FFA30593C2}"/>
            </c:ext>
          </c:extLst>
        </c:ser>
        <c:ser>
          <c:idx val="1"/>
          <c:order val="1"/>
          <c:tx>
            <c:strRef>
              <c:f>'Graf_analýza nákladovost na RUD'!$A$143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RUD'!$B$143:$F$143</c:f>
              <c:numCache>
                <c:formatCode>#,##0.00</c:formatCode>
                <c:ptCount val="5"/>
                <c:pt idx="0" formatCode="General">
                  <c:v>89472981</c:v>
                </c:pt>
                <c:pt idx="1">
                  <c:v>70930301</c:v>
                </c:pt>
                <c:pt idx="2">
                  <c:v>87313297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647816"/>
        <c:axId val="193648200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RUD'!$A$144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RUD'!$B$144:$F$144</c:f>
              <c:numCache>
                <c:formatCode>#,##0.00</c:formatCode>
                <c:ptCount val="5"/>
                <c:pt idx="0" formatCode="General">
                  <c:v>153641257</c:v>
                </c:pt>
                <c:pt idx="1">
                  <c:v>139806968</c:v>
                </c:pt>
                <c:pt idx="2">
                  <c:v>158199486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47816"/>
        <c:axId val="193648200"/>
      </c:lineChart>
      <c:catAx>
        <c:axId val="19364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3648200"/>
        <c:crosses val="autoZero"/>
        <c:auto val="1"/>
        <c:lblAlgn val="ctr"/>
        <c:lblOffset val="100"/>
        <c:noMultiLvlLbl val="0"/>
      </c:catAx>
      <c:valAx>
        <c:axId val="19364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3647816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25043744531954"/>
          <c:y val="0.90278069407990669"/>
          <c:w val="0.58125109361329863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RUD'!$G$99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RUD'!$H$98:$K$98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RUD'!$H$99:$K$99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8-433F-836B-2CCC04A0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673816"/>
        <c:axId val="193674200"/>
      </c:barChart>
      <c:catAx>
        <c:axId val="19367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3674200"/>
        <c:crosses val="autoZero"/>
        <c:auto val="1"/>
        <c:lblAlgn val="ctr"/>
        <c:lblOffset val="100"/>
        <c:noMultiLvlLbl val="0"/>
      </c:catAx>
      <c:valAx>
        <c:axId val="1936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3673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RUD'!$H$129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RUD'!$H$130:$H$133</c:f>
              <c:numCache>
                <c:formatCode>0%</c:formatCode>
                <c:ptCount val="4"/>
                <c:pt idx="0">
                  <c:v>0.51422198710544109</c:v>
                </c:pt>
                <c:pt idx="1">
                  <c:v>0.54424914790073209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C-41A2-A674-DDF9F43F24E7}"/>
            </c:ext>
          </c:extLst>
        </c:ser>
        <c:ser>
          <c:idx val="1"/>
          <c:order val="1"/>
          <c:tx>
            <c:strRef>
              <c:f>'Graf_analýza nákladovost na RUD'!$I$129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RUD'!$I$130:$I$133</c:f>
              <c:numCache>
                <c:formatCode>0%</c:formatCode>
                <c:ptCount val="4"/>
                <c:pt idx="0">
                  <c:v>0.48577801046796448</c:v>
                </c:pt>
                <c:pt idx="1">
                  <c:v>0.45575085563076662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C-41A2-A674-DDF9F43F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86496"/>
        <c:axId val="193487672"/>
      </c:scatterChart>
      <c:valAx>
        <c:axId val="19348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3487672"/>
        <c:crosses val="autoZero"/>
        <c:crossBetween val="midCat"/>
      </c:valAx>
      <c:valAx>
        <c:axId val="19348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34864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8259288689831"/>
          <c:y val="0.90278069407990669"/>
          <c:w val="0.51605552746273686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809625</xdr:colOff>
      <xdr:row>37</xdr:row>
      <xdr:rowOff>152400</xdr:rowOff>
    </xdr:from>
    <xdr:to>
      <xdr:col>17</xdr:col>
      <xdr:colOff>200025</xdr:colOff>
      <xdr:row>63</xdr:row>
      <xdr:rowOff>9525</xdr:rowOff>
    </xdr:to>
    <xdr:graphicFrame macro="">
      <xdr:nvGraphicFramePr>
        <xdr:cNvPr id="8459114" name="Graf 1">
          <a:extLst>
            <a:ext uri="{FF2B5EF4-FFF2-40B4-BE49-F238E27FC236}">
              <a16:creationId xmlns:a16="http://schemas.microsoft.com/office/drawing/2014/main" xmlns="" id="{00000000-0008-0000-0600-00006A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13</xdr:row>
      <xdr:rowOff>0</xdr:rowOff>
    </xdr:from>
    <xdr:to>
      <xdr:col>17</xdr:col>
      <xdr:colOff>152400</xdr:colOff>
      <xdr:row>33</xdr:row>
      <xdr:rowOff>152400</xdr:rowOff>
    </xdr:to>
    <xdr:graphicFrame macro="">
      <xdr:nvGraphicFramePr>
        <xdr:cNvPr id="8459115" name="Graf 2">
          <a:extLst>
            <a:ext uri="{FF2B5EF4-FFF2-40B4-BE49-F238E27FC236}">
              <a16:creationId xmlns:a16="http://schemas.microsoft.com/office/drawing/2014/main" xmlns="" id="{00000000-0008-0000-0600-00006B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17</xdr:row>
      <xdr:rowOff>19050</xdr:rowOff>
    </xdr:from>
    <xdr:to>
      <xdr:col>4</xdr:col>
      <xdr:colOff>1562100</xdr:colOff>
      <xdr:row>33</xdr:row>
      <xdr:rowOff>161925</xdr:rowOff>
    </xdr:to>
    <xdr:graphicFrame macro="">
      <xdr:nvGraphicFramePr>
        <xdr:cNvPr id="8459116" name="Graf 3">
          <a:extLst>
            <a:ext uri="{FF2B5EF4-FFF2-40B4-BE49-F238E27FC236}">
              <a16:creationId xmlns:a16="http://schemas.microsoft.com/office/drawing/2014/main" xmlns="" id="{00000000-0008-0000-0600-00006C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37</xdr:row>
      <xdr:rowOff>104775</xdr:rowOff>
    </xdr:from>
    <xdr:to>
      <xdr:col>5</xdr:col>
      <xdr:colOff>219075</xdr:colOff>
      <xdr:row>52</xdr:row>
      <xdr:rowOff>19050</xdr:rowOff>
    </xdr:to>
    <xdr:graphicFrame macro="">
      <xdr:nvGraphicFramePr>
        <xdr:cNvPr id="8459117" name="Graf 5">
          <a:extLst>
            <a:ext uri="{FF2B5EF4-FFF2-40B4-BE49-F238E27FC236}">
              <a16:creationId xmlns:a16="http://schemas.microsoft.com/office/drawing/2014/main" xmlns="" id="{00000000-0008-0000-0600-00006D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1333500</xdr:colOff>
      <xdr:row>75</xdr:row>
      <xdr:rowOff>57150</xdr:rowOff>
    </xdr:from>
    <xdr:to>
      <xdr:col>5</xdr:col>
      <xdr:colOff>438150</xdr:colOff>
      <xdr:row>93</xdr:row>
      <xdr:rowOff>57150</xdr:rowOff>
    </xdr:to>
    <xdr:graphicFrame macro="">
      <xdr:nvGraphicFramePr>
        <xdr:cNvPr id="8459118" name="Graf 2">
          <a:extLst>
            <a:ext uri="{FF2B5EF4-FFF2-40B4-BE49-F238E27FC236}">
              <a16:creationId xmlns:a16="http://schemas.microsoft.com/office/drawing/2014/main" xmlns="" id="{00000000-0008-0000-0600-00006E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323850</xdr:colOff>
      <xdr:row>104</xdr:row>
      <xdr:rowOff>57150</xdr:rowOff>
    </xdr:from>
    <xdr:to>
      <xdr:col>4</xdr:col>
      <xdr:colOff>1704975</xdr:colOff>
      <xdr:row>134</xdr:row>
      <xdr:rowOff>9525</xdr:rowOff>
    </xdr:to>
    <xdr:graphicFrame macro="">
      <xdr:nvGraphicFramePr>
        <xdr:cNvPr id="8459119" name="Graf 8">
          <a:extLst>
            <a:ext uri="{FF2B5EF4-FFF2-40B4-BE49-F238E27FC236}">
              <a16:creationId xmlns:a16="http://schemas.microsoft.com/office/drawing/2014/main" xmlns="" id="{00000000-0008-0000-0600-00006F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123825</xdr:colOff>
      <xdr:row>150</xdr:row>
      <xdr:rowOff>19050</xdr:rowOff>
    </xdr:from>
    <xdr:to>
      <xdr:col>4</xdr:col>
      <xdr:colOff>209550</xdr:colOff>
      <xdr:row>167</xdr:row>
      <xdr:rowOff>9525</xdr:rowOff>
    </xdr:to>
    <xdr:graphicFrame macro="">
      <xdr:nvGraphicFramePr>
        <xdr:cNvPr id="8459120" name="Graf 1">
          <a:extLst>
            <a:ext uri="{FF2B5EF4-FFF2-40B4-BE49-F238E27FC236}">
              <a16:creationId xmlns:a16="http://schemas.microsoft.com/office/drawing/2014/main" xmlns="" id="{00000000-0008-0000-0600-000070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1781175</xdr:colOff>
      <xdr:row>100</xdr:row>
      <xdr:rowOff>28575</xdr:rowOff>
    </xdr:from>
    <xdr:to>
      <xdr:col>12</xdr:col>
      <xdr:colOff>28575</xdr:colOff>
      <xdr:row>117</xdr:row>
      <xdr:rowOff>19050</xdr:rowOff>
    </xdr:to>
    <xdr:graphicFrame macro="">
      <xdr:nvGraphicFramePr>
        <xdr:cNvPr id="8459121" name="Graf 1">
          <a:extLst>
            <a:ext uri="{FF2B5EF4-FFF2-40B4-BE49-F238E27FC236}">
              <a16:creationId xmlns:a16="http://schemas.microsoft.com/office/drawing/2014/main" xmlns="" id="{00000000-0008-0000-0600-000071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161925</xdr:colOff>
      <xdr:row>138</xdr:row>
      <xdr:rowOff>66675</xdr:rowOff>
    </xdr:from>
    <xdr:to>
      <xdr:col>13</xdr:col>
      <xdr:colOff>762000</xdr:colOff>
      <xdr:row>155</xdr:row>
      <xdr:rowOff>57150</xdr:rowOff>
    </xdr:to>
    <xdr:graphicFrame macro="">
      <xdr:nvGraphicFramePr>
        <xdr:cNvPr id="8459122" name="Graf 4">
          <a:extLst>
            <a:ext uri="{FF2B5EF4-FFF2-40B4-BE49-F238E27FC236}">
              <a16:creationId xmlns:a16="http://schemas.microsoft.com/office/drawing/2014/main" xmlns="" id="{00000000-0008-0000-0600-000072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3</xdr:row>
      <xdr:rowOff>9526</xdr:rowOff>
    </xdr:from>
    <xdr:to>
      <xdr:col>14</xdr:col>
      <xdr:colOff>542925</xdr:colOff>
      <xdr:row>30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552450</xdr:colOff>
      <xdr:row>36</xdr:row>
      <xdr:rowOff>114300</xdr:rowOff>
    </xdr:from>
    <xdr:to>
      <xdr:col>11</xdr:col>
      <xdr:colOff>247650</xdr:colOff>
      <xdr:row>55</xdr:row>
      <xdr:rowOff>142874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21%20-%20podklady%20Person&#225;l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21%20-%20podklady%20O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21%20-%20podklady%20OSP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21%20-%20podklady%20O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21%20-%20podklady%20OI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21%20-%20podklady%20O&#381;P&#218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List1"/>
    </sheetNames>
    <sheetDataSet>
      <sheetData sheetId="0">
        <row r="3">
          <cell r="B3">
            <v>4700000</v>
          </cell>
          <cell r="C3">
            <v>60000</v>
          </cell>
          <cell r="D3">
            <v>340000</v>
          </cell>
          <cell r="E3">
            <v>0</v>
          </cell>
          <cell r="F3">
            <v>0</v>
          </cell>
          <cell r="G3">
            <v>0</v>
          </cell>
          <cell r="H3">
            <v>1260000</v>
          </cell>
          <cell r="I3">
            <v>453600</v>
          </cell>
          <cell r="J3">
            <v>21168</v>
          </cell>
        </row>
        <row r="4">
          <cell r="B4">
            <v>3500000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875000</v>
          </cell>
          <cell r="I4">
            <v>315000</v>
          </cell>
          <cell r="J4">
            <v>14700</v>
          </cell>
        </row>
        <row r="5">
          <cell r="B5">
            <v>0</v>
          </cell>
          <cell r="C5">
            <v>0</v>
          </cell>
          <cell r="D5">
            <v>90000</v>
          </cell>
          <cell r="E5">
            <v>0</v>
          </cell>
          <cell r="F5">
            <v>0</v>
          </cell>
          <cell r="G5">
            <v>30000</v>
          </cell>
          <cell r="H5">
            <v>22500</v>
          </cell>
          <cell r="I5">
            <v>8100</v>
          </cell>
          <cell r="J5">
            <v>378</v>
          </cell>
        </row>
        <row r="6">
          <cell r="B6">
            <v>1400000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350000</v>
          </cell>
          <cell r="I6">
            <v>126000</v>
          </cell>
          <cell r="J6">
            <v>5880</v>
          </cell>
        </row>
        <row r="7">
          <cell r="B7">
            <v>0</v>
          </cell>
          <cell r="C7">
            <v>0</v>
          </cell>
          <cell r="D7">
            <v>24000</v>
          </cell>
          <cell r="E7">
            <v>0</v>
          </cell>
          <cell r="F7">
            <v>0</v>
          </cell>
          <cell r="G7">
            <v>0</v>
          </cell>
          <cell r="H7">
            <v>6000</v>
          </cell>
          <cell r="I7">
            <v>2160</v>
          </cell>
          <cell r="J7">
            <v>100.8</v>
          </cell>
        </row>
        <row r="8">
          <cell r="B8">
            <v>1270000</v>
          </cell>
          <cell r="C8">
            <v>30000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317500</v>
          </cell>
          <cell r="I8">
            <v>114300</v>
          </cell>
          <cell r="J8">
            <v>5334</v>
          </cell>
        </row>
        <row r="9">
          <cell r="B9">
            <v>0</v>
          </cell>
          <cell r="C9">
            <v>150000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50000</v>
          </cell>
          <cell r="H10">
            <v>12500</v>
          </cell>
          <cell r="I10">
            <v>4500</v>
          </cell>
          <cell r="J10">
            <v>210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2400000</v>
          </cell>
          <cell r="C13">
            <v>0</v>
          </cell>
          <cell r="D13">
            <v>48000</v>
          </cell>
          <cell r="E13">
            <v>0</v>
          </cell>
          <cell r="F13">
            <v>0</v>
          </cell>
          <cell r="G13">
            <v>0</v>
          </cell>
          <cell r="H13">
            <v>612000</v>
          </cell>
          <cell r="I13">
            <v>220320</v>
          </cell>
          <cell r="J13">
            <v>10281.6</v>
          </cell>
        </row>
        <row r="14">
          <cell r="B14">
            <v>3300000</v>
          </cell>
          <cell r="C14">
            <v>0</v>
          </cell>
          <cell r="D14">
            <v>290000</v>
          </cell>
          <cell r="E14">
            <v>0</v>
          </cell>
          <cell r="F14">
            <v>0</v>
          </cell>
          <cell r="G14">
            <v>0</v>
          </cell>
          <cell r="H14">
            <v>897500</v>
          </cell>
          <cell r="I14">
            <v>323100</v>
          </cell>
          <cell r="J14">
            <v>15078</v>
          </cell>
        </row>
        <row r="15">
          <cell r="B15">
            <v>1600000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400000</v>
          </cell>
          <cell r="I15">
            <v>144000</v>
          </cell>
          <cell r="J15">
            <v>6720</v>
          </cell>
        </row>
        <row r="16">
          <cell r="B16">
            <v>1270000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317500</v>
          </cell>
          <cell r="I16">
            <v>114300</v>
          </cell>
          <cell r="J16">
            <v>5334</v>
          </cell>
        </row>
        <row r="17">
          <cell r="B17">
            <v>3230000</v>
          </cell>
          <cell r="C17">
            <v>0</v>
          </cell>
          <cell r="D17">
            <v>400000</v>
          </cell>
          <cell r="E17">
            <v>0</v>
          </cell>
          <cell r="F17">
            <v>0</v>
          </cell>
          <cell r="G17">
            <v>0</v>
          </cell>
          <cell r="H17">
            <v>907500</v>
          </cell>
          <cell r="I17">
            <v>326700</v>
          </cell>
          <cell r="J17">
            <v>15246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2790000</v>
          </cell>
          <cell r="F19">
            <v>0</v>
          </cell>
          <cell r="G19">
            <v>0</v>
          </cell>
          <cell r="H19">
            <v>697500</v>
          </cell>
          <cell r="I19">
            <v>251100</v>
          </cell>
          <cell r="J19">
            <v>11718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oky"/>
      <sheetName val="Splátky jistiny"/>
      <sheetName val="Všebecná pokladna"/>
      <sheetName val="Volby "/>
      <sheetName val="Krizové situace-5213"/>
      <sheetName val="Správa"/>
      <sheetName val="Knihovna"/>
      <sheetName val="Byty"/>
      <sheetName val="DPS"/>
      <sheetName val="Nebyty"/>
      <sheetName val="TESKO"/>
      <sheetName val="Hřbitov"/>
      <sheetName val="Hasiči"/>
      <sheetName val="Silnice"/>
      <sheetName val="Sportovní zařízení"/>
      <sheetName val="ZŠ"/>
      <sheetName val="č.p.65"/>
      <sheetName val="MDDM"/>
      <sheetName val="MŠ Koll"/>
      <sheetName val="Jídelna ZŠ"/>
      <sheetName val="Jídelna MŠ Koll."/>
      <sheetName val=" MŠ Cuk"/>
    </sheetNames>
    <sheetDataSet>
      <sheetData sheetId="0">
        <row r="4">
          <cell r="B4">
            <v>2058522.1749999998</v>
          </cell>
        </row>
        <row r="20">
          <cell r="B20">
            <v>80000</v>
          </cell>
        </row>
      </sheetData>
      <sheetData sheetId="1">
        <row r="4">
          <cell r="B4">
            <v>19016744</v>
          </cell>
        </row>
      </sheetData>
      <sheetData sheetId="2">
        <row r="49">
          <cell r="B49">
            <v>885140</v>
          </cell>
        </row>
        <row r="57">
          <cell r="B57">
            <v>1000000</v>
          </cell>
        </row>
        <row r="64">
          <cell r="B64">
            <v>1300000</v>
          </cell>
        </row>
        <row r="71">
          <cell r="B71">
            <v>0</v>
          </cell>
        </row>
        <row r="78">
          <cell r="B78">
            <v>0</v>
          </cell>
        </row>
        <row r="85">
          <cell r="B85">
            <v>0</v>
          </cell>
        </row>
        <row r="92">
          <cell r="B92">
            <v>0</v>
          </cell>
        </row>
      </sheetData>
      <sheetData sheetId="3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5">
          <cell r="B25">
            <v>0</v>
          </cell>
        </row>
        <row r="32">
          <cell r="B32">
            <v>0</v>
          </cell>
        </row>
      </sheetData>
      <sheetData sheetId="4">
        <row r="4">
          <cell r="B4">
            <v>51927.298500000004</v>
          </cell>
        </row>
      </sheetData>
      <sheetData sheetId="5">
        <row r="4">
          <cell r="B4">
            <v>35000</v>
          </cell>
        </row>
        <row r="11">
          <cell r="B11">
            <v>350000</v>
          </cell>
        </row>
        <row r="18">
          <cell r="B18">
            <v>350000</v>
          </cell>
        </row>
      </sheetData>
      <sheetData sheetId="6">
        <row r="4">
          <cell r="B4">
            <v>5000</v>
          </cell>
        </row>
        <row r="11">
          <cell r="B11">
            <v>5000</v>
          </cell>
        </row>
        <row r="18">
          <cell r="B18">
            <v>136000</v>
          </cell>
        </row>
      </sheetData>
      <sheetData sheetId="7">
        <row r="4">
          <cell r="B4">
            <v>30000</v>
          </cell>
        </row>
        <row r="11">
          <cell r="B11">
            <v>120000</v>
          </cell>
        </row>
        <row r="18">
          <cell r="B18">
            <v>100000</v>
          </cell>
        </row>
      </sheetData>
      <sheetData sheetId="8">
        <row r="4">
          <cell r="B4">
            <v>500000</v>
          </cell>
        </row>
        <row r="11">
          <cell r="B11">
            <v>930000</v>
          </cell>
        </row>
        <row r="18">
          <cell r="B18">
            <v>300000</v>
          </cell>
        </row>
      </sheetData>
      <sheetData sheetId="9">
        <row r="4">
          <cell r="B4">
            <v>30000</v>
          </cell>
        </row>
        <row r="11">
          <cell r="B11">
            <v>500000</v>
          </cell>
        </row>
        <row r="18">
          <cell r="B18">
            <v>359000</v>
          </cell>
        </row>
      </sheetData>
      <sheetData sheetId="10">
        <row r="4">
          <cell r="B4">
            <v>31000</v>
          </cell>
        </row>
      </sheetData>
      <sheetData sheetId="11">
        <row r="4">
          <cell r="B4">
            <v>10000</v>
          </cell>
        </row>
      </sheetData>
      <sheetData sheetId="12">
        <row r="4">
          <cell r="B4">
            <v>3000</v>
          </cell>
        </row>
        <row r="11">
          <cell r="B11">
            <v>50000</v>
          </cell>
        </row>
        <row r="18">
          <cell r="B18">
            <v>43000</v>
          </cell>
        </row>
      </sheetData>
      <sheetData sheetId="13">
        <row r="4">
          <cell r="B4">
            <v>15000</v>
          </cell>
        </row>
      </sheetData>
      <sheetData sheetId="14">
        <row r="4">
          <cell r="B4">
            <v>180000</v>
          </cell>
        </row>
        <row r="11">
          <cell r="B11">
            <v>1000000</v>
          </cell>
        </row>
      </sheetData>
      <sheetData sheetId="15">
        <row r="4">
          <cell r="B4">
            <v>30000</v>
          </cell>
        </row>
        <row r="11">
          <cell r="B11">
            <v>900000</v>
          </cell>
        </row>
        <row r="18">
          <cell r="B18">
            <v>250000</v>
          </cell>
        </row>
        <row r="25">
          <cell r="B25">
            <v>816000</v>
          </cell>
        </row>
        <row r="26">
          <cell r="B26">
            <v>816000</v>
          </cell>
        </row>
        <row r="27">
          <cell r="B27">
            <v>0</v>
          </cell>
        </row>
        <row r="32">
          <cell r="B32">
            <v>9850000</v>
          </cell>
        </row>
      </sheetData>
      <sheetData sheetId="16">
        <row r="4">
          <cell r="B4">
            <v>20000</v>
          </cell>
        </row>
        <row r="11">
          <cell r="B11">
            <v>100000</v>
          </cell>
        </row>
        <row r="18">
          <cell r="B18">
            <v>100000</v>
          </cell>
        </row>
      </sheetData>
      <sheetData sheetId="17">
        <row r="4">
          <cell r="B4">
            <v>550000</v>
          </cell>
        </row>
      </sheetData>
      <sheetData sheetId="18">
        <row r="4">
          <cell r="B4">
            <v>2400000</v>
          </cell>
        </row>
      </sheetData>
      <sheetData sheetId="19"/>
      <sheetData sheetId="20">
        <row r="4">
          <cell r="B4">
            <v>200000</v>
          </cell>
        </row>
      </sheetData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</sheetNames>
    <sheetDataSet>
      <sheetData sheetId="0">
        <row r="4">
          <cell r="B4">
            <v>8000</v>
          </cell>
        </row>
        <row r="10">
          <cell r="B10">
            <v>85000</v>
          </cell>
        </row>
        <row r="11">
          <cell r="B11">
            <v>50000</v>
          </cell>
        </row>
        <row r="12">
          <cell r="B12">
            <v>35000</v>
          </cell>
        </row>
        <row r="17">
          <cell r="B17">
            <v>45000</v>
          </cell>
        </row>
        <row r="18">
          <cell r="B18">
            <v>45000</v>
          </cell>
        </row>
        <row r="19">
          <cell r="B19">
            <v>0</v>
          </cell>
        </row>
        <row r="24">
          <cell r="B24">
            <v>50000</v>
          </cell>
        </row>
        <row r="31">
          <cell r="B31">
            <v>50000</v>
          </cell>
        </row>
        <row r="37">
          <cell r="B37">
            <v>17000</v>
          </cell>
        </row>
        <row r="38">
          <cell r="B38">
            <v>17000</v>
          </cell>
        </row>
        <row r="44">
          <cell r="B44">
            <v>40000</v>
          </cell>
        </row>
        <row r="51">
          <cell r="B51">
            <v>30000</v>
          </cell>
        </row>
        <row r="52">
          <cell r="B52">
            <v>0</v>
          </cell>
        </row>
        <row r="53">
          <cell r="B53">
            <v>30000</v>
          </cell>
        </row>
        <row r="58">
          <cell r="B58">
            <v>20000</v>
          </cell>
        </row>
        <row r="65">
          <cell r="B65">
            <v>140000</v>
          </cell>
        </row>
        <row r="80">
          <cell r="B80">
            <v>45000</v>
          </cell>
        </row>
        <row r="87">
          <cell r="B87">
            <v>1300000</v>
          </cell>
        </row>
      </sheetData>
      <sheetData sheetId="1">
        <row r="4">
          <cell r="D4">
            <v>45000</v>
          </cell>
          <cell r="E4">
            <v>0</v>
          </cell>
        </row>
        <row r="11">
          <cell r="D11">
            <v>600000</v>
          </cell>
          <cell r="E11">
            <v>0</v>
          </cell>
        </row>
        <row r="12">
          <cell r="B12">
            <v>600000</v>
          </cell>
        </row>
        <row r="15">
          <cell r="B15">
            <v>0</v>
          </cell>
        </row>
        <row r="20">
          <cell r="D20">
            <v>580000</v>
          </cell>
          <cell r="E20">
            <v>70000</v>
          </cell>
        </row>
        <row r="21">
          <cell r="B21">
            <v>650000</v>
          </cell>
        </row>
        <row r="22">
          <cell r="B22">
            <v>0</v>
          </cell>
        </row>
        <row r="27">
          <cell r="D27">
            <v>50000</v>
          </cell>
          <cell r="E27">
            <v>0</v>
          </cell>
        </row>
        <row r="34">
          <cell r="D34">
            <v>600000</v>
          </cell>
          <cell r="E34">
            <v>0</v>
          </cell>
        </row>
        <row r="41">
          <cell r="D41">
            <v>300000</v>
          </cell>
          <cell r="E41">
            <v>0</v>
          </cell>
        </row>
        <row r="48">
          <cell r="D48">
            <v>600000</v>
          </cell>
          <cell r="E48">
            <v>0</v>
          </cell>
        </row>
        <row r="55">
          <cell r="D55">
            <v>200000</v>
          </cell>
          <cell r="E55">
            <v>0</v>
          </cell>
        </row>
        <row r="62">
          <cell r="D62">
            <v>1060000</v>
          </cell>
          <cell r="E62">
            <v>0</v>
          </cell>
        </row>
        <row r="63">
          <cell r="B63">
            <v>300000</v>
          </cell>
        </row>
        <row r="64">
          <cell r="B64">
            <v>200000</v>
          </cell>
        </row>
        <row r="65">
          <cell r="B65">
            <v>560000</v>
          </cell>
        </row>
        <row r="70">
          <cell r="D70">
            <v>430000</v>
          </cell>
          <cell r="E70">
            <v>0</v>
          </cell>
        </row>
        <row r="71">
          <cell r="B71">
            <v>400000</v>
          </cell>
        </row>
        <row r="72">
          <cell r="B72">
            <v>30000</v>
          </cell>
        </row>
        <row r="77">
          <cell r="D77">
            <v>2700000</v>
          </cell>
          <cell r="E77">
            <v>0</v>
          </cell>
        </row>
        <row r="84">
          <cell r="D84">
            <v>30000</v>
          </cell>
          <cell r="E84">
            <v>0</v>
          </cell>
        </row>
        <row r="91">
          <cell r="D91">
            <v>120000</v>
          </cell>
          <cell r="E91">
            <v>0</v>
          </cell>
        </row>
        <row r="98">
          <cell r="D98">
            <v>0</v>
          </cell>
          <cell r="E98">
            <v>0</v>
          </cell>
        </row>
        <row r="105">
          <cell r="D105">
            <v>80000</v>
          </cell>
          <cell r="E105">
            <v>0</v>
          </cell>
        </row>
        <row r="112">
          <cell r="D112">
            <v>30000</v>
          </cell>
          <cell r="E112">
            <v>0</v>
          </cell>
        </row>
        <row r="119">
          <cell r="D119">
            <v>50000</v>
          </cell>
          <cell r="E119">
            <v>0</v>
          </cell>
        </row>
        <row r="147">
          <cell r="D147">
            <v>235000</v>
          </cell>
          <cell r="E147">
            <v>0</v>
          </cell>
        </row>
        <row r="148">
          <cell r="B148">
            <v>115000</v>
          </cell>
        </row>
        <row r="149">
          <cell r="B149">
            <v>120000</v>
          </cell>
        </row>
      </sheetData>
      <sheetData sheetId="2">
        <row r="4">
          <cell r="B4">
            <v>20000</v>
          </cell>
        </row>
        <row r="11">
          <cell r="B11">
            <v>60000</v>
          </cell>
        </row>
        <row r="12">
          <cell r="B12">
            <v>0</v>
          </cell>
        </row>
        <row r="13">
          <cell r="B13">
            <v>60000</v>
          </cell>
        </row>
        <row r="18">
          <cell r="B18">
            <v>70000</v>
          </cell>
        </row>
        <row r="19">
          <cell r="B19">
            <v>70000</v>
          </cell>
        </row>
        <row r="20">
          <cell r="B20">
            <v>0</v>
          </cell>
        </row>
        <row r="25">
          <cell r="B25">
            <v>100000</v>
          </cell>
        </row>
        <row r="32">
          <cell r="B32">
            <v>12000</v>
          </cell>
        </row>
        <row r="45">
          <cell r="B45">
            <v>10000</v>
          </cell>
        </row>
        <row r="52">
          <cell r="B52">
            <v>15000</v>
          </cell>
        </row>
        <row r="53">
          <cell r="B53">
            <v>15000</v>
          </cell>
        </row>
        <row r="54">
          <cell r="B54">
            <v>0</v>
          </cell>
        </row>
        <row r="59">
          <cell r="B59">
            <v>60000</v>
          </cell>
        </row>
        <row r="60">
          <cell r="B60">
            <v>40000</v>
          </cell>
        </row>
        <row r="61">
          <cell r="B61">
            <v>20000</v>
          </cell>
        </row>
        <row r="66">
          <cell r="B66">
            <v>10000</v>
          </cell>
        </row>
        <row r="73">
          <cell r="B73">
            <v>1000</v>
          </cell>
        </row>
        <row r="80">
          <cell r="B80">
            <v>12000</v>
          </cell>
        </row>
        <row r="87">
          <cell r="B87">
            <v>10000</v>
          </cell>
        </row>
        <row r="94">
          <cell r="B94">
            <v>6000</v>
          </cell>
        </row>
      </sheetData>
      <sheetData sheetId="3">
        <row r="4">
          <cell r="B4">
            <v>95000</v>
          </cell>
        </row>
        <row r="11">
          <cell r="B11">
            <v>5000</v>
          </cell>
        </row>
        <row r="18">
          <cell r="B18">
            <v>160000</v>
          </cell>
        </row>
        <row r="19">
          <cell r="B19">
            <v>70000</v>
          </cell>
        </row>
        <row r="20">
          <cell r="B20">
            <v>25000</v>
          </cell>
        </row>
        <row r="21">
          <cell r="B21">
            <v>65000</v>
          </cell>
        </row>
        <row r="28">
          <cell r="B28">
            <v>30000</v>
          </cell>
        </row>
        <row r="29">
          <cell r="B29">
            <v>20000</v>
          </cell>
        </row>
        <row r="30">
          <cell r="B30">
            <v>10000</v>
          </cell>
        </row>
        <row r="35">
          <cell r="B35">
            <v>100000</v>
          </cell>
        </row>
        <row r="49">
          <cell r="B49">
            <v>80000</v>
          </cell>
        </row>
        <row r="70">
          <cell r="B70">
            <v>78000</v>
          </cell>
        </row>
        <row r="77">
          <cell r="B77">
            <v>35000</v>
          </cell>
        </row>
        <row r="78">
          <cell r="B78">
            <v>25000</v>
          </cell>
        </row>
        <row r="79">
          <cell r="B79">
            <v>10000</v>
          </cell>
        </row>
        <row r="84">
          <cell r="B84">
            <v>100000</v>
          </cell>
        </row>
        <row r="85">
          <cell r="B85">
            <v>100000</v>
          </cell>
        </row>
        <row r="86">
          <cell r="B86">
            <v>0</v>
          </cell>
        </row>
        <row r="91">
          <cell r="B91">
            <v>200000</v>
          </cell>
        </row>
        <row r="98">
          <cell r="B98">
            <v>10000</v>
          </cell>
        </row>
        <row r="105">
          <cell r="B105">
            <v>20000</v>
          </cell>
        </row>
        <row r="119">
          <cell r="B119">
            <v>30000</v>
          </cell>
        </row>
        <row r="126">
          <cell r="B126">
            <v>10000</v>
          </cell>
        </row>
        <row r="133">
          <cell r="B133">
            <v>13000</v>
          </cell>
        </row>
        <row r="154">
          <cell r="B154">
            <v>0</v>
          </cell>
        </row>
        <row r="155">
          <cell r="B155">
            <v>0</v>
          </cell>
        </row>
        <row r="161">
          <cell r="B161">
            <v>0</v>
          </cell>
        </row>
        <row r="162">
          <cell r="B162">
            <v>0</v>
          </cell>
        </row>
      </sheetData>
      <sheetData sheetId="4">
        <row r="4">
          <cell r="B4">
            <v>200000</v>
          </cell>
        </row>
        <row r="5">
          <cell r="B5">
            <v>200000</v>
          </cell>
        </row>
        <row r="6">
          <cell r="B6">
            <v>0</v>
          </cell>
        </row>
      </sheetData>
      <sheetData sheetId="5">
        <row r="4">
          <cell r="B4">
            <v>5000</v>
          </cell>
        </row>
        <row r="11">
          <cell r="B11">
            <v>4000</v>
          </cell>
        </row>
        <row r="12">
          <cell r="B12">
            <v>4000</v>
          </cell>
        </row>
        <row r="13">
          <cell r="B13">
            <v>0</v>
          </cell>
        </row>
        <row r="18">
          <cell r="B18">
            <v>100000</v>
          </cell>
        </row>
        <row r="19">
          <cell r="B19">
            <v>50000</v>
          </cell>
        </row>
        <row r="20">
          <cell r="B20">
            <v>50000</v>
          </cell>
        </row>
        <row r="25">
          <cell r="B25">
            <v>6000</v>
          </cell>
        </row>
      </sheetData>
      <sheetData sheetId="6">
        <row r="4">
          <cell r="B4">
            <v>200000</v>
          </cell>
        </row>
        <row r="11">
          <cell r="B11">
            <v>70000</v>
          </cell>
        </row>
        <row r="12">
          <cell r="B12">
            <v>40000</v>
          </cell>
        </row>
        <row r="13">
          <cell r="B13">
            <v>30000</v>
          </cell>
        </row>
        <row r="19">
          <cell r="B19">
            <v>40000</v>
          </cell>
        </row>
        <row r="20">
          <cell r="B20">
            <v>40000</v>
          </cell>
        </row>
        <row r="21">
          <cell r="B21">
            <v>0</v>
          </cell>
        </row>
        <row r="26">
          <cell r="B26">
            <v>5000</v>
          </cell>
        </row>
        <row r="33">
          <cell r="B33">
            <v>12000</v>
          </cell>
        </row>
        <row r="40">
          <cell r="B40">
            <v>160000</v>
          </cell>
        </row>
        <row r="41">
          <cell r="B41">
            <v>160000</v>
          </cell>
        </row>
        <row r="47">
          <cell r="B47">
            <v>5000</v>
          </cell>
        </row>
        <row r="54">
          <cell r="B54">
            <v>15000</v>
          </cell>
        </row>
        <row r="55">
          <cell r="B55">
            <v>15000</v>
          </cell>
        </row>
        <row r="56">
          <cell r="B56">
            <v>0</v>
          </cell>
        </row>
        <row r="61">
          <cell r="B61">
            <v>15000</v>
          </cell>
        </row>
        <row r="62">
          <cell r="B62">
            <v>15000</v>
          </cell>
        </row>
        <row r="63">
          <cell r="B63">
            <v>0</v>
          </cell>
        </row>
        <row r="68">
          <cell r="B68">
            <v>65000</v>
          </cell>
        </row>
        <row r="75">
          <cell r="B75">
            <v>1000</v>
          </cell>
        </row>
        <row r="82">
          <cell r="B82">
            <v>1000</v>
          </cell>
        </row>
        <row r="89">
          <cell r="B89">
            <v>4000</v>
          </cell>
        </row>
      </sheetData>
      <sheetData sheetId="7">
        <row r="4">
          <cell r="B4">
            <v>40000</v>
          </cell>
        </row>
        <row r="11">
          <cell r="B11">
            <v>450000</v>
          </cell>
        </row>
        <row r="12">
          <cell r="B12">
            <v>450000</v>
          </cell>
        </row>
      </sheetData>
      <sheetData sheetId="8">
        <row r="4">
          <cell r="B4">
            <v>150000</v>
          </cell>
        </row>
        <row r="5">
          <cell r="B5">
            <v>150000</v>
          </cell>
        </row>
        <row r="6">
          <cell r="B6">
            <v>0</v>
          </cell>
        </row>
        <row r="13">
          <cell r="B13">
            <v>60000</v>
          </cell>
        </row>
        <row r="14">
          <cell r="B14">
            <v>40000</v>
          </cell>
        </row>
        <row r="15">
          <cell r="B15">
            <v>20000</v>
          </cell>
        </row>
        <row r="16">
          <cell r="B16">
            <v>0</v>
          </cell>
        </row>
        <row r="21">
          <cell r="B21">
            <v>50000</v>
          </cell>
        </row>
        <row r="22">
          <cell r="B22">
            <v>0</v>
          </cell>
        </row>
        <row r="23">
          <cell r="B23">
            <v>50000</v>
          </cell>
        </row>
        <row r="28">
          <cell r="B28">
            <v>570000</v>
          </cell>
        </row>
        <row r="29">
          <cell r="B29">
            <v>150000</v>
          </cell>
        </row>
        <row r="30">
          <cell r="B30">
            <v>100000</v>
          </cell>
        </row>
        <row r="31">
          <cell r="B31">
            <v>0</v>
          </cell>
        </row>
        <row r="32">
          <cell r="B32">
            <v>50000</v>
          </cell>
        </row>
        <row r="33">
          <cell r="B33">
            <v>120000</v>
          </cell>
        </row>
        <row r="34">
          <cell r="B34">
            <v>150000</v>
          </cell>
        </row>
        <row r="39">
          <cell r="B39">
            <v>55000</v>
          </cell>
        </row>
        <row r="46">
          <cell r="B46">
            <v>95000</v>
          </cell>
        </row>
        <row r="53">
          <cell r="B53">
            <v>15000</v>
          </cell>
        </row>
        <row r="60">
          <cell r="B60">
            <v>20000</v>
          </cell>
        </row>
      </sheetData>
      <sheetData sheetId="9">
        <row r="4">
          <cell r="B4">
            <v>80000</v>
          </cell>
        </row>
        <row r="11">
          <cell r="B11">
            <v>150000</v>
          </cell>
        </row>
        <row r="12">
          <cell r="B12">
            <v>80000</v>
          </cell>
        </row>
        <row r="13">
          <cell r="B13">
            <v>20000</v>
          </cell>
        </row>
        <row r="14">
          <cell r="B14">
            <v>50000</v>
          </cell>
        </row>
        <row r="19">
          <cell r="B19">
            <v>65000</v>
          </cell>
        </row>
        <row r="20">
          <cell r="B20">
            <v>50000</v>
          </cell>
        </row>
        <row r="21">
          <cell r="B21">
            <v>15000</v>
          </cell>
        </row>
        <row r="22">
          <cell r="B22">
            <v>0</v>
          </cell>
        </row>
        <row r="27">
          <cell r="B27">
            <v>0</v>
          </cell>
        </row>
        <row r="34">
          <cell r="B34">
            <v>32000</v>
          </cell>
        </row>
        <row r="41">
          <cell r="B41">
            <v>30000</v>
          </cell>
        </row>
        <row r="48">
          <cell r="B48">
            <v>55000</v>
          </cell>
        </row>
        <row r="55">
          <cell r="B55">
            <v>40000</v>
          </cell>
        </row>
        <row r="56">
          <cell r="B56">
            <v>40000</v>
          </cell>
        </row>
        <row r="57">
          <cell r="B57">
            <v>0</v>
          </cell>
        </row>
        <row r="62">
          <cell r="B62">
            <v>100000</v>
          </cell>
        </row>
        <row r="63">
          <cell r="B63">
            <v>60000</v>
          </cell>
        </row>
        <row r="64">
          <cell r="B64">
            <v>40000</v>
          </cell>
        </row>
        <row r="69">
          <cell r="B69">
            <v>30000</v>
          </cell>
        </row>
        <row r="76">
          <cell r="B76">
            <v>5000</v>
          </cell>
        </row>
      </sheetData>
      <sheetData sheetId="10">
        <row r="4">
          <cell r="D4">
            <v>50000</v>
          </cell>
          <cell r="E4">
            <v>0</v>
          </cell>
        </row>
        <row r="5">
          <cell r="B5">
            <v>40000</v>
          </cell>
        </row>
        <row r="6">
          <cell r="B6">
            <v>10000</v>
          </cell>
        </row>
        <row r="11">
          <cell r="D11">
            <v>30000</v>
          </cell>
          <cell r="E11">
            <v>0</v>
          </cell>
        </row>
        <row r="12">
          <cell r="B12">
            <v>30000</v>
          </cell>
        </row>
        <row r="13">
          <cell r="B13">
            <v>0</v>
          </cell>
        </row>
        <row r="18">
          <cell r="D18">
            <v>10000</v>
          </cell>
          <cell r="E18">
            <v>0</v>
          </cell>
        </row>
        <row r="25">
          <cell r="D25">
            <v>20000</v>
          </cell>
          <cell r="E25">
            <v>0</v>
          </cell>
        </row>
        <row r="26">
          <cell r="B26">
            <v>20000</v>
          </cell>
        </row>
        <row r="32">
          <cell r="D32">
            <v>0</v>
          </cell>
          <cell r="E32">
            <v>0</v>
          </cell>
        </row>
        <row r="33">
          <cell r="B33">
            <v>0</v>
          </cell>
        </row>
        <row r="34">
          <cell r="B34">
            <v>0</v>
          </cell>
        </row>
        <row r="39">
          <cell r="D39">
            <v>0</v>
          </cell>
          <cell r="E39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Sportovní zařízen+koup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4">
          <cell r="B4">
            <v>620000</v>
          </cell>
        </row>
        <row r="11">
          <cell r="B11">
            <v>12</v>
          </cell>
        </row>
        <row r="12">
          <cell r="B12">
            <v>12</v>
          </cell>
        </row>
        <row r="13">
          <cell r="B13">
            <v>0</v>
          </cell>
        </row>
        <row r="18">
          <cell r="B18">
            <v>250000</v>
          </cell>
        </row>
        <row r="19">
          <cell r="B19">
            <v>50000</v>
          </cell>
        </row>
        <row r="20">
          <cell r="B20">
            <v>200000</v>
          </cell>
        </row>
      </sheetData>
      <sheetData sheetId="1">
        <row r="4">
          <cell r="D4">
            <v>0</v>
          </cell>
          <cell r="E4">
            <v>0</v>
          </cell>
        </row>
        <row r="5">
          <cell r="B5">
            <v>0</v>
          </cell>
        </row>
        <row r="6">
          <cell r="B6">
            <v>0</v>
          </cell>
        </row>
        <row r="11">
          <cell r="D11">
            <v>20000</v>
          </cell>
          <cell r="E11">
            <v>0</v>
          </cell>
        </row>
        <row r="12">
          <cell r="B12">
            <v>20000</v>
          </cell>
        </row>
      </sheetData>
      <sheetData sheetId="2"/>
      <sheetData sheetId="3">
        <row r="4">
          <cell r="D4">
            <v>100000</v>
          </cell>
          <cell r="E4">
            <v>0</v>
          </cell>
        </row>
        <row r="5">
          <cell r="B5">
            <v>100000</v>
          </cell>
        </row>
        <row r="6">
          <cell r="B6">
            <v>0</v>
          </cell>
        </row>
        <row r="11">
          <cell r="D11">
            <v>20000</v>
          </cell>
          <cell r="E11">
            <v>0</v>
          </cell>
        </row>
        <row r="12">
          <cell r="B12">
            <v>20000</v>
          </cell>
        </row>
        <row r="13">
          <cell r="B13">
            <v>0</v>
          </cell>
        </row>
        <row r="18">
          <cell r="D18">
            <v>79240</v>
          </cell>
          <cell r="E18">
            <v>0</v>
          </cell>
        </row>
        <row r="19">
          <cell r="B19">
            <v>35240</v>
          </cell>
        </row>
        <row r="20">
          <cell r="B20">
            <v>44000</v>
          </cell>
        </row>
        <row r="25">
          <cell r="D25">
            <v>460000</v>
          </cell>
          <cell r="E25">
            <v>0</v>
          </cell>
        </row>
        <row r="26">
          <cell r="B26">
            <v>250000</v>
          </cell>
        </row>
        <row r="27">
          <cell r="B27">
            <v>210000</v>
          </cell>
        </row>
        <row r="32">
          <cell r="D32">
            <v>670000</v>
          </cell>
          <cell r="E32">
            <v>180000</v>
          </cell>
        </row>
        <row r="33">
          <cell r="B33">
            <v>150000</v>
          </cell>
        </row>
        <row r="34">
          <cell r="B34">
            <v>200000</v>
          </cell>
        </row>
        <row r="35">
          <cell r="B35">
            <v>50000</v>
          </cell>
        </row>
        <row r="36">
          <cell r="B36">
            <v>150000</v>
          </cell>
        </row>
        <row r="37">
          <cell r="B37">
            <v>300000</v>
          </cell>
        </row>
        <row r="38">
          <cell r="B38">
            <v>0</v>
          </cell>
        </row>
      </sheetData>
      <sheetData sheetId="4">
        <row r="4">
          <cell r="D4">
            <v>240000</v>
          </cell>
          <cell r="E4">
            <v>0</v>
          </cell>
        </row>
        <row r="5">
          <cell r="B5">
            <v>220000</v>
          </cell>
        </row>
        <row r="6">
          <cell r="B6">
            <v>20000</v>
          </cell>
        </row>
        <row r="11">
          <cell r="D11">
            <v>250000</v>
          </cell>
          <cell r="E11">
            <v>0</v>
          </cell>
        </row>
        <row r="12">
          <cell r="B12">
            <v>150000</v>
          </cell>
        </row>
        <row r="13">
          <cell r="B13">
            <v>100000</v>
          </cell>
        </row>
        <row r="14">
          <cell r="B14">
            <v>0</v>
          </cell>
        </row>
        <row r="19">
          <cell r="B19">
            <v>0</v>
          </cell>
        </row>
      </sheetData>
      <sheetData sheetId="5">
        <row r="4">
          <cell r="B4">
            <v>20000</v>
          </cell>
        </row>
        <row r="5">
          <cell r="B5">
            <v>20000</v>
          </cell>
        </row>
        <row r="6">
          <cell r="B6">
            <v>0</v>
          </cell>
        </row>
        <row r="12">
          <cell r="B12">
            <v>50000</v>
          </cell>
        </row>
        <row r="13">
          <cell r="B13">
            <v>30000</v>
          </cell>
        </row>
        <row r="14">
          <cell r="B14">
            <v>20000</v>
          </cell>
        </row>
        <row r="19">
          <cell r="B19">
            <v>60000</v>
          </cell>
        </row>
        <row r="26">
          <cell r="D26">
            <v>150000</v>
          </cell>
          <cell r="E26">
            <v>0</v>
          </cell>
        </row>
        <row r="27">
          <cell r="B27">
            <v>120000</v>
          </cell>
        </row>
        <row r="28">
          <cell r="B28">
            <v>30000</v>
          </cell>
        </row>
        <row r="33">
          <cell r="D33">
            <v>460000</v>
          </cell>
          <cell r="E33">
            <v>0</v>
          </cell>
        </row>
        <row r="34">
          <cell r="B34">
            <v>300000</v>
          </cell>
        </row>
        <row r="35">
          <cell r="B35">
            <v>40000</v>
          </cell>
        </row>
        <row r="36">
          <cell r="B36">
            <v>0</v>
          </cell>
        </row>
        <row r="37">
          <cell r="B37">
            <v>120000</v>
          </cell>
        </row>
        <row r="49">
          <cell r="B49">
            <v>6050000</v>
          </cell>
        </row>
        <row r="50">
          <cell r="B50">
            <v>4700000</v>
          </cell>
        </row>
        <row r="51">
          <cell r="B51">
            <v>1200000</v>
          </cell>
        </row>
        <row r="52">
          <cell r="B52">
            <v>150000</v>
          </cell>
        </row>
      </sheetData>
      <sheetData sheetId="6">
        <row r="4">
          <cell r="B4">
            <v>20000</v>
          </cell>
        </row>
        <row r="5">
          <cell r="B5">
            <v>20000</v>
          </cell>
        </row>
        <row r="6">
          <cell r="B6">
            <v>0</v>
          </cell>
        </row>
        <row r="11">
          <cell r="B11">
            <v>50000</v>
          </cell>
        </row>
        <row r="18">
          <cell r="B18">
            <v>20000</v>
          </cell>
        </row>
        <row r="19">
          <cell r="B19">
            <v>20000</v>
          </cell>
        </row>
        <row r="20">
          <cell r="B20">
            <v>0</v>
          </cell>
        </row>
        <row r="25">
          <cell r="B25">
            <v>100000</v>
          </cell>
        </row>
        <row r="26">
          <cell r="B26">
            <v>35000</v>
          </cell>
        </row>
        <row r="27">
          <cell r="B27">
            <v>65000</v>
          </cell>
        </row>
        <row r="32">
          <cell r="B32">
            <v>0</v>
          </cell>
        </row>
        <row r="33">
          <cell r="B33">
            <v>0</v>
          </cell>
          <cell r="C33">
            <v>0</v>
          </cell>
        </row>
        <row r="39">
          <cell r="B39">
            <v>700000</v>
          </cell>
        </row>
        <row r="40">
          <cell r="B40">
            <v>0</v>
          </cell>
          <cell r="C40">
            <v>0</v>
          </cell>
        </row>
        <row r="41">
          <cell r="B41">
            <v>700000</v>
          </cell>
        </row>
      </sheetData>
      <sheetData sheetId="7">
        <row r="4">
          <cell r="B4">
            <v>10000</v>
          </cell>
        </row>
        <row r="5">
          <cell r="B5">
            <v>10000</v>
          </cell>
        </row>
        <row r="6">
          <cell r="B6">
            <v>0</v>
          </cell>
        </row>
        <row r="11">
          <cell r="B11">
            <v>200000</v>
          </cell>
        </row>
        <row r="12">
          <cell r="B12">
            <v>100000</v>
          </cell>
        </row>
        <row r="13">
          <cell r="B13">
            <v>100000</v>
          </cell>
        </row>
      </sheetData>
      <sheetData sheetId="8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  <sheetData sheetId="9">
        <row r="4">
          <cell r="D4">
            <v>30000</v>
          </cell>
          <cell r="E4">
            <v>20000</v>
          </cell>
        </row>
        <row r="5">
          <cell r="B5">
            <v>30000</v>
          </cell>
        </row>
        <row r="6">
          <cell r="B6">
            <v>20000</v>
          </cell>
        </row>
        <row r="11">
          <cell r="B11">
            <v>10000</v>
          </cell>
        </row>
        <row r="18">
          <cell r="D18">
            <v>50000</v>
          </cell>
          <cell r="E18">
            <v>0</v>
          </cell>
        </row>
        <row r="19">
          <cell r="B19">
            <v>50000</v>
          </cell>
        </row>
        <row r="20">
          <cell r="B20">
            <v>0</v>
          </cell>
        </row>
        <row r="25">
          <cell r="D25">
            <v>100000</v>
          </cell>
          <cell r="E25">
            <v>0</v>
          </cell>
        </row>
        <row r="26">
          <cell r="B26">
            <v>100000</v>
          </cell>
        </row>
        <row r="27">
          <cell r="B27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10">
        <row r="4">
          <cell r="B4">
            <v>13000</v>
          </cell>
        </row>
        <row r="5">
          <cell r="B5">
            <v>13000</v>
          </cell>
        </row>
        <row r="14">
          <cell r="D14">
            <v>660000</v>
          </cell>
          <cell r="E14">
            <v>0</v>
          </cell>
        </row>
        <row r="15">
          <cell r="B15">
            <v>110000</v>
          </cell>
        </row>
        <row r="16">
          <cell r="B16">
            <v>300000</v>
          </cell>
        </row>
        <row r="17">
          <cell r="B17">
            <v>150000</v>
          </cell>
        </row>
        <row r="18">
          <cell r="B18">
            <v>100000</v>
          </cell>
        </row>
        <row r="24">
          <cell r="D24">
            <v>350000</v>
          </cell>
          <cell r="E24">
            <v>150000</v>
          </cell>
        </row>
        <row r="25">
          <cell r="B25">
            <v>150000</v>
          </cell>
        </row>
        <row r="26">
          <cell r="B26">
            <v>350000</v>
          </cell>
        </row>
        <row r="27">
          <cell r="B27">
            <v>0</v>
          </cell>
        </row>
      </sheetData>
      <sheetData sheetId="11">
        <row r="4">
          <cell r="D4">
            <v>0</v>
          </cell>
          <cell r="E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D13">
            <v>0</v>
          </cell>
          <cell r="E13">
            <v>0</v>
          </cell>
        </row>
        <row r="14">
          <cell r="B14">
            <v>0</v>
          </cell>
        </row>
        <row r="15">
          <cell r="B15">
            <v>0</v>
          </cell>
        </row>
      </sheetData>
      <sheetData sheetId="12">
        <row r="4">
          <cell r="D4">
            <v>16000</v>
          </cell>
          <cell r="E4">
            <v>0</v>
          </cell>
        </row>
        <row r="5">
          <cell r="B5">
            <v>10000</v>
          </cell>
        </row>
        <row r="6">
          <cell r="B6">
            <v>6000</v>
          </cell>
        </row>
        <row r="11">
          <cell r="D11">
            <v>80000</v>
          </cell>
          <cell r="E11">
            <v>0</v>
          </cell>
        </row>
        <row r="12">
          <cell r="B12">
            <v>80000</v>
          </cell>
        </row>
        <row r="13">
          <cell r="B13">
            <v>0</v>
          </cell>
        </row>
      </sheetData>
      <sheetData sheetId="13">
        <row r="4">
          <cell r="D4">
            <v>30000</v>
          </cell>
          <cell r="E4">
            <v>0</v>
          </cell>
        </row>
        <row r="5">
          <cell r="B5">
            <v>30000</v>
          </cell>
        </row>
        <row r="6">
          <cell r="B6">
            <v>0</v>
          </cell>
        </row>
        <row r="11">
          <cell r="D11">
            <v>150000</v>
          </cell>
          <cell r="E11">
            <v>0</v>
          </cell>
        </row>
        <row r="12">
          <cell r="B12">
            <v>50000</v>
          </cell>
        </row>
        <row r="13">
          <cell r="B13">
            <v>100000</v>
          </cell>
        </row>
      </sheetData>
      <sheetData sheetId="14">
        <row r="4">
          <cell r="D4">
            <v>0</v>
          </cell>
          <cell r="E4">
            <v>0</v>
          </cell>
        </row>
        <row r="11">
          <cell r="D11">
            <v>20000</v>
          </cell>
          <cell r="E11">
            <v>0</v>
          </cell>
        </row>
        <row r="12">
          <cell r="B12">
            <v>20000</v>
          </cell>
        </row>
        <row r="13">
          <cell r="B13">
            <v>0</v>
          </cell>
        </row>
        <row r="18">
          <cell r="D18">
            <v>40000</v>
          </cell>
          <cell r="E18">
            <v>20000</v>
          </cell>
        </row>
        <row r="19">
          <cell r="B19">
            <v>40000</v>
          </cell>
        </row>
        <row r="20">
          <cell r="B20">
            <v>20000</v>
          </cell>
        </row>
      </sheetData>
      <sheetData sheetId="15">
        <row r="4">
          <cell r="D4">
            <v>85000</v>
          </cell>
          <cell r="E4">
            <v>0</v>
          </cell>
        </row>
        <row r="5">
          <cell r="B5">
            <v>85000</v>
          </cell>
        </row>
        <row r="6">
          <cell r="B6">
            <v>0</v>
          </cell>
        </row>
        <row r="11">
          <cell r="D11">
            <v>956000</v>
          </cell>
          <cell r="E11">
            <v>20000</v>
          </cell>
        </row>
        <row r="12">
          <cell r="B12">
            <v>100000</v>
          </cell>
        </row>
        <row r="13">
          <cell r="B13">
            <v>150000</v>
          </cell>
        </row>
        <row r="14">
          <cell r="B14">
            <v>126000</v>
          </cell>
        </row>
        <row r="15">
          <cell r="B15">
            <v>80000</v>
          </cell>
        </row>
        <row r="16">
          <cell r="B16">
            <v>520000</v>
          </cell>
        </row>
      </sheetData>
      <sheetData sheetId="16">
        <row r="4">
          <cell r="D4">
            <v>0</v>
          </cell>
          <cell r="E4">
            <v>0</v>
          </cell>
        </row>
        <row r="5">
          <cell r="B5">
            <v>0</v>
          </cell>
        </row>
        <row r="6">
          <cell r="B6">
            <v>0</v>
          </cell>
        </row>
        <row r="11">
          <cell r="D11">
            <v>0</v>
          </cell>
          <cell r="E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  <sheetData sheetId="17">
        <row r="4">
          <cell r="B4">
            <v>15000</v>
          </cell>
        </row>
        <row r="5">
          <cell r="B5">
            <v>15000</v>
          </cell>
        </row>
        <row r="6">
          <cell r="B6">
            <v>0</v>
          </cell>
        </row>
        <row r="11">
          <cell r="B11">
            <v>50000</v>
          </cell>
        </row>
        <row r="12">
          <cell r="B12">
            <v>50000</v>
          </cell>
        </row>
        <row r="13">
          <cell r="B13">
            <v>0</v>
          </cell>
        </row>
      </sheetData>
      <sheetData sheetId="18">
        <row r="4">
          <cell r="D4">
            <v>80000</v>
          </cell>
          <cell r="E4">
            <v>0</v>
          </cell>
        </row>
        <row r="5">
          <cell r="B5">
            <v>40000</v>
          </cell>
        </row>
        <row r="6">
          <cell r="B6">
            <v>4000</v>
          </cell>
        </row>
        <row r="7">
          <cell r="B7">
            <v>36000</v>
          </cell>
        </row>
        <row r="12">
          <cell r="D12">
            <v>100000</v>
          </cell>
          <cell r="E12">
            <v>20000</v>
          </cell>
        </row>
        <row r="13">
          <cell r="B13">
            <v>80000</v>
          </cell>
        </row>
        <row r="14">
          <cell r="B14">
            <v>20000</v>
          </cell>
        </row>
        <row r="15">
          <cell r="B15">
            <v>20000</v>
          </cell>
        </row>
        <row r="16">
          <cell r="B16">
            <v>0</v>
          </cell>
        </row>
      </sheetData>
      <sheetData sheetId="19">
        <row r="4">
          <cell r="D4">
            <v>150000</v>
          </cell>
          <cell r="E4">
            <v>0</v>
          </cell>
        </row>
        <row r="5">
          <cell r="B5">
            <v>20000</v>
          </cell>
        </row>
        <row r="6">
          <cell r="B6">
            <v>60000</v>
          </cell>
        </row>
        <row r="7">
          <cell r="B7">
            <v>70000</v>
          </cell>
        </row>
        <row r="12">
          <cell r="D12">
            <v>1012000</v>
          </cell>
          <cell r="E12">
            <v>0</v>
          </cell>
        </row>
        <row r="20">
          <cell r="D20">
            <v>252100</v>
          </cell>
          <cell r="E20">
            <v>0</v>
          </cell>
        </row>
        <row r="21">
          <cell r="B21">
            <v>100000</v>
          </cell>
        </row>
        <row r="22">
          <cell r="B22">
            <v>70000</v>
          </cell>
        </row>
        <row r="23">
          <cell r="B23">
            <v>70000</v>
          </cell>
        </row>
        <row r="24">
          <cell r="B24">
            <v>12100</v>
          </cell>
        </row>
        <row r="29">
          <cell r="D29">
            <v>90000</v>
          </cell>
          <cell r="E29">
            <v>250000</v>
          </cell>
        </row>
        <row r="30">
          <cell r="B30">
            <v>250000</v>
          </cell>
        </row>
        <row r="31">
          <cell r="B31">
            <v>0</v>
          </cell>
        </row>
        <row r="32">
          <cell r="B32">
            <v>70000</v>
          </cell>
        </row>
        <row r="33">
          <cell r="B33">
            <v>20000</v>
          </cell>
        </row>
        <row r="38">
          <cell r="D38">
            <v>660000</v>
          </cell>
          <cell r="E38">
            <v>0</v>
          </cell>
        </row>
        <row r="39">
          <cell r="B39">
            <v>0</v>
          </cell>
        </row>
        <row r="40">
          <cell r="B40">
            <v>600000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60000</v>
          </cell>
        </row>
      </sheetData>
      <sheetData sheetId="20">
        <row r="4">
          <cell r="D4">
            <v>50000</v>
          </cell>
          <cell r="E4">
            <v>0</v>
          </cell>
        </row>
        <row r="5">
          <cell r="B5">
            <v>50000</v>
          </cell>
        </row>
        <row r="12">
          <cell r="D12">
            <v>170000</v>
          </cell>
          <cell r="E12">
            <v>0</v>
          </cell>
        </row>
        <row r="20">
          <cell r="B20">
            <v>400</v>
          </cell>
        </row>
        <row r="21">
          <cell r="B21">
            <v>400</v>
          </cell>
        </row>
        <row r="31">
          <cell r="D31">
            <v>100000</v>
          </cell>
          <cell r="E31">
            <v>0</v>
          </cell>
        </row>
        <row r="32">
          <cell r="B32">
            <v>100000</v>
          </cell>
        </row>
        <row r="33">
          <cell r="B33">
            <v>0</v>
          </cell>
        </row>
        <row r="34">
          <cell r="B34">
            <v>0</v>
          </cell>
        </row>
        <row r="40">
          <cell r="D40">
            <v>4511480</v>
          </cell>
          <cell r="E40">
            <v>100000</v>
          </cell>
        </row>
        <row r="41">
          <cell r="B41">
            <v>100000</v>
          </cell>
        </row>
        <row r="42">
          <cell r="B42">
            <v>500000</v>
          </cell>
        </row>
        <row r="43">
          <cell r="B43">
            <v>700000</v>
          </cell>
        </row>
        <row r="44">
          <cell r="B44">
            <v>200000</v>
          </cell>
        </row>
        <row r="45">
          <cell r="B45">
            <v>711480</v>
          </cell>
        </row>
        <row r="46">
          <cell r="B46">
            <v>200000</v>
          </cell>
        </row>
        <row r="47">
          <cell r="B47">
            <v>304000</v>
          </cell>
        </row>
        <row r="48">
          <cell r="B48">
            <v>390000</v>
          </cell>
        </row>
        <row r="49">
          <cell r="B49">
            <v>260000</v>
          </cell>
        </row>
        <row r="50">
          <cell r="B50">
            <v>396000</v>
          </cell>
        </row>
        <row r="51">
          <cell r="B51">
            <v>250000</v>
          </cell>
        </row>
        <row r="52">
          <cell r="B52">
            <v>300000</v>
          </cell>
        </row>
        <row r="53">
          <cell r="B53">
            <v>300000</v>
          </cell>
        </row>
      </sheetData>
      <sheetData sheetId="21">
        <row r="4">
          <cell r="D4">
            <v>255000</v>
          </cell>
          <cell r="E4">
            <v>0</v>
          </cell>
        </row>
        <row r="11">
          <cell r="D11">
            <v>250000</v>
          </cell>
          <cell r="E11">
            <v>0</v>
          </cell>
        </row>
        <row r="12">
          <cell r="B12">
            <v>100000</v>
          </cell>
        </row>
        <row r="13">
          <cell r="B13">
            <v>150000</v>
          </cell>
        </row>
        <row r="19">
          <cell r="D19">
            <v>600000</v>
          </cell>
          <cell r="E19">
            <v>0</v>
          </cell>
        </row>
        <row r="20">
          <cell r="B20">
            <v>500000</v>
          </cell>
        </row>
        <row r="21">
          <cell r="B21">
            <v>100000</v>
          </cell>
        </row>
        <row r="27">
          <cell r="B27">
            <v>0</v>
          </cell>
        </row>
      </sheetData>
      <sheetData sheetId="22">
        <row r="4">
          <cell r="B4">
            <v>15000</v>
          </cell>
        </row>
        <row r="13">
          <cell r="D13">
            <v>150000</v>
          </cell>
          <cell r="E13">
            <v>0</v>
          </cell>
        </row>
        <row r="14">
          <cell r="B14">
            <v>50000</v>
          </cell>
        </row>
        <row r="15">
          <cell r="B15">
            <v>100000</v>
          </cell>
        </row>
        <row r="22">
          <cell r="D22">
            <v>640000</v>
          </cell>
          <cell r="E22">
            <v>0</v>
          </cell>
        </row>
        <row r="23">
          <cell r="B23">
            <v>500000</v>
          </cell>
        </row>
        <row r="24">
          <cell r="B24">
            <v>0</v>
          </cell>
        </row>
        <row r="25">
          <cell r="B25">
            <v>140000</v>
          </cell>
        </row>
      </sheetData>
      <sheetData sheetId="23">
        <row r="4">
          <cell r="D4">
            <v>60000</v>
          </cell>
          <cell r="E4">
            <v>0</v>
          </cell>
        </row>
        <row r="5">
          <cell r="B5">
            <v>60000</v>
          </cell>
        </row>
        <row r="6">
          <cell r="B6">
            <v>0</v>
          </cell>
        </row>
        <row r="11">
          <cell r="D11">
            <v>90000</v>
          </cell>
          <cell r="E11">
            <v>0</v>
          </cell>
        </row>
        <row r="12">
          <cell r="B12">
            <v>40000</v>
          </cell>
        </row>
        <row r="13">
          <cell r="B13">
            <v>50000</v>
          </cell>
        </row>
      </sheetData>
      <sheetData sheetId="24"/>
      <sheetData sheetId="25">
        <row r="4">
          <cell r="B4">
            <v>5000</v>
          </cell>
        </row>
        <row r="5">
          <cell r="B5">
            <v>5000</v>
          </cell>
        </row>
        <row r="6">
          <cell r="B6">
            <v>0</v>
          </cell>
        </row>
        <row r="7">
          <cell r="B7">
            <v>0</v>
          </cell>
        </row>
        <row r="13">
          <cell r="B1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>
        <row r="4">
          <cell r="B4">
            <v>0</v>
          </cell>
        </row>
        <row r="5">
          <cell r="B5">
            <v>0</v>
          </cell>
        </row>
      </sheetData>
      <sheetData sheetId="1">
        <row r="4">
          <cell r="B4">
            <v>60000</v>
          </cell>
        </row>
        <row r="5">
          <cell r="B5">
            <v>0</v>
          </cell>
        </row>
        <row r="8">
          <cell r="B8">
            <v>30000</v>
          </cell>
        </row>
        <row r="24">
          <cell r="B24">
            <v>30000</v>
          </cell>
        </row>
      </sheetData>
      <sheetData sheetId="2" refreshError="1"/>
      <sheetData sheetId="3">
        <row r="3">
          <cell r="D3">
            <v>260000</v>
          </cell>
          <cell r="E3">
            <v>0</v>
          </cell>
        </row>
        <row r="4">
          <cell r="B4">
            <v>210000</v>
          </cell>
        </row>
        <row r="5">
          <cell r="B5">
            <v>50000</v>
          </cell>
        </row>
        <row r="28">
          <cell r="B28">
            <v>0</v>
          </cell>
        </row>
      </sheetData>
      <sheetData sheetId="4">
        <row r="3">
          <cell r="D3">
            <v>200000</v>
          </cell>
          <cell r="E3">
            <v>0</v>
          </cell>
        </row>
        <row r="4">
          <cell r="B4">
            <v>100000</v>
          </cell>
        </row>
        <row r="5">
          <cell r="B5">
            <v>100000</v>
          </cell>
        </row>
      </sheetData>
      <sheetData sheetId="5">
        <row r="4">
          <cell r="B4">
            <v>780000</v>
          </cell>
        </row>
        <row r="5">
          <cell r="B5">
            <v>300000</v>
          </cell>
        </row>
        <row r="9">
          <cell r="B9">
            <v>0</v>
          </cell>
        </row>
        <row r="21">
          <cell r="B21">
            <v>0</v>
          </cell>
        </row>
        <row r="30">
          <cell r="B30">
            <v>0</v>
          </cell>
        </row>
        <row r="33">
          <cell r="B33">
            <v>180000</v>
          </cell>
        </row>
        <row r="34">
          <cell r="B34">
            <v>0</v>
          </cell>
        </row>
        <row r="48">
          <cell r="B48">
            <v>80000</v>
          </cell>
        </row>
        <row r="49">
          <cell r="B49">
            <v>0</v>
          </cell>
        </row>
        <row r="62">
          <cell r="B62">
            <v>0</v>
          </cell>
        </row>
        <row r="63">
          <cell r="B63">
            <v>0</v>
          </cell>
        </row>
        <row r="75">
          <cell r="B75">
            <v>0</v>
          </cell>
        </row>
        <row r="76">
          <cell r="B76">
            <v>0</v>
          </cell>
        </row>
        <row r="89">
          <cell r="B89">
            <v>0</v>
          </cell>
        </row>
        <row r="90">
          <cell r="B90">
            <v>0</v>
          </cell>
        </row>
        <row r="100">
          <cell r="B100">
            <v>0</v>
          </cell>
        </row>
        <row r="101">
          <cell r="B101">
            <v>0</v>
          </cell>
        </row>
        <row r="113">
          <cell r="B113">
            <v>0</v>
          </cell>
        </row>
        <row r="114">
          <cell r="B114">
            <v>0</v>
          </cell>
        </row>
        <row r="127">
          <cell r="B127">
            <v>0</v>
          </cell>
        </row>
        <row r="128">
          <cell r="B128">
            <v>0</v>
          </cell>
        </row>
        <row r="138">
          <cell r="B138">
            <v>0</v>
          </cell>
        </row>
        <row r="139">
          <cell r="B139">
            <v>0</v>
          </cell>
        </row>
        <row r="148">
          <cell r="B148">
            <v>0</v>
          </cell>
        </row>
        <row r="149">
          <cell r="B149">
            <v>100000</v>
          </cell>
        </row>
        <row r="158">
          <cell r="B158">
            <v>20000</v>
          </cell>
        </row>
        <row r="159">
          <cell r="B159">
            <v>0</v>
          </cell>
        </row>
        <row r="173">
          <cell r="B173">
            <v>0</v>
          </cell>
        </row>
        <row r="174">
          <cell r="B174">
            <v>200000</v>
          </cell>
        </row>
        <row r="193">
          <cell r="B193">
            <v>0</v>
          </cell>
        </row>
        <row r="194">
          <cell r="B194">
            <v>0</v>
          </cell>
        </row>
        <row r="211">
          <cell r="B211">
            <v>0</v>
          </cell>
        </row>
        <row r="212">
          <cell r="B212">
            <v>0</v>
          </cell>
        </row>
        <row r="221">
          <cell r="B221">
            <v>0</v>
          </cell>
        </row>
        <row r="222">
          <cell r="B222">
            <v>0</v>
          </cell>
        </row>
        <row r="231">
          <cell r="B231">
            <v>500000</v>
          </cell>
        </row>
        <row r="232">
          <cell r="B232">
            <v>0</v>
          </cell>
        </row>
        <row r="242">
          <cell r="B242">
            <v>0</v>
          </cell>
        </row>
        <row r="243">
          <cell r="B243">
            <v>0</v>
          </cell>
        </row>
        <row r="252">
          <cell r="B252">
            <v>0</v>
          </cell>
        </row>
        <row r="253">
          <cell r="B253">
            <v>0</v>
          </cell>
        </row>
        <row r="266">
          <cell r="B266">
            <v>0</v>
          </cell>
        </row>
        <row r="267">
          <cell r="B267">
            <v>0</v>
          </cell>
        </row>
        <row r="277">
          <cell r="B277">
            <v>0</v>
          </cell>
        </row>
        <row r="278">
          <cell r="B278">
            <v>0</v>
          </cell>
        </row>
        <row r="288">
          <cell r="B288">
            <v>0</v>
          </cell>
        </row>
        <row r="289">
          <cell r="B289">
            <v>0</v>
          </cell>
        </row>
        <row r="299">
          <cell r="B299">
            <v>0</v>
          </cell>
        </row>
        <row r="300">
          <cell r="B300">
            <v>0</v>
          </cell>
        </row>
        <row r="309">
          <cell r="B309">
            <v>0</v>
          </cell>
        </row>
        <row r="310">
          <cell r="B310">
            <v>0</v>
          </cell>
        </row>
        <row r="319">
          <cell r="B319">
            <v>0</v>
          </cell>
        </row>
        <row r="320">
          <cell r="B320">
            <v>0</v>
          </cell>
        </row>
        <row r="329">
          <cell r="B329">
            <v>0</v>
          </cell>
        </row>
        <row r="330">
          <cell r="B330">
            <v>0</v>
          </cell>
        </row>
        <row r="339">
          <cell r="B339">
            <v>0</v>
          </cell>
        </row>
        <row r="340">
          <cell r="B340">
            <v>0</v>
          </cell>
        </row>
      </sheetData>
      <sheetData sheetId="6">
        <row r="4">
          <cell r="B4">
            <v>2944000</v>
          </cell>
        </row>
        <row r="11">
          <cell r="B11">
            <v>770000</v>
          </cell>
        </row>
        <row r="12">
          <cell r="B12">
            <v>950000</v>
          </cell>
        </row>
        <row r="13">
          <cell r="B13">
            <v>0</v>
          </cell>
        </row>
        <row r="14">
          <cell r="B14">
            <v>420000</v>
          </cell>
          <cell r="D14">
            <v>420000</v>
          </cell>
        </row>
        <row r="15">
          <cell r="B15">
            <v>0</v>
          </cell>
        </row>
        <row r="16">
          <cell r="B16">
            <v>804000</v>
          </cell>
          <cell r="D16">
            <v>804000</v>
          </cell>
        </row>
      </sheetData>
      <sheetData sheetId="7">
        <row r="4">
          <cell r="B4">
            <v>30000</v>
          </cell>
        </row>
        <row r="11">
          <cell r="B11">
            <v>2000000</v>
          </cell>
        </row>
      </sheetData>
      <sheetData sheetId="8">
        <row r="4">
          <cell r="B4">
            <v>0</v>
          </cell>
        </row>
        <row r="5">
          <cell r="B5">
            <v>0</v>
          </cell>
        </row>
      </sheetData>
      <sheetData sheetId="9">
        <row r="4">
          <cell r="B4">
            <v>0</v>
          </cell>
        </row>
        <row r="5">
          <cell r="B5">
            <v>100000</v>
          </cell>
        </row>
        <row r="20">
          <cell r="B20">
            <v>12156</v>
          </cell>
        </row>
        <row r="21">
          <cell r="B21">
            <v>12156</v>
          </cell>
        </row>
      </sheetData>
      <sheetData sheetId="10">
        <row r="4">
          <cell r="B4">
            <v>60000</v>
          </cell>
        </row>
        <row r="5">
          <cell r="B5">
            <v>0</v>
          </cell>
        </row>
        <row r="12">
          <cell r="B12">
            <v>30000</v>
          </cell>
        </row>
        <row r="30">
          <cell r="B30">
            <v>0</v>
          </cell>
        </row>
        <row r="65">
          <cell r="B65">
            <v>30000</v>
          </cell>
        </row>
      </sheetData>
      <sheetData sheetId="11">
        <row r="4">
          <cell r="B4">
            <v>30000</v>
          </cell>
        </row>
        <row r="5">
          <cell r="B5">
            <v>0</v>
          </cell>
        </row>
        <row r="11">
          <cell r="B11">
            <v>30000</v>
          </cell>
        </row>
      </sheetData>
      <sheetData sheetId="12">
        <row r="4">
          <cell r="B4">
            <v>0</v>
          </cell>
        </row>
        <row r="5">
          <cell r="B5">
            <v>0</v>
          </cell>
        </row>
      </sheetData>
      <sheetData sheetId="13" refreshError="1"/>
      <sheetData sheetId="14">
        <row r="3">
          <cell r="B3">
            <v>0</v>
          </cell>
        </row>
        <row r="4">
          <cell r="B4">
            <v>0</v>
          </cell>
        </row>
        <row r="7">
          <cell r="B7">
            <v>0</v>
          </cell>
        </row>
      </sheetData>
      <sheetData sheetId="15">
        <row r="4">
          <cell r="B4">
            <v>30000</v>
          </cell>
        </row>
        <row r="5">
          <cell r="B5">
            <v>0</v>
          </cell>
        </row>
        <row r="16">
          <cell r="B16">
            <v>30000</v>
          </cell>
        </row>
      </sheetData>
      <sheetData sheetId="16">
        <row r="4">
          <cell r="B4">
            <v>0</v>
          </cell>
        </row>
      </sheetData>
      <sheetData sheetId="17">
        <row r="4">
          <cell r="B4">
            <v>39629</v>
          </cell>
        </row>
        <row r="6">
          <cell r="B6">
            <v>1500</v>
          </cell>
        </row>
        <row r="7">
          <cell r="B7">
            <v>500</v>
          </cell>
        </row>
        <row r="8">
          <cell r="B8">
            <v>3500</v>
          </cell>
        </row>
        <row r="9">
          <cell r="B9">
            <v>1000</v>
          </cell>
        </row>
        <row r="10">
          <cell r="B10">
            <v>13104</v>
          </cell>
        </row>
        <row r="11">
          <cell r="B11">
            <v>225</v>
          </cell>
        </row>
        <row r="12">
          <cell r="B12">
            <v>3900</v>
          </cell>
        </row>
        <row r="13">
          <cell r="B13">
            <v>15800</v>
          </cell>
        </row>
        <row r="14">
          <cell r="B14">
            <v>0</v>
          </cell>
        </row>
        <row r="15">
          <cell r="B15">
            <v>100</v>
          </cell>
        </row>
      </sheetData>
      <sheetData sheetId="18">
        <row r="4">
          <cell r="B4">
            <v>0</v>
          </cell>
        </row>
        <row r="5">
          <cell r="B5">
            <v>0</v>
          </cell>
        </row>
        <row r="7">
          <cell r="B7">
            <v>0</v>
          </cell>
        </row>
      </sheetData>
      <sheetData sheetId="19">
        <row r="4">
          <cell r="B4">
            <v>0</v>
          </cell>
        </row>
        <row r="5">
          <cell r="B5">
            <v>0</v>
          </cell>
        </row>
      </sheetData>
      <sheetData sheetId="20">
        <row r="4">
          <cell r="D4">
            <v>1000000</v>
          </cell>
          <cell r="E4">
            <v>0</v>
          </cell>
        </row>
        <row r="6">
          <cell r="B6">
            <v>1000000</v>
          </cell>
        </row>
        <row r="7">
          <cell r="B7">
            <v>0</v>
          </cell>
        </row>
      </sheetData>
      <sheetData sheetId="21">
        <row r="4">
          <cell r="B4">
            <v>50000</v>
          </cell>
        </row>
        <row r="5">
          <cell r="B5">
            <v>800000</v>
          </cell>
        </row>
        <row r="8">
          <cell r="B8">
            <v>50000</v>
          </cell>
        </row>
        <row r="9">
          <cell r="B9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9">
          <cell r="B29">
            <v>0</v>
          </cell>
        </row>
        <row r="30">
          <cell r="B30">
            <v>0</v>
          </cell>
        </row>
        <row r="41">
          <cell r="B41">
            <v>0</v>
          </cell>
        </row>
        <row r="42">
          <cell r="B42">
            <v>800000</v>
          </cell>
        </row>
        <row r="53">
          <cell r="B53">
            <v>0</v>
          </cell>
        </row>
        <row r="54">
          <cell r="B54">
            <v>0</v>
          </cell>
        </row>
      </sheetData>
      <sheetData sheetId="22">
        <row r="4">
          <cell r="D4">
            <v>1000000</v>
          </cell>
          <cell r="E4">
            <v>0</v>
          </cell>
        </row>
        <row r="6">
          <cell r="B6">
            <v>1000000</v>
          </cell>
        </row>
        <row r="7">
          <cell r="B7">
            <v>0</v>
          </cell>
        </row>
      </sheetData>
      <sheetData sheetId="23">
        <row r="4">
          <cell r="B4">
            <v>0</v>
          </cell>
        </row>
        <row r="5">
          <cell r="B5">
            <v>0</v>
          </cell>
        </row>
      </sheetData>
      <sheetData sheetId="24">
        <row r="4">
          <cell r="B4">
            <v>60000</v>
          </cell>
        </row>
        <row r="5">
          <cell r="B5">
            <v>0</v>
          </cell>
        </row>
      </sheetData>
      <sheetData sheetId="25">
        <row r="4">
          <cell r="B4">
            <v>1001</v>
          </cell>
        </row>
        <row r="5">
          <cell r="B5">
            <v>1001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Park Úvaly 3749-8 dosádba"/>
      <sheetName val="Rybníky 3749-2"/>
      <sheetName val="Městská stezka 3749-3"/>
      <sheetName val="ZŠ hřiště  3749-4"/>
      <sheetName val="Park Satjam 3749-5"/>
      <sheetName val="Pohádková cesta 3749-6"/>
      <sheetName val="TSÚ-Sběrný dvůr 3722-36"/>
      <sheetName val="Pošembeří"/>
    </sheetNames>
    <sheetDataSet>
      <sheetData sheetId="0">
        <row r="4">
          <cell r="B4">
            <v>165000</v>
          </cell>
        </row>
        <row r="21">
          <cell r="B21">
            <v>50000</v>
          </cell>
        </row>
        <row r="29">
          <cell r="B29">
            <v>80000</v>
          </cell>
        </row>
        <row r="31">
          <cell r="B31">
            <v>0</v>
          </cell>
        </row>
        <row r="32">
          <cell r="B32">
            <v>80000</v>
          </cell>
        </row>
      </sheetData>
      <sheetData sheetId="1">
        <row r="12">
          <cell r="B12">
            <v>300000</v>
          </cell>
        </row>
        <row r="20">
          <cell r="B20">
            <v>50000</v>
          </cell>
        </row>
        <row r="22">
          <cell r="B22">
            <v>50000</v>
          </cell>
        </row>
        <row r="23">
          <cell r="B23">
            <v>0</v>
          </cell>
        </row>
        <row r="29">
          <cell r="B29">
            <v>250000</v>
          </cell>
        </row>
      </sheetData>
      <sheetData sheetId="2">
        <row r="4">
          <cell r="B4">
            <v>100000</v>
          </cell>
        </row>
        <row r="6">
          <cell r="B6">
            <v>100000</v>
          </cell>
        </row>
      </sheetData>
      <sheetData sheetId="3">
        <row r="20">
          <cell r="D20">
            <v>0</v>
          </cell>
          <cell r="E20">
            <v>4950000</v>
          </cell>
        </row>
        <row r="22">
          <cell r="B22">
            <v>4950000</v>
          </cell>
        </row>
        <row r="23">
          <cell r="B23">
            <v>0</v>
          </cell>
        </row>
      </sheetData>
      <sheetData sheetId="4">
        <row r="4">
          <cell r="D4">
            <v>4500</v>
          </cell>
          <cell r="E4">
            <v>750000</v>
          </cell>
        </row>
        <row r="6">
          <cell r="B6">
            <v>750000</v>
          </cell>
        </row>
        <row r="7">
          <cell r="B7">
            <v>0</v>
          </cell>
        </row>
        <row r="8">
          <cell r="B8">
            <v>4500</v>
          </cell>
        </row>
      </sheetData>
      <sheetData sheetId="5"/>
      <sheetData sheetId="6">
        <row r="4">
          <cell r="D4">
            <v>0</v>
          </cell>
          <cell r="E4">
            <v>70000</v>
          </cell>
        </row>
        <row r="6">
          <cell r="B6">
            <v>70000</v>
          </cell>
        </row>
        <row r="7">
          <cell r="B7">
            <v>0</v>
          </cell>
        </row>
      </sheetData>
      <sheetData sheetId="7">
        <row r="12">
          <cell r="B12">
            <v>66500</v>
          </cell>
        </row>
        <row r="14">
          <cell r="B14">
            <v>60000</v>
          </cell>
        </row>
        <row r="15">
          <cell r="B15">
            <v>6500</v>
          </cell>
        </row>
        <row r="16">
          <cell r="B16">
            <v>0</v>
          </cell>
        </row>
        <row r="29">
          <cell r="B29">
            <v>2851108.68</v>
          </cell>
        </row>
        <row r="32">
          <cell r="B32">
            <v>2851108.68</v>
          </cell>
          <cell r="C32">
            <v>1995776.07</v>
          </cell>
        </row>
      </sheetData>
      <sheetData sheetId="8">
        <row r="4">
          <cell r="D4">
            <v>220000</v>
          </cell>
          <cell r="E4">
            <v>0</v>
          </cell>
        </row>
        <row r="6">
          <cell r="B6">
            <v>220000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2795532</v>
          </cell>
          <cell r="E13">
            <v>0</v>
          </cell>
        </row>
        <row r="15">
          <cell r="B15">
            <v>495532</v>
          </cell>
        </row>
        <row r="16">
          <cell r="B16">
            <v>750000</v>
          </cell>
        </row>
        <row r="17">
          <cell r="B17">
            <v>700000</v>
          </cell>
        </row>
        <row r="18">
          <cell r="B18">
            <v>850000</v>
          </cell>
        </row>
        <row r="23">
          <cell r="B23">
            <v>130000</v>
          </cell>
        </row>
        <row r="25">
          <cell r="B25">
            <v>130000</v>
          </cell>
        </row>
      </sheetData>
      <sheetData sheetId="9">
        <row r="4">
          <cell r="B4">
            <v>0</v>
          </cell>
        </row>
        <row r="13">
          <cell r="B13">
            <v>0</v>
          </cell>
        </row>
        <row r="21">
          <cell r="B21">
            <v>5000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0">
        <row r="4">
          <cell r="B4">
            <v>0</v>
          </cell>
        </row>
        <row r="13">
          <cell r="B13">
            <v>0</v>
          </cell>
        </row>
        <row r="21">
          <cell r="B21">
            <v>0</v>
          </cell>
        </row>
        <row r="29">
          <cell r="B29">
            <v>0</v>
          </cell>
        </row>
      </sheetData>
      <sheetData sheetId="11">
        <row r="13">
          <cell r="B13">
            <v>350000</v>
          </cell>
        </row>
        <row r="16">
          <cell r="B16">
            <v>350000</v>
          </cell>
        </row>
        <row r="21">
          <cell r="B21">
            <v>26000</v>
          </cell>
        </row>
        <row r="23">
          <cell r="D23">
            <v>26000</v>
          </cell>
        </row>
      </sheetData>
      <sheetData sheetId="12"/>
      <sheetData sheetId="13"/>
      <sheetData sheetId="14"/>
      <sheetData sheetId="15">
        <row r="23">
          <cell r="B23">
            <v>0</v>
          </cell>
        </row>
      </sheetData>
      <sheetData sheetId="16">
        <row r="4">
          <cell r="B4">
            <v>5000</v>
          </cell>
        </row>
        <row r="13">
          <cell r="D13">
            <v>1124980</v>
          </cell>
          <cell r="E13">
            <v>0</v>
          </cell>
        </row>
        <row r="15">
          <cell r="B15">
            <v>1000000</v>
          </cell>
        </row>
        <row r="16">
          <cell r="B16">
            <v>79000</v>
          </cell>
        </row>
        <row r="17">
          <cell r="B17">
            <v>45980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201"/>
  <sheetViews>
    <sheetView zoomScale="84" zoomScaleNormal="84" workbookViewId="0">
      <pane xSplit="2" ySplit="6" topLeftCell="C167" activePane="bottomRight" state="frozen"/>
      <selection pane="topRight" activeCell="C1" sqref="C1"/>
      <selection pane="bottomLeft" activeCell="A7" sqref="A7"/>
      <selection pane="bottomRight" activeCell="I6" sqref="B6:I199"/>
    </sheetView>
  </sheetViews>
  <sheetFormatPr defaultColWidth="9.140625" defaultRowHeight="16.5" outlineLevelRow="1" outlineLevelCol="1" x14ac:dyDescent="0.3"/>
  <cols>
    <col min="1" max="1" width="11" style="759" customWidth="1"/>
    <col min="2" max="2" width="71.42578125" style="759" customWidth="1"/>
    <col min="3" max="3" width="8.5703125" style="760" bestFit="1" customWidth="1"/>
    <col min="4" max="4" width="16.28515625" style="761" hidden="1" customWidth="1"/>
    <col min="5" max="5" width="15.85546875" style="760" hidden="1" customWidth="1"/>
    <col min="6" max="6" width="15.140625" style="760" hidden="1" customWidth="1"/>
    <col min="7" max="7" width="16.28515625" style="760" hidden="1" customWidth="1"/>
    <col min="8" max="8" width="15" style="762" hidden="1" customWidth="1"/>
    <col min="9" max="9" width="15" style="762" customWidth="1"/>
    <col min="10" max="10" width="15.85546875" style="763" hidden="1" customWidth="1" outlineLevel="1"/>
    <col min="11" max="11" width="14.140625" style="764" customWidth="1" outlineLevel="1"/>
    <col min="12" max="12" width="17.42578125" style="765" customWidth="1" outlineLevel="1"/>
    <col min="13" max="13" width="44.140625" style="766" customWidth="1"/>
    <col min="14" max="14" width="12.42578125" style="616" bestFit="1" customWidth="1"/>
    <col min="15" max="16384" width="9.140625" style="616"/>
  </cols>
  <sheetData>
    <row r="1" spans="1:13" x14ac:dyDescent="0.3">
      <c r="A1" s="608"/>
      <c r="B1" s="608"/>
      <c r="C1" s="609"/>
      <c r="D1" s="610"/>
      <c r="E1" s="609"/>
      <c r="F1" s="609"/>
      <c r="G1" s="609"/>
      <c r="H1" s="611"/>
      <c r="I1" s="611"/>
      <c r="J1" s="612"/>
      <c r="K1" s="613"/>
      <c r="L1" s="614"/>
      <c r="M1" s="615"/>
    </row>
    <row r="2" spans="1:13" x14ac:dyDescent="0.3">
      <c r="A2" s="617" t="s">
        <v>1949</v>
      </c>
      <c r="B2" s="617"/>
      <c r="C2" s="618"/>
      <c r="D2" s="619"/>
      <c r="E2" s="618"/>
      <c r="F2" s="618"/>
      <c r="G2" s="618"/>
      <c r="H2" s="620"/>
      <c r="I2" s="620"/>
      <c r="J2" s="621"/>
      <c r="K2" s="622"/>
      <c r="L2" s="623"/>
      <c r="M2" s="624"/>
    </row>
    <row r="3" spans="1:13" x14ac:dyDescent="0.3">
      <c r="A3" s="625"/>
      <c r="B3" s="625"/>
      <c r="C3" s="618"/>
      <c r="D3" s="619"/>
      <c r="E3" s="626"/>
      <c r="F3" s="626"/>
      <c r="G3" s="626"/>
      <c r="H3" s="626"/>
      <c r="I3" s="626"/>
      <c r="J3" s="627"/>
      <c r="K3" s="628"/>
      <c r="L3" s="629"/>
      <c r="M3" s="630"/>
    </row>
    <row r="4" spans="1:13" ht="41.25" thickBot="1" x14ac:dyDescent="0.3">
      <c r="A4" s="631" t="s">
        <v>258</v>
      </c>
      <c r="B4" s="632"/>
      <c r="C4" s="633" t="s">
        <v>90</v>
      </c>
      <c r="D4" s="634" t="s">
        <v>999</v>
      </c>
      <c r="E4" s="635" t="s">
        <v>1701</v>
      </c>
      <c r="F4" s="635" t="s">
        <v>1287</v>
      </c>
      <c r="G4" s="635" t="s">
        <v>1717</v>
      </c>
      <c r="H4" s="636" t="s">
        <v>1747</v>
      </c>
      <c r="I4" s="636" t="s">
        <v>1950</v>
      </c>
      <c r="J4" s="637" t="s">
        <v>5</v>
      </c>
      <c r="K4" s="638" t="s">
        <v>817</v>
      </c>
      <c r="L4" s="639" t="s">
        <v>818</v>
      </c>
      <c r="M4" s="640" t="s">
        <v>655</v>
      </c>
    </row>
    <row r="5" spans="1:13" x14ac:dyDescent="0.3">
      <c r="A5" s="446"/>
      <c r="B5" s="446"/>
      <c r="C5" s="451"/>
      <c r="D5" s="641"/>
      <c r="E5" s="450"/>
      <c r="F5" s="450"/>
      <c r="G5" s="450"/>
      <c r="H5" s="450"/>
      <c r="I5" s="450"/>
      <c r="J5" s="2094"/>
      <c r="K5" s="642"/>
      <c r="L5" s="2093"/>
      <c r="M5" s="643"/>
    </row>
    <row r="6" spans="1:13" s="652" customFormat="1" ht="15" customHeight="1" thickBot="1" x14ac:dyDescent="0.35">
      <c r="A6" s="644" t="s">
        <v>259</v>
      </c>
      <c r="B6" s="644" t="s">
        <v>260</v>
      </c>
      <c r="C6" s="645"/>
      <c r="D6" s="646">
        <f>SUM(D7:D25)</f>
        <v>109758000</v>
      </c>
      <c r="E6" s="647">
        <f>SUM(E7:E25)</f>
        <v>123557000</v>
      </c>
      <c r="F6" s="647">
        <v>121729545.24197242</v>
      </c>
      <c r="G6" s="647">
        <v>122983750</v>
      </c>
      <c r="H6" s="647">
        <f>SUM(H7:H25)</f>
        <v>107983750</v>
      </c>
      <c r="I6" s="647">
        <f>SUM(I7:I25)</f>
        <v>103854597</v>
      </c>
      <c r="J6" s="648">
        <f>+I6-H6</f>
        <v>-4129153</v>
      </c>
      <c r="K6" s="649"/>
      <c r="L6" s="650"/>
      <c r="M6" s="651"/>
    </row>
    <row r="7" spans="1:13" s="660" customFormat="1" ht="18" hidden="1" customHeight="1" outlineLevel="1" x14ac:dyDescent="0.25">
      <c r="A7" s="517"/>
      <c r="B7" s="653" t="s">
        <v>1960</v>
      </c>
      <c r="C7" s="654">
        <v>1111</v>
      </c>
      <c r="D7" s="655">
        <f>'Příjmy kapitol celkem'!E7</f>
        <v>21600000</v>
      </c>
      <c r="E7" s="656">
        <f>'Příjmy kapitol celkem'!F7</f>
        <v>26500000</v>
      </c>
      <c r="F7" s="656">
        <v>26453500</v>
      </c>
      <c r="G7" s="656">
        <v>26453500</v>
      </c>
      <c r="H7" s="656">
        <f>'Příjmy kapitol celkem'!K7</f>
        <v>22370444</v>
      </c>
      <c r="I7" s="656">
        <f>'Příjmy kapitol celkem'!M7</f>
        <v>18370444</v>
      </c>
      <c r="J7" s="656"/>
      <c r="K7" s="657"/>
      <c r="L7" s="658"/>
      <c r="M7" s="659"/>
    </row>
    <row r="8" spans="1:13" s="660" customFormat="1" ht="18" hidden="1" customHeight="1" outlineLevel="1" x14ac:dyDescent="0.25">
      <c r="A8" s="517"/>
      <c r="B8" s="653" t="s">
        <v>1962</v>
      </c>
      <c r="C8" s="654">
        <v>1112</v>
      </c>
      <c r="D8" s="655">
        <f>'Příjmy kapitol celkem'!E8</f>
        <v>2100000</v>
      </c>
      <c r="E8" s="656">
        <v>600000</v>
      </c>
      <c r="F8" s="656">
        <v>525250</v>
      </c>
      <c r="G8" s="656">
        <v>525250</v>
      </c>
      <c r="H8" s="656">
        <f>'Příjmy kapitol celkem'!K8</f>
        <v>47750</v>
      </c>
      <c r="I8" s="656">
        <f>'Příjmy kapitol celkem'!M8</f>
        <v>387129</v>
      </c>
      <c r="J8" s="656"/>
      <c r="K8" s="657"/>
      <c r="L8" s="658"/>
      <c r="M8" s="659"/>
    </row>
    <row r="9" spans="1:13" s="660" customFormat="1" ht="18" hidden="1" customHeight="1" outlineLevel="1" x14ac:dyDescent="0.25">
      <c r="A9" s="517"/>
      <c r="B9" s="653" t="s">
        <v>1961</v>
      </c>
      <c r="C9" s="654">
        <v>1121</v>
      </c>
      <c r="D9" s="655">
        <f>'Příjmy kapitol celkem'!E11</f>
        <v>20300000</v>
      </c>
      <c r="E9" s="656">
        <f>'Příjmy kapitol celkem'!F11</f>
        <v>23300000</v>
      </c>
      <c r="F9" s="656">
        <v>22262990</v>
      </c>
      <c r="G9" s="656">
        <v>22300000</v>
      </c>
      <c r="H9" s="656">
        <f>'Příjmy kapitol celkem'!K11</f>
        <v>16893500</v>
      </c>
      <c r="I9" s="656">
        <f>'Příjmy kapitol celkem'!M9</f>
        <v>2419550</v>
      </c>
      <c r="J9" s="656"/>
      <c r="K9" s="657"/>
      <c r="L9" s="658"/>
      <c r="M9" s="659"/>
    </row>
    <row r="10" spans="1:13" s="660" customFormat="1" ht="18" hidden="1" customHeight="1" outlineLevel="1" x14ac:dyDescent="0.25">
      <c r="A10" s="517"/>
      <c r="B10" s="653" t="s">
        <v>1963</v>
      </c>
      <c r="C10" s="654"/>
      <c r="D10" s="655"/>
      <c r="E10" s="656"/>
      <c r="F10" s="656"/>
      <c r="G10" s="656"/>
      <c r="H10" s="656"/>
      <c r="I10" s="656">
        <f>'Příjmy kapitol celkem'!M10</f>
        <v>993379</v>
      </c>
      <c r="J10" s="656"/>
      <c r="K10" s="657"/>
      <c r="L10" s="658"/>
      <c r="M10" s="659"/>
    </row>
    <row r="11" spans="1:13" s="660" customFormat="1" ht="18" hidden="1" customHeight="1" outlineLevel="1" x14ac:dyDescent="0.25">
      <c r="A11" s="517"/>
      <c r="B11" s="653" t="s">
        <v>15</v>
      </c>
      <c r="C11" s="654">
        <v>1113</v>
      </c>
      <c r="D11" s="655">
        <f>'Příjmy kapitol celkem'!E9</f>
        <v>600000</v>
      </c>
      <c r="E11" s="656">
        <v>2400000</v>
      </c>
      <c r="F11" s="656">
        <v>2292000</v>
      </c>
      <c r="G11" s="656">
        <v>2300000</v>
      </c>
      <c r="H11" s="656">
        <f>'Příjmy kapitol celkem'!K9</f>
        <v>2185556</v>
      </c>
      <c r="I11" s="656">
        <f>'Příjmy kapitol celkem'!M11</f>
        <v>15097595</v>
      </c>
      <c r="J11" s="656"/>
      <c r="K11" s="657"/>
      <c r="L11" s="658"/>
      <c r="M11" s="659"/>
    </row>
    <row r="12" spans="1:13" s="660" customFormat="1" ht="18" hidden="1" customHeight="1" outlineLevel="1" x14ac:dyDescent="0.25">
      <c r="A12" s="517"/>
      <c r="B12" s="653" t="s">
        <v>16</v>
      </c>
      <c r="C12" s="654">
        <v>1211</v>
      </c>
      <c r="D12" s="655">
        <f>'Příjmy kapitol celkem'!E12</f>
        <v>45000000</v>
      </c>
      <c r="E12" s="656">
        <f>'Příjmy kapitol celkem'!F12</f>
        <v>54000000</v>
      </c>
      <c r="F12" s="656">
        <v>53336750</v>
      </c>
      <c r="G12" s="656">
        <v>53337000</v>
      </c>
      <c r="H12" s="656">
        <f>'Příjmy kapitol celkem'!K12</f>
        <v>48418500</v>
      </c>
      <c r="I12" s="656">
        <f>'Příjmy kapitol celkem'!M12</f>
        <v>48518500</v>
      </c>
      <c r="J12" s="656"/>
      <c r="K12" s="657"/>
      <c r="L12" s="658"/>
      <c r="M12" s="659"/>
    </row>
    <row r="13" spans="1:13" ht="18" hidden="1" customHeight="1" outlineLevel="1" x14ac:dyDescent="0.25">
      <c r="A13" s="446"/>
      <c r="B13" s="661" t="s">
        <v>18</v>
      </c>
      <c r="C13" s="451" t="s">
        <v>17</v>
      </c>
      <c r="D13" s="662">
        <f>'Příjmy kapitol celkem'!E13</f>
        <v>0</v>
      </c>
      <c r="E13" s="527">
        <f>'Příjmy kapitol celkem'!F16</f>
        <v>103000</v>
      </c>
      <c r="F13" s="527">
        <v>100000</v>
      </c>
      <c r="G13" s="527">
        <v>100000</v>
      </c>
      <c r="H13" s="527">
        <f>'Příjmy kapitol celkem'!K16</f>
        <v>100000</v>
      </c>
      <c r="I13" s="527">
        <f>'Příjmy kapitol celkem'!M16</f>
        <v>100000</v>
      </c>
      <c r="J13" s="656"/>
      <c r="K13" s="657"/>
      <c r="L13" s="658"/>
      <c r="M13" s="659"/>
    </row>
    <row r="14" spans="1:13" s="669" customFormat="1" ht="18" hidden="1" customHeight="1" outlineLevel="1" x14ac:dyDescent="0.25">
      <c r="A14" s="663"/>
      <c r="B14" s="664" t="s">
        <v>20</v>
      </c>
      <c r="C14" s="665" t="s">
        <v>19</v>
      </c>
      <c r="D14" s="666">
        <f>'Příjmy kapitol celkem'!E14</f>
        <v>4200000</v>
      </c>
      <c r="E14" s="667">
        <f>'Příjmy kapitol celkem'!F14</f>
        <v>4540000</v>
      </c>
      <c r="F14" s="667">
        <v>4700000</v>
      </c>
      <c r="G14" s="667">
        <v>6300000</v>
      </c>
      <c r="H14" s="667">
        <f>'Příjmy kapitol celkem'!K14</f>
        <v>6300000</v>
      </c>
      <c r="I14" s="667">
        <f>'Příjmy kapitol celkem'!M14</f>
        <v>6300000</v>
      </c>
      <c r="J14" s="667"/>
      <c r="K14" s="657"/>
      <c r="L14" s="657"/>
      <c r="M14" s="668" t="s">
        <v>1874</v>
      </c>
    </row>
    <row r="15" spans="1:13" ht="18" hidden="1" customHeight="1" outlineLevel="1" x14ac:dyDescent="0.25">
      <c r="A15" s="446"/>
      <c r="B15" s="661" t="s">
        <v>21</v>
      </c>
      <c r="C15" s="451">
        <v>1341</v>
      </c>
      <c r="D15" s="662">
        <f>'Příjmy kapitol celkem'!E15</f>
        <v>260000</v>
      </c>
      <c r="E15" s="527">
        <v>267000</v>
      </c>
      <c r="F15" s="527">
        <v>260000</v>
      </c>
      <c r="G15" s="527">
        <v>260000</v>
      </c>
      <c r="H15" s="527">
        <f>'Příjmy kapitol celkem'!K15</f>
        <v>260000</v>
      </c>
      <c r="I15" s="527">
        <f>'Příjmy kapitol celkem'!M15</f>
        <v>260000</v>
      </c>
      <c r="J15" s="656"/>
      <c r="K15" s="657"/>
      <c r="L15" s="658"/>
      <c r="M15" s="659"/>
    </row>
    <row r="16" spans="1:13" ht="18" hidden="1" customHeight="1" outlineLevel="1" x14ac:dyDescent="0.25">
      <c r="A16" s="446"/>
      <c r="B16" s="661" t="s">
        <v>22</v>
      </c>
      <c r="C16" s="451">
        <v>1343</v>
      </c>
      <c r="D16" s="662">
        <f>'Příjmy kapitol celkem'!E17</f>
        <v>75000</v>
      </c>
      <c r="E16" s="527">
        <v>75000</v>
      </c>
      <c r="F16" s="527">
        <v>75000</v>
      </c>
      <c r="G16" s="527">
        <v>75000</v>
      </c>
      <c r="H16" s="527">
        <f>'Příjmy kapitol celkem'!K17</f>
        <v>75000</v>
      </c>
      <c r="I16" s="527">
        <f>'Příjmy kapitol celkem'!M17</f>
        <v>75000</v>
      </c>
      <c r="J16" s="656"/>
      <c r="K16" s="657"/>
      <c r="L16" s="658"/>
      <c r="M16" s="659"/>
    </row>
    <row r="17" spans="1:13" ht="18" hidden="1" customHeight="1" outlineLevel="1" x14ac:dyDescent="0.25">
      <c r="A17" s="446"/>
      <c r="B17" s="661" t="s">
        <v>23</v>
      </c>
      <c r="C17" s="451">
        <v>1344</v>
      </c>
      <c r="D17" s="662">
        <f>'Příjmy kapitol celkem'!E18</f>
        <v>3000</v>
      </c>
      <c r="E17" s="527">
        <v>3000</v>
      </c>
      <c r="F17" s="527">
        <v>3000</v>
      </c>
      <c r="G17" s="527">
        <v>3000</v>
      </c>
      <c r="H17" s="527">
        <f>'Příjmy kapitol celkem'!K18</f>
        <v>3000</v>
      </c>
      <c r="I17" s="527">
        <f>'Příjmy kapitol celkem'!M18</f>
        <v>3000</v>
      </c>
      <c r="J17" s="656"/>
      <c r="K17" s="657"/>
      <c r="L17" s="658"/>
      <c r="M17" s="659"/>
    </row>
    <row r="18" spans="1:13" ht="18" hidden="1" customHeight="1" outlineLevel="1" x14ac:dyDescent="0.25">
      <c r="A18" s="446"/>
      <c r="B18" s="661" t="s">
        <v>24</v>
      </c>
      <c r="C18" s="451">
        <v>1345</v>
      </c>
      <c r="D18" s="662">
        <f>'Příjmy kapitol celkem'!E19</f>
        <v>10000</v>
      </c>
      <c r="E18" s="527">
        <f>'Příjmy kapitol celkem'!F19</f>
        <v>42000</v>
      </c>
      <c r="F18" s="527">
        <v>20000</v>
      </c>
      <c r="G18" s="527">
        <v>20000</v>
      </c>
      <c r="H18" s="527">
        <f>'Příjmy kapitol celkem'!K19</f>
        <v>20000</v>
      </c>
      <c r="I18" s="527">
        <f>'Příjmy kapitol celkem'!M19</f>
        <v>20000</v>
      </c>
      <c r="J18" s="656"/>
      <c r="K18" s="657"/>
      <c r="L18" s="658"/>
      <c r="M18" s="659"/>
    </row>
    <row r="19" spans="1:13" ht="18" hidden="1" customHeight="1" outlineLevel="1" x14ac:dyDescent="0.25">
      <c r="A19" s="446"/>
      <c r="B19" s="661" t="s">
        <v>25</v>
      </c>
      <c r="C19" s="451">
        <v>1347</v>
      </c>
      <c r="D19" s="662">
        <f>'Příjmy kapitol celkem'!E20</f>
        <v>0</v>
      </c>
      <c r="E19" s="527">
        <v>0</v>
      </c>
      <c r="F19" s="527">
        <v>0</v>
      </c>
      <c r="G19" s="527">
        <v>0</v>
      </c>
      <c r="H19" s="527">
        <f>'Příjmy kapitol celkem'!K20</f>
        <v>0</v>
      </c>
      <c r="I19" s="527">
        <f>'Příjmy kapitol celkem'!M20</f>
        <v>0</v>
      </c>
      <c r="J19" s="656"/>
      <c r="K19" s="657"/>
      <c r="L19" s="658"/>
      <c r="M19" s="659"/>
    </row>
    <row r="20" spans="1:13" ht="18" hidden="1" customHeight="1" outlineLevel="1" x14ac:dyDescent="0.25">
      <c r="A20" s="446"/>
      <c r="B20" s="661" t="s">
        <v>27</v>
      </c>
      <c r="C20" s="451" t="s">
        <v>26</v>
      </c>
      <c r="D20" s="662">
        <f>'Příjmy kapitol celkem'!E21</f>
        <v>100000</v>
      </c>
      <c r="E20" s="527">
        <v>100000</v>
      </c>
      <c r="F20" s="527">
        <v>100000</v>
      </c>
      <c r="G20" s="527">
        <v>100000</v>
      </c>
      <c r="H20" s="527">
        <f>'Příjmy kapitol celkem'!K21</f>
        <v>100000</v>
      </c>
      <c r="I20" s="527">
        <f>'Příjmy kapitol celkem'!M21</f>
        <v>100000</v>
      </c>
      <c r="J20" s="656"/>
      <c r="K20" s="657"/>
      <c r="L20" s="658"/>
      <c r="M20" s="659"/>
    </row>
    <row r="21" spans="1:13" s="669" customFormat="1" ht="15.75" hidden="1" outlineLevel="1" x14ac:dyDescent="0.25">
      <c r="A21" s="663"/>
      <c r="B21" s="1736" t="s">
        <v>553</v>
      </c>
      <c r="C21" s="665" t="s">
        <v>26</v>
      </c>
      <c r="D21" s="666">
        <f>'Příjmy kapitol celkem'!E22</f>
        <v>4000000</v>
      </c>
      <c r="E21" s="667">
        <v>0</v>
      </c>
      <c r="F21" s="667">
        <v>0</v>
      </c>
      <c r="G21" s="667">
        <v>0</v>
      </c>
      <c r="H21" s="667">
        <f>'Příjmy kapitol celkem'!K22</f>
        <v>0</v>
      </c>
      <c r="I21" s="667">
        <f>'Příjmy kapitol celkem'!M22</f>
        <v>0</v>
      </c>
      <c r="J21" s="667"/>
      <c r="K21" s="657"/>
      <c r="L21" s="657"/>
      <c r="M21" s="668"/>
    </row>
    <row r="22" spans="1:13" ht="18" hidden="1" customHeight="1" outlineLevel="1" x14ac:dyDescent="0.25">
      <c r="A22" s="446"/>
      <c r="B22" s="661" t="s">
        <v>555</v>
      </c>
      <c r="C22" s="451">
        <v>1355</v>
      </c>
      <c r="D22" s="662">
        <f>'Příjmy kapitol celkem'!E23</f>
        <v>2260000</v>
      </c>
      <c r="E22" s="527">
        <f>'Příjmy kapitol celkem'!F23</f>
        <v>927000</v>
      </c>
      <c r="F22" s="527">
        <v>900000</v>
      </c>
      <c r="G22" s="527">
        <v>900000</v>
      </c>
      <c r="H22" s="527">
        <f>'Příjmy kapitol celkem'!K23</f>
        <v>900000</v>
      </c>
      <c r="I22" s="527">
        <f>'Příjmy kapitol celkem'!M23</f>
        <v>900000</v>
      </c>
      <c r="J22" s="656"/>
      <c r="K22" s="657"/>
      <c r="L22" s="658"/>
      <c r="M22" s="659"/>
    </row>
    <row r="23" spans="1:13" ht="18" hidden="1" customHeight="1" outlineLevel="1" x14ac:dyDescent="0.25">
      <c r="A23" s="446"/>
      <c r="B23" s="661" t="s">
        <v>29</v>
      </c>
      <c r="C23" s="451" t="s">
        <v>28</v>
      </c>
      <c r="D23" s="662">
        <f>'Příjmy kapitol celkem'!E24</f>
        <v>0</v>
      </c>
      <c r="E23" s="527">
        <f>'Příjmy kapitol celkem'!F24</f>
        <v>1000000</v>
      </c>
      <c r="F23" s="527">
        <v>1000000</v>
      </c>
      <c r="G23" s="527">
        <v>1000000</v>
      </c>
      <c r="H23" s="527">
        <f>'Příjmy kapitol celkem'!K24</f>
        <v>1000000</v>
      </c>
      <c r="I23" s="527">
        <f>'Příjmy kapitol celkem'!M24</f>
        <v>1000000</v>
      </c>
      <c r="J23" s="656"/>
      <c r="K23" s="657"/>
      <c r="L23" s="658"/>
      <c r="M23" s="659"/>
    </row>
    <row r="24" spans="1:13" ht="18" hidden="1" customHeight="1" outlineLevel="1" x14ac:dyDescent="0.25">
      <c r="A24" s="446"/>
      <c r="B24" s="661" t="s">
        <v>31</v>
      </c>
      <c r="C24" s="451" t="s">
        <v>30</v>
      </c>
      <c r="D24" s="662">
        <f>'Příjmy kapitol celkem'!E25</f>
        <v>1850000</v>
      </c>
      <c r="E24" s="527">
        <f>'Příjmy kapitol celkem'!F25</f>
        <v>1900000</v>
      </c>
      <c r="F24" s="527">
        <v>1900000</v>
      </c>
      <c r="G24" s="527">
        <v>1500000</v>
      </c>
      <c r="H24" s="527">
        <f>'Příjmy kapitol celkem'!K25</f>
        <v>1500000</v>
      </c>
      <c r="I24" s="527">
        <f>'Příjmy kapitol celkem'!M25</f>
        <v>1500000</v>
      </c>
      <c r="J24" s="656"/>
      <c r="K24" s="657"/>
      <c r="L24" s="658"/>
      <c r="M24" s="659"/>
    </row>
    <row r="25" spans="1:13" s="669" customFormat="1" ht="18" hidden="1" customHeight="1" outlineLevel="1" x14ac:dyDescent="0.25">
      <c r="A25" s="663"/>
      <c r="B25" s="664" t="s">
        <v>32</v>
      </c>
      <c r="C25" s="665">
        <v>1511</v>
      </c>
      <c r="D25" s="666">
        <f>'Příjmy kapitol celkem'!E26</f>
        <v>7400000</v>
      </c>
      <c r="E25" s="667">
        <f>'Příjmy kapitol celkem'!F26</f>
        <v>7800000</v>
      </c>
      <c r="F25" s="667">
        <v>7801055.2419724092</v>
      </c>
      <c r="G25" s="667">
        <v>7810000</v>
      </c>
      <c r="H25" s="667">
        <f>'Příjmy kapitol celkem'!K26</f>
        <v>7810000</v>
      </c>
      <c r="I25" s="667">
        <f>'Příjmy kapitol celkem'!M26</f>
        <v>7810000</v>
      </c>
      <c r="J25" s="667"/>
      <c r="K25" s="657"/>
      <c r="L25" s="657"/>
      <c r="M25" s="668"/>
    </row>
    <row r="26" spans="1:13" ht="13.5" customHeight="1" collapsed="1" x14ac:dyDescent="0.25">
      <c r="A26" s="446"/>
      <c r="B26" s="446"/>
      <c r="C26" s="451"/>
      <c r="D26" s="662"/>
      <c r="E26" s="527"/>
      <c r="F26" s="527"/>
      <c r="G26" s="527"/>
      <c r="H26" s="527"/>
      <c r="I26" s="527"/>
      <c r="J26" s="656"/>
      <c r="K26" s="657"/>
      <c r="L26" s="658"/>
      <c r="M26" s="659"/>
    </row>
    <row r="27" spans="1:13" s="652" customFormat="1" ht="17.25" thickBot="1" x14ac:dyDescent="0.35">
      <c r="A27" s="644" t="s">
        <v>261</v>
      </c>
      <c r="B27" s="644" t="s">
        <v>262</v>
      </c>
      <c r="C27" s="645"/>
      <c r="D27" s="646">
        <f>SUM(D28:D55)</f>
        <v>20306200</v>
      </c>
      <c r="E27" s="647">
        <f>SUM(E28:E55)</f>
        <v>24153929.259999998</v>
      </c>
      <c r="F27" s="647">
        <v>21937310</v>
      </c>
      <c r="G27" s="647">
        <v>22537310</v>
      </c>
      <c r="H27" s="647">
        <f>SUM(H28:H55)</f>
        <v>23966705</v>
      </c>
      <c r="I27" s="647">
        <f>SUM(I28:I55)</f>
        <v>24482205</v>
      </c>
      <c r="J27" s="648"/>
      <c r="K27" s="657"/>
      <c r="L27" s="658"/>
      <c r="M27" s="659"/>
    </row>
    <row r="28" spans="1:13" ht="16.5" hidden="1" customHeight="1" outlineLevel="1" x14ac:dyDescent="0.25">
      <c r="A28" s="446"/>
      <c r="B28" s="661" t="s">
        <v>34</v>
      </c>
      <c r="C28" s="451" t="s">
        <v>33</v>
      </c>
      <c r="D28" s="662">
        <f>'Příjmy kapitol celkem'!E27</f>
        <v>0</v>
      </c>
      <c r="E28" s="527">
        <v>0</v>
      </c>
      <c r="F28" s="527">
        <v>0</v>
      </c>
      <c r="G28" s="527">
        <v>0</v>
      </c>
      <c r="H28" s="527">
        <f>'Příjmy kapitol celkem'!K27</f>
        <v>0</v>
      </c>
      <c r="I28" s="527">
        <f>'Příjmy kapitol celkem'!M27</f>
        <v>0</v>
      </c>
      <c r="J28" s="656"/>
      <c r="K28" s="657"/>
      <c r="L28" s="658"/>
      <c r="M28" s="659"/>
    </row>
    <row r="29" spans="1:13" ht="17.25" hidden="1" customHeight="1" outlineLevel="1" x14ac:dyDescent="0.25">
      <c r="A29" s="446"/>
      <c r="B29" s="661" t="s">
        <v>816</v>
      </c>
      <c r="C29" s="451" t="s">
        <v>35</v>
      </c>
      <c r="D29" s="662">
        <f>'Příjmy kapitol celkem'!E28</f>
        <v>84000</v>
      </c>
      <c r="E29" s="527">
        <v>0</v>
      </c>
      <c r="F29" s="527">
        <v>0</v>
      </c>
      <c r="G29" s="527">
        <v>0</v>
      </c>
      <c r="H29" s="527">
        <f>'Příjmy kapitol celkem'!K28</f>
        <v>0</v>
      </c>
      <c r="I29" s="527">
        <f>'Příjmy kapitol celkem'!M28</f>
        <v>0</v>
      </c>
      <c r="J29" s="656"/>
      <c r="K29" s="657"/>
      <c r="L29" s="658"/>
      <c r="M29" s="659"/>
    </row>
    <row r="30" spans="1:13" s="660" customFormat="1" ht="17.25" hidden="1" customHeight="1" outlineLevel="1" x14ac:dyDescent="0.25">
      <c r="A30" s="517"/>
      <c r="B30" s="653" t="s">
        <v>51</v>
      </c>
      <c r="C30" s="654" t="s">
        <v>50</v>
      </c>
      <c r="D30" s="655">
        <f>'Příjmy kapitol celkem'!E38</f>
        <v>3375000</v>
      </c>
      <c r="E30" s="656">
        <f>'Příjmy kapitol celkem'!F38</f>
        <v>4740729.26</v>
      </c>
      <c r="F30" s="656">
        <v>3720750</v>
      </c>
      <c r="G30" s="656">
        <v>3720750</v>
      </c>
      <c r="H30" s="656">
        <f>'Příjmy kapitol celkem'!K38</f>
        <v>3720750</v>
      </c>
      <c r="I30" s="656">
        <f>'Příjmy kapitol celkem'!M38</f>
        <v>4249520</v>
      </c>
      <c r="J30" s="656"/>
      <c r="K30" s="670"/>
      <c r="L30" s="670"/>
      <c r="M30" s="659"/>
    </row>
    <row r="31" spans="1:13" s="660" customFormat="1" ht="17.25" hidden="1" customHeight="1" outlineLevel="1" x14ac:dyDescent="0.25">
      <c r="A31" s="517"/>
      <c r="B31" s="653" t="s">
        <v>53</v>
      </c>
      <c r="C31" s="654" t="s">
        <v>50</v>
      </c>
      <c r="D31" s="655">
        <f>'Příjmy kapitol celkem'!E39</f>
        <v>6916000</v>
      </c>
      <c r="E31" s="656">
        <f>'Příjmy kapitol celkem'!F39</f>
        <v>8870000</v>
      </c>
      <c r="F31" s="656">
        <v>7279360</v>
      </c>
      <c r="G31" s="656">
        <v>7279360</v>
      </c>
      <c r="H31" s="656">
        <f>'Příjmy kapitol celkem'!K39</f>
        <v>7279360</v>
      </c>
      <c r="I31" s="656">
        <f>'Příjmy kapitol celkem'!M39</f>
        <v>7946070</v>
      </c>
      <c r="J31" s="656"/>
      <c r="K31" s="670"/>
      <c r="L31" s="670"/>
      <c r="M31" s="659"/>
    </row>
    <row r="32" spans="1:13" ht="17.25" hidden="1" customHeight="1" outlineLevel="1" x14ac:dyDescent="0.25">
      <c r="A32" s="446"/>
      <c r="B32" s="661" t="s">
        <v>55</v>
      </c>
      <c r="C32" s="451" t="s">
        <v>54</v>
      </c>
      <c r="D32" s="662">
        <f>'Příjmy kapitol celkem'!E40</f>
        <v>50000</v>
      </c>
      <c r="E32" s="527">
        <f>'Příjmy kapitol celkem'!F40</f>
        <v>50000</v>
      </c>
      <c r="F32" s="527">
        <v>50000</v>
      </c>
      <c r="G32" s="527">
        <v>50000</v>
      </c>
      <c r="H32" s="527">
        <f>'Příjmy kapitol celkem'!K40</f>
        <v>50000</v>
      </c>
      <c r="I32" s="527">
        <f>'Příjmy kapitol celkem'!M40</f>
        <v>50000</v>
      </c>
      <c r="J32" s="656"/>
      <c r="K32" s="657"/>
      <c r="L32" s="658"/>
      <c r="M32" s="659"/>
    </row>
    <row r="33" spans="1:13" ht="17.25" hidden="1" customHeight="1" outlineLevel="1" x14ac:dyDescent="0.25">
      <c r="A33" s="446"/>
      <c r="B33" s="661" t="s">
        <v>56</v>
      </c>
      <c r="C33" s="451" t="s">
        <v>50</v>
      </c>
      <c r="D33" s="662">
        <f>'Příjmy kapitol celkem'!E41</f>
        <v>154000</v>
      </c>
      <c r="E33" s="527">
        <f>'Příjmy kapitol celkem'!F41</f>
        <v>154000</v>
      </c>
      <c r="F33" s="527">
        <v>154000</v>
      </c>
      <c r="G33" s="527">
        <v>154000</v>
      </c>
      <c r="H33" s="527">
        <f>'Příjmy kapitol celkem'!K41</f>
        <v>154000</v>
      </c>
      <c r="I33" s="527">
        <f>'Příjmy kapitol celkem'!M41</f>
        <v>154000</v>
      </c>
      <c r="J33" s="656"/>
      <c r="K33" s="657"/>
      <c r="L33" s="658"/>
      <c r="M33" s="659"/>
    </row>
    <row r="34" spans="1:13" ht="17.25" hidden="1" customHeight="1" outlineLevel="1" x14ac:dyDescent="0.25">
      <c r="A34" s="446"/>
      <c r="B34" s="661" t="s">
        <v>57</v>
      </c>
      <c r="C34" s="451">
        <v>2111</v>
      </c>
      <c r="D34" s="662"/>
      <c r="E34" s="527"/>
      <c r="F34" s="527"/>
      <c r="G34" s="527"/>
      <c r="H34" s="527"/>
      <c r="I34" s="527"/>
      <c r="J34" s="656"/>
      <c r="K34" s="657"/>
      <c r="L34" s="658"/>
      <c r="M34" s="659"/>
    </row>
    <row r="35" spans="1:13" ht="17.25" hidden="1" customHeight="1" outlineLevel="1" x14ac:dyDescent="0.25">
      <c r="A35" s="446"/>
      <c r="B35" s="661" t="s">
        <v>1682</v>
      </c>
      <c r="C35" s="451">
        <v>2132</v>
      </c>
      <c r="D35" s="662">
        <f>'Příjmy kapitol celkem'!E42</f>
        <v>50000</v>
      </c>
      <c r="E35" s="527">
        <f>'Příjmy kapitol celkem'!F45</f>
        <v>343000</v>
      </c>
      <c r="F35" s="527">
        <v>500000</v>
      </c>
      <c r="G35" s="527">
        <v>500000</v>
      </c>
      <c r="H35" s="527">
        <f>'Příjmy kapitol celkem'!K45</f>
        <v>2000000</v>
      </c>
      <c r="I35" s="527">
        <f>'Příjmy kapitol celkem'!M45</f>
        <v>1320020</v>
      </c>
      <c r="J35" s="656"/>
      <c r="K35" s="657"/>
      <c r="L35" s="658"/>
      <c r="M35" s="659"/>
    </row>
    <row r="36" spans="1:13" ht="17.25" hidden="1" customHeight="1" outlineLevel="1" x14ac:dyDescent="0.25">
      <c r="A36" s="446"/>
      <c r="B36" s="661" t="s">
        <v>59</v>
      </c>
      <c r="C36" s="451">
        <v>2111</v>
      </c>
      <c r="D36" s="662">
        <f>'Příjmy kapitol celkem'!E42</f>
        <v>50000</v>
      </c>
      <c r="E36" s="527">
        <f>'Příjmy kapitol celkem'!F42</f>
        <v>50000</v>
      </c>
      <c r="F36" s="527">
        <v>50000</v>
      </c>
      <c r="G36" s="527">
        <v>50000</v>
      </c>
      <c r="H36" s="527">
        <f>'Příjmy kapitol celkem'!K42</f>
        <v>50000</v>
      </c>
      <c r="I36" s="527">
        <f>'Příjmy kapitol celkem'!M42</f>
        <v>50000</v>
      </c>
      <c r="J36" s="656"/>
      <c r="K36" s="657"/>
      <c r="L36" s="658"/>
      <c r="M36" s="659"/>
    </row>
    <row r="37" spans="1:13" ht="17.25" hidden="1" customHeight="1" outlineLevel="1" x14ac:dyDescent="0.25">
      <c r="A37" s="446"/>
      <c r="B37" s="661" t="s">
        <v>60</v>
      </c>
      <c r="C37" s="451">
        <v>2111</v>
      </c>
      <c r="D37" s="662">
        <f>'Příjmy kapitol celkem'!E43</f>
        <v>562000</v>
      </c>
      <c r="E37" s="527">
        <f>'Příjmy kapitol celkem'!F43</f>
        <v>250000</v>
      </c>
      <c r="F37" s="527">
        <v>250000</v>
      </c>
      <c r="G37" s="527">
        <v>250000</v>
      </c>
      <c r="H37" s="527">
        <f>'Příjmy kapitol celkem'!K43</f>
        <v>250000</v>
      </c>
      <c r="I37" s="527">
        <f>'Příjmy kapitol celkem'!M43</f>
        <v>250000</v>
      </c>
      <c r="J37" s="656"/>
      <c r="K37" s="657"/>
      <c r="L37" s="658"/>
      <c r="M37" s="659"/>
    </row>
    <row r="38" spans="1:13" ht="17.25" hidden="1" customHeight="1" outlineLevel="1" x14ac:dyDescent="0.25">
      <c r="A38" s="446"/>
      <c r="B38" s="661" t="s">
        <v>61</v>
      </c>
      <c r="C38" s="451" t="s">
        <v>54</v>
      </c>
      <c r="D38" s="662">
        <f>'Příjmy kapitol celkem'!E44</f>
        <v>70000</v>
      </c>
      <c r="E38" s="527">
        <f>'Příjmy kapitol celkem'!F44</f>
        <v>70000</v>
      </c>
      <c r="F38" s="527">
        <v>70000</v>
      </c>
      <c r="G38" s="527">
        <v>70000</v>
      </c>
      <c r="H38" s="527">
        <f>'Příjmy kapitol celkem'!K44</f>
        <v>70000</v>
      </c>
      <c r="I38" s="527">
        <f>'Příjmy kapitol celkem'!M44</f>
        <v>70000</v>
      </c>
      <c r="J38" s="656"/>
      <c r="K38" s="657"/>
      <c r="L38" s="658"/>
      <c r="M38" s="659"/>
    </row>
    <row r="39" spans="1:13" ht="17.25" hidden="1" customHeight="1" outlineLevel="1" x14ac:dyDescent="0.25">
      <c r="A39" s="446"/>
      <c r="B39" s="661" t="s">
        <v>68</v>
      </c>
      <c r="C39" s="451">
        <v>2132</v>
      </c>
      <c r="D39" s="662">
        <f>'Příjmy kapitol celkem'!E46</f>
        <v>775800</v>
      </c>
      <c r="E39" s="527">
        <f>'Příjmy kapitol celkem'!F46</f>
        <v>775800</v>
      </c>
      <c r="F39" s="527">
        <v>775800</v>
      </c>
      <c r="G39" s="527">
        <v>775800</v>
      </c>
      <c r="H39" s="527">
        <f>'Příjmy kapitol celkem'!K46</f>
        <v>765800</v>
      </c>
      <c r="I39" s="527">
        <f>'Příjmy kapitol celkem'!M46</f>
        <v>765800</v>
      </c>
      <c r="J39" s="656"/>
      <c r="K39" s="657"/>
      <c r="L39" s="658"/>
      <c r="M39" s="659"/>
    </row>
    <row r="40" spans="1:13" ht="17.25" hidden="1" customHeight="1" outlineLevel="1" x14ac:dyDescent="0.25">
      <c r="A40" s="446"/>
      <c r="B40" s="661" t="s">
        <v>69</v>
      </c>
      <c r="C40" s="451">
        <v>2111</v>
      </c>
      <c r="D40" s="662">
        <f>'Příjmy kapitol celkem'!E47</f>
        <v>1600000</v>
      </c>
      <c r="E40" s="527">
        <f>'Příjmy kapitol celkem'!F47</f>
        <v>1700000</v>
      </c>
      <c r="F40" s="527">
        <v>1800000</v>
      </c>
      <c r="G40" s="527">
        <v>1800000</v>
      </c>
      <c r="H40" s="527">
        <f>'Příjmy kapitol celkem'!K47</f>
        <v>1800000</v>
      </c>
      <c r="I40" s="527">
        <f>'Příjmy kapitol celkem'!M47</f>
        <v>1800000</v>
      </c>
      <c r="J40" s="656"/>
      <c r="K40" s="657"/>
      <c r="L40" s="658"/>
      <c r="M40" s="659"/>
    </row>
    <row r="41" spans="1:13" ht="17.25" hidden="1" customHeight="1" outlineLevel="1" x14ac:dyDescent="0.25">
      <c r="A41" s="446"/>
      <c r="B41" s="661" t="s">
        <v>70</v>
      </c>
      <c r="C41" s="451">
        <v>2132</v>
      </c>
      <c r="D41" s="662">
        <f>'Příjmy kapitol celkem'!E48</f>
        <v>3031000</v>
      </c>
      <c r="E41" s="527">
        <f>'Příjmy kapitol celkem'!F48</f>
        <v>3200000</v>
      </c>
      <c r="F41" s="527">
        <v>3500000</v>
      </c>
      <c r="G41" s="527">
        <v>3600000</v>
      </c>
      <c r="H41" s="527">
        <f>'Příjmy kapitol celkem'!K48</f>
        <v>3600000</v>
      </c>
      <c r="I41" s="527">
        <f>'Příjmy kapitol celkem'!M48</f>
        <v>3600000</v>
      </c>
      <c r="J41" s="656"/>
      <c r="K41" s="657"/>
      <c r="L41" s="658"/>
      <c r="M41" s="659"/>
    </row>
    <row r="42" spans="1:13" ht="17.25" hidden="1" customHeight="1" outlineLevel="1" x14ac:dyDescent="0.25">
      <c r="A42" s="446"/>
      <c r="B42" s="661" t="s">
        <v>73</v>
      </c>
      <c r="C42" s="451" t="s">
        <v>54</v>
      </c>
      <c r="D42" s="662">
        <f>'Příjmy kapitol celkem'!E49</f>
        <v>81000</v>
      </c>
      <c r="E42" s="527">
        <f>'Příjmy kapitol celkem'!F49</f>
        <v>81000</v>
      </c>
      <c r="F42" s="527">
        <v>81000</v>
      </c>
      <c r="G42" s="527">
        <v>81000</v>
      </c>
      <c r="H42" s="527">
        <f>'Příjmy kapitol celkem'!K49</f>
        <v>81000</v>
      </c>
      <c r="I42" s="527">
        <f>'Příjmy kapitol celkem'!M49</f>
        <v>81000</v>
      </c>
      <c r="J42" s="656"/>
      <c r="K42" s="657"/>
      <c r="L42" s="658"/>
      <c r="M42" s="659"/>
    </row>
    <row r="43" spans="1:13" ht="17.25" hidden="1" customHeight="1" outlineLevel="1" x14ac:dyDescent="0.25">
      <c r="A43" s="446"/>
      <c r="B43" s="661" t="s">
        <v>604</v>
      </c>
      <c r="C43" s="451">
        <v>2132</v>
      </c>
      <c r="D43" s="662">
        <f>'Příjmy kapitol celkem'!E50</f>
        <v>240000</v>
      </c>
      <c r="E43" s="527">
        <f>'Příjmy kapitol celkem'!F50</f>
        <v>240000</v>
      </c>
      <c r="F43" s="527">
        <v>240000</v>
      </c>
      <c r="G43" s="527">
        <v>240000</v>
      </c>
      <c r="H43" s="527">
        <f>'Příjmy kapitol celkem'!K50</f>
        <v>179395</v>
      </c>
      <c r="I43" s="527">
        <f>'Příjmy kapitol celkem'!M50</f>
        <v>179395</v>
      </c>
      <c r="J43" s="656"/>
      <c r="K43" s="657"/>
      <c r="L43" s="658"/>
      <c r="M43" s="659"/>
    </row>
    <row r="44" spans="1:13" ht="17.25" hidden="1" customHeight="1" outlineLevel="1" x14ac:dyDescent="0.25">
      <c r="A44" s="446"/>
      <c r="B44" s="661" t="s">
        <v>605</v>
      </c>
      <c r="C44" s="451">
        <v>2111</v>
      </c>
      <c r="D44" s="662">
        <f>'Příjmy kapitol celkem'!E51</f>
        <v>78000</v>
      </c>
      <c r="E44" s="527">
        <f>'Příjmy kapitol celkem'!F51</f>
        <v>78000</v>
      </c>
      <c r="F44" s="527">
        <v>78000</v>
      </c>
      <c r="G44" s="527">
        <v>78000</v>
      </c>
      <c r="H44" s="527">
        <f>'Příjmy kapitol celkem'!K51</f>
        <v>78000</v>
      </c>
      <c r="I44" s="527">
        <f>'Příjmy kapitol celkem'!M51</f>
        <v>78000</v>
      </c>
      <c r="J44" s="656"/>
      <c r="K44" s="657"/>
      <c r="L44" s="658"/>
      <c r="M44" s="659"/>
    </row>
    <row r="45" spans="1:13" ht="17.25" hidden="1" customHeight="1" outlineLevel="1" x14ac:dyDescent="0.25">
      <c r="A45" s="446"/>
      <c r="B45" s="661" t="s">
        <v>74</v>
      </c>
      <c r="C45" s="451">
        <v>2132</v>
      </c>
      <c r="D45" s="662">
        <f>'Příjmy kapitol celkem'!E52</f>
        <v>400000</v>
      </c>
      <c r="E45" s="527">
        <f>'Příjmy kapitol celkem'!F52</f>
        <v>400000</v>
      </c>
      <c r="F45" s="527">
        <v>400000</v>
      </c>
      <c r="G45" s="527">
        <v>400000</v>
      </c>
      <c r="H45" s="527">
        <f>'Příjmy kapitol celkem'!K52</f>
        <v>400000</v>
      </c>
      <c r="I45" s="527">
        <f>'Příjmy kapitol celkem'!M52</f>
        <v>400000</v>
      </c>
      <c r="J45" s="656"/>
      <c r="K45" s="657"/>
      <c r="L45" s="658"/>
      <c r="M45" s="659"/>
    </row>
    <row r="46" spans="1:13" s="669" customFormat="1" ht="17.25" hidden="1" customHeight="1" outlineLevel="1" x14ac:dyDescent="0.25">
      <c r="A46" s="663"/>
      <c r="B46" s="664" t="s">
        <v>563</v>
      </c>
      <c r="C46" s="665">
        <v>2132</v>
      </c>
      <c r="D46" s="666">
        <f>'Příjmy kapitol celkem'!E53</f>
        <v>1063000</v>
      </c>
      <c r="E46" s="667">
        <f>'Příjmy kapitol celkem'!F53</f>
        <v>1063000</v>
      </c>
      <c r="F46" s="667">
        <v>1063000</v>
      </c>
      <c r="G46" s="667">
        <v>1063000</v>
      </c>
      <c r="H46" s="667">
        <f>'Příjmy kapitol celkem'!K53</f>
        <v>1063000</v>
      </c>
      <c r="I46" s="667">
        <f>'Příjmy kapitol celkem'!M53</f>
        <v>1063000</v>
      </c>
      <c r="J46" s="667"/>
      <c r="K46" s="657"/>
      <c r="L46" s="657"/>
      <c r="M46" s="668"/>
    </row>
    <row r="47" spans="1:13" ht="17.25" hidden="1" customHeight="1" outlineLevel="1" x14ac:dyDescent="0.25">
      <c r="A47" s="446"/>
      <c r="B47" s="661" t="s">
        <v>75</v>
      </c>
      <c r="C47" s="451">
        <v>2111</v>
      </c>
      <c r="D47" s="662">
        <f>'Příjmy kapitol celkem'!E54</f>
        <v>250000</v>
      </c>
      <c r="E47" s="527">
        <f>'Příjmy kapitol celkem'!F54</f>
        <v>250000</v>
      </c>
      <c r="F47" s="527">
        <v>250000</v>
      </c>
      <c r="G47" s="527">
        <v>250000</v>
      </c>
      <c r="H47" s="527">
        <f>'Příjmy kapitol celkem'!K54</f>
        <v>250000</v>
      </c>
      <c r="I47" s="527">
        <f>'Příjmy kapitol celkem'!M54</f>
        <v>250000</v>
      </c>
      <c r="J47" s="656"/>
      <c r="K47" s="657"/>
      <c r="L47" s="658"/>
      <c r="M47" s="659"/>
    </row>
    <row r="48" spans="1:13" ht="17.25" hidden="1" customHeight="1" outlineLevel="1" x14ac:dyDescent="0.25">
      <c r="A48" s="446"/>
      <c r="B48" s="661" t="s">
        <v>77</v>
      </c>
      <c r="C48" s="451" t="s">
        <v>54</v>
      </c>
      <c r="D48" s="662">
        <f>'Příjmy kapitol celkem'!E55</f>
        <v>1000000</v>
      </c>
      <c r="E48" s="527">
        <f>'Příjmy kapitol celkem'!F55</f>
        <v>800000</v>
      </c>
      <c r="F48" s="527">
        <v>800000</v>
      </c>
      <c r="G48" s="527">
        <v>1200000</v>
      </c>
      <c r="H48" s="527">
        <f>'Příjmy kapitol celkem'!K55</f>
        <v>1200000</v>
      </c>
      <c r="I48" s="527">
        <f>'Příjmy kapitol celkem'!M55</f>
        <v>1200000</v>
      </c>
      <c r="J48" s="656"/>
      <c r="K48" s="657"/>
      <c r="L48" s="658"/>
      <c r="M48" s="659"/>
    </row>
    <row r="49" spans="1:13" ht="17.25" hidden="1" customHeight="1" outlineLevel="1" x14ac:dyDescent="0.25">
      <c r="A49" s="446"/>
      <c r="B49" s="661" t="s">
        <v>78</v>
      </c>
      <c r="C49" s="451">
        <v>2111</v>
      </c>
      <c r="D49" s="662">
        <v>20000</v>
      </c>
      <c r="E49" s="527">
        <f>'Příjmy kapitol celkem'!F57</f>
        <v>20000</v>
      </c>
      <c r="F49" s="527">
        <v>20000</v>
      </c>
      <c r="G49" s="527">
        <v>20000</v>
      </c>
      <c r="H49" s="527">
        <f>'Příjmy kapitol celkem'!K57</f>
        <v>20000</v>
      </c>
      <c r="I49" s="527">
        <f>'Příjmy kapitol celkem'!M57</f>
        <v>20000</v>
      </c>
      <c r="J49" s="656"/>
      <c r="K49" s="657"/>
      <c r="L49" s="658"/>
      <c r="M49" s="659"/>
    </row>
    <row r="50" spans="1:13" ht="17.25" hidden="1" customHeight="1" outlineLevel="1" x14ac:dyDescent="0.25">
      <c r="A50" s="446"/>
      <c r="B50" s="661" t="s">
        <v>549</v>
      </c>
      <c r="C50" s="451" t="s">
        <v>54</v>
      </c>
      <c r="D50" s="662"/>
      <c r="E50" s="527">
        <f>'Příjmy kapitol celkem'!F56</f>
        <v>555000</v>
      </c>
      <c r="F50" s="527">
        <v>500000</v>
      </c>
      <c r="G50" s="527">
        <v>600000</v>
      </c>
      <c r="H50" s="527">
        <f>'Příjmy kapitol celkem'!K56</f>
        <v>600000</v>
      </c>
      <c r="I50" s="527">
        <f>'Příjmy kapitol celkem'!M56</f>
        <v>600000</v>
      </c>
      <c r="J50" s="656"/>
      <c r="K50" s="657"/>
      <c r="L50" s="658"/>
      <c r="M50" s="659"/>
    </row>
    <row r="51" spans="1:13" ht="17.25" hidden="1" customHeight="1" outlineLevel="1" x14ac:dyDescent="0.25">
      <c r="A51" s="446"/>
      <c r="B51" s="661" t="s">
        <v>981</v>
      </c>
      <c r="C51" s="451">
        <v>2132</v>
      </c>
      <c r="D51" s="662">
        <f>'Příjmy kapitol celkem'!E58</f>
        <v>24000</v>
      </c>
      <c r="E51" s="527">
        <v>24000</v>
      </c>
      <c r="F51" s="527">
        <v>24000</v>
      </c>
      <c r="G51" s="527">
        <v>24000</v>
      </c>
      <c r="H51" s="527">
        <f>'Příjmy kapitol celkem'!K58</f>
        <v>24000</v>
      </c>
      <c r="I51" s="527">
        <f>'Příjmy kapitol celkem'!M58</f>
        <v>24000</v>
      </c>
      <c r="J51" s="656"/>
      <c r="K51" s="657"/>
      <c r="L51" s="658"/>
      <c r="M51" s="659"/>
    </row>
    <row r="52" spans="1:13" ht="17.25" hidden="1" customHeight="1" outlineLevel="1" x14ac:dyDescent="0.25">
      <c r="A52" s="446"/>
      <c r="B52" s="661" t="s">
        <v>81</v>
      </c>
      <c r="C52" s="451">
        <v>2111</v>
      </c>
      <c r="D52" s="662">
        <f>'Příjmy kapitol celkem'!E59</f>
        <v>18000</v>
      </c>
      <c r="E52" s="527">
        <f>'Příjmy kapitol celkem'!F59</f>
        <v>25000</v>
      </c>
      <c r="F52" s="527">
        <v>17000</v>
      </c>
      <c r="G52" s="527">
        <v>17000</v>
      </c>
      <c r="H52" s="527">
        <f>'Příjmy kapitol celkem'!K59</f>
        <v>17000</v>
      </c>
      <c r="I52" s="527">
        <f>'Příjmy kapitol celkem'!M59</f>
        <v>17000</v>
      </c>
      <c r="J52" s="656"/>
      <c r="K52" s="657"/>
      <c r="L52" s="658"/>
      <c r="M52" s="659"/>
    </row>
    <row r="53" spans="1:13" ht="17.25" hidden="1" customHeight="1" outlineLevel="1" x14ac:dyDescent="0.25">
      <c r="A53" s="446"/>
      <c r="B53" s="661" t="s">
        <v>82</v>
      </c>
      <c r="C53" s="451">
        <v>2141</v>
      </c>
      <c r="D53" s="662">
        <f>'Příjmy kapitol celkem'!E60</f>
        <v>10000</v>
      </c>
      <c r="E53" s="527">
        <f>'Příjmy kapitol celkem'!F60</f>
        <v>10000</v>
      </c>
      <c r="F53" s="527">
        <v>10000</v>
      </c>
      <c r="G53" s="527">
        <v>10000</v>
      </c>
      <c r="H53" s="527">
        <f>'Příjmy kapitol celkem'!K60</f>
        <v>10000</v>
      </c>
      <c r="I53" s="527">
        <f>'Příjmy kapitol celkem'!M60</f>
        <v>10000</v>
      </c>
      <c r="J53" s="656"/>
      <c r="K53" s="657"/>
      <c r="L53" s="658"/>
      <c r="M53" s="659"/>
    </row>
    <row r="54" spans="1:13" ht="17.25" hidden="1" customHeight="1" outlineLevel="1" x14ac:dyDescent="0.25">
      <c r="A54" s="446"/>
      <c r="B54" s="661" t="s">
        <v>411</v>
      </c>
      <c r="C54" s="451">
        <v>2132</v>
      </c>
      <c r="D54" s="662">
        <f>'Příjmy kapitol celkem'!E61</f>
        <v>4400</v>
      </c>
      <c r="E54" s="527">
        <f>'Příjmy kapitol celkem'!F61</f>
        <v>4400</v>
      </c>
      <c r="F54" s="527">
        <v>4400</v>
      </c>
      <c r="G54" s="527">
        <v>4400</v>
      </c>
      <c r="H54" s="527">
        <f>'Příjmy kapitol celkem'!K61</f>
        <v>4400</v>
      </c>
      <c r="I54" s="527">
        <f>'Příjmy kapitol celkem'!M61</f>
        <v>4400</v>
      </c>
      <c r="J54" s="656"/>
      <c r="K54" s="657"/>
      <c r="L54" s="658"/>
      <c r="M54" s="659"/>
    </row>
    <row r="55" spans="1:13" ht="15.75" hidden="1" outlineLevel="1" x14ac:dyDescent="0.25">
      <c r="A55" s="446"/>
      <c r="B55" s="661" t="s">
        <v>267</v>
      </c>
      <c r="C55" s="451">
        <v>2119</v>
      </c>
      <c r="D55" s="662">
        <f>'Příjmy kapitol celkem'!E63</f>
        <v>400000</v>
      </c>
      <c r="E55" s="527">
        <f>'Příjmy kapitol celkem'!F63</f>
        <v>400000</v>
      </c>
      <c r="F55" s="527">
        <v>300000</v>
      </c>
      <c r="G55" s="527">
        <v>300000</v>
      </c>
      <c r="H55" s="527">
        <f>'Příjmy kapitol celkem'!K63</f>
        <v>300000</v>
      </c>
      <c r="I55" s="527">
        <f>'Příjmy kapitol celkem'!M63</f>
        <v>300000</v>
      </c>
      <c r="J55" s="656"/>
      <c r="K55" s="657"/>
      <c r="L55" s="658"/>
      <c r="M55" s="659"/>
    </row>
    <row r="56" spans="1:13" ht="18" customHeight="1" collapsed="1" x14ac:dyDescent="0.3">
      <c r="A56" s="446"/>
      <c r="B56" s="446"/>
      <c r="C56" s="451"/>
      <c r="D56" s="641"/>
      <c r="E56" s="451"/>
      <c r="F56" s="451"/>
      <c r="G56" s="451"/>
      <c r="H56" s="527"/>
      <c r="I56" s="527"/>
      <c r="J56" s="656"/>
      <c r="K56" s="657"/>
      <c r="L56" s="658"/>
      <c r="M56" s="659"/>
    </row>
    <row r="57" spans="1:13" s="652" customFormat="1" ht="17.25" thickBot="1" x14ac:dyDescent="0.35">
      <c r="A57" s="644" t="s">
        <v>264</v>
      </c>
      <c r="B57" s="644" t="s">
        <v>265</v>
      </c>
      <c r="C57" s="645"/>
      <c r="D57" s="646">
        <f>SUM(D58:D60)</f>
        <v>69000</v>
      </c>
      <c r="E57" s="647" t="e">
        <f>SUM(E58:E60)</f>
        <v>#REF!</v>
      </c>
      <c r="F57" s="647">
        <v>65000</v>
      </c>
      <c r="G57" s="647">
        <v>65000</v>
      </c>
      <c r="H57" s="647">
        <f>+H58+H59+H60</f>
        <v>65000</v>
      </c>
      <c r="I57" s="647">
        <f>+I58+I59+I60</f>
        <v>65000</v>
      </c>
      <c r="J57" s="648"/>
      <c r="K57" s="657"/>
      <c r="L57" s="658"/>
      <c r="M57" s="659"/>
    </row>
    <row r="58" spans="1:13" ht="16.5" hidden="1" customHeight="1" outlineLevel="1" x14ac:dyDescent="0.25">
      <c r="A58" s="446"/>
      <c r="B58" s="661" t="s">
        <v>266</v>
      </c>
      <c r="C58" s="451">
        <v>3111</v>
      </c>
      <c r="D58" s="662">
        <f>'Příjmy kapitol celkem'!E64</f>
        <v>35000</v>
      </c>
      <c r="E58" s="527" t="e">
        <f>'Příjmy kapitol celkem'!#REF!</f>
        <v>#REF!</v>
      </c>
      <c r="F58" s="527">
        <v>0</v>
      </c>
      <c r="G58" s="527">
        <v>0</v>
      </c>
      <c r="H58" s="527">
        <f>'Příjmy kapitol celkem'!K64</f>
        <v>0</v>
      </c>
      <c r="I58" s="527">
        <f>'Příjmy kapitol celkem'!M64</f>
        <v>0</v>
      </c>
      <c r="J58" s="656"/>
      <c r="K58" s="657"/>
      <c r="L58" s="658"/>
      <c r="M58" s="659"/>
    </row>
    <row r="59" spans="1:13" ht="16.5" hidden="1" customHeight="1" outlineLevel="1" x14ac:dyDescent="0.25">
      <c r="A59" s="446"/>
      <c r="B59" s="661" t="s">
        <v>85</v>
      </c>
      <c r="C59" s="451" t="s">
        <v>84</v>
      </c>
      <c r="D59" s="662">
        <f>'Příjmy kapitol celkem'!E62</f>
        <v>34000</v>
      </c>
      <c r="E59" s="527">
        <f>'Příjmy kapitol celkem'!F62</f>
        <v>65000</v>
      </c>
      <c r="F59" s="527">
        <v>65000</v>
      </c>
      <c r="G59" s="527">
        <v>65000</v>
      </c>
      <c r="H59" s="527">
        <f>'Příjmy kapitol celkem'!K62</f>
        <v>65000</v>
      </c>
      <c r="I59" s="527">
        <f>'Příjmy kapitol celkem'!M62</f>
        <v>65000</v>
      </c>
      <c r="J59" s="656"/>
      <c r="K59" s="657"/>
      <c r="L59" s="658"/>
      <c r="M59" s="659"/>
    </row>
    <row r="60" spans="1:13" ht="16.5" hidden="1" customHeight="1" outlineLevel="1" x14ac:dyDescent="0.3">
      <c r="A60" s="446"/>
      <c r="B60" s="661" t="s">
        <v>268</v>
      </c>
      <c r="C60" s="451">
        <v>2132</v>
      </c>
      <c r="D60" s="641"/>
      <c r="E60" s="451"/>
      <c r="F60" s="451"/>
      <c r="G60" s="451"/>
      <c r="H60" s="527"/>
      <c r="I60" s="527"/>
      <c r="J60" s="656"/>
      <c r="K60" s="657"/>
      <c r="L60" s="658"/>
      <c r="M60" s="659"/>
    </row>
    <row r="61" spans="1:13" ht="13.5" hidden="1" customHeight="1" outlineLevel="1" x14ac:dyDescent="0.3">
      <c r="A61" s="446"/>
      <c r="B61" s="661"/>
      <c r="C61" s="451"/>
      <c r="D61" s="641"/>
      <c r="E61" s="451"/>
      <c r="F61" s="451"/>
      <c r="G61" s="451"/>
      <c r="H61" s="527"/>
      <c r="I61" s="527"/>
      <c r="J61" s="656"/>
      <c r="K61" s="657"/>
      <c r="L61" s="658"/>
      <c r="M61" s="659"/>
    </row>
    <row r="62" spans="1:13" s="652" customFormat="1" ht="17.25" collapsed="1" thickBot="1" x14ac:dyDescent="0.35">
      <c r="A62" s="644" t="s">
        <v>269</v>
      </c>
      <c r="B62" s="644" t="s">
        <v>270</v>
      </c>
      <c r="C62" s="645"/>
      <c r="D62" s="646">
        <f>SUM(D63:D73)</f>
        <v>10454200</v>
      </c>
      <c r="E62" s="647">
        <f>SUM(E63:E73)</f>
        <v>11748600</v>
      </c>
      <c r="F62" s="647">
        <v>14248600</v>
      </c>
      <c r="G62" s="647">
        <v>23190268</v>
      </c>
      <c r="H62" s="647">
        <f>SUM(H63:H73)</f>
        <v>11593600</v>
      </c>
      <c r="I62" s="647">
        <f>SUM(I63:I73)</f>
        <v>18739376</v>
      </c>
      <c r="J62" s="648"/>
      <c r="K62" s="657"/>
      <c r="L62" s="658"/>
      <c r="M62" s="659"/>
    </row>
    <row r="63" spans="1:13" ht="19.5" hidden="1" customHeight="1" outlineLevel="1" x14ac:dyDescent="0.25">
      <c r="A63" s="446"/>
      <c r="B63" s="661" t="s">
        <v>41</v>
      </c>
      <c r="C63" s="451">
        <v>4112</v>
      </c>
      <c r="D63" s="662">
        <f>'Příjmy kapitol celkem'!E29</f>
        <v>8275000</v>
      </c>
      <c r="E63" s="527">
        <f>'Příjmy kapitol celkem'!F29</f>
        <v>8974600</v>
      </c>
      <c r="F63" s="527">
        <v>8974600</v>
      </c>
      <c r="G63" s="527">
        <v>8974600</v>
      </c>
      <c r="H63" s="527">
        <f>'Příjmy kapitol celkem'!K29</f>
        <v>8721200</v>
      </c>
      <c r="I63" s="527">
        <f>'Příjmy kapitol celkem'!M29</f>
        <v>8721200</v>
      </c>
      <c r="J63" s="656"/>
      <c r="K63" s="657"/>
      <c r="L63" s="658"/>
      <c r="M63" s="659"/>
    </row>
    <row r="64" spans="1:13" ht="19.5" hidden="1" customHeight="1" outlineLevel="1" x14ac:dyDescent="0.25">
      <c r="A64" s="446"/>
      <c r="B64" s="661" t="s">
        <v>42</v>
      </c>
      <c r="C64" s="451">
        <v>4121</v>
      </c>
      <c r="D64" s="662">
        <f>'Příjmy kapitol celkem'!E30</f>
        <v>100000</v>
      </c>
      <c r="E64" s="527">
        <f>'Příjmy kapitol celkem'!F30</f>
        <v>400000</v>
      </c>
      <c r="F64" s="527">
        <v>400000</v>
      </c>
      <c r="G64" s="527">
        <v>400000</v>
      </c>
      <c r="H64" s="527">
        <f>'Příjmy kapitol celkem'!K30</f>
        <v>400000</v>
      </c>
      <c r="I64" s="527">
        <f>'Příjmy kapitol celkem'!M30</f>
        <v>400000</v>
      </c>
      <c r="J64" s="656"/>
      <c r="K64" s="657"/>
      <c r="L64" s="658"/>
      <c r="M64" s="659"/>
    </row>
    <row r="65" spans="1:13" ht="19.5" hidden="1" customHeight="1" outlineLevel="1" x14ac:dyDescent="0.25">
      <c r="A65" s="446"/>
      <c r="B65" s="661" t="s">
        <v>271</v>
      </c>
      <c r="C65" s="451">
        <v>4121</v>
      </c>
      <c r="D65" s="662">
        <f>'Příjmy kapitol celkem'!E31</f>
        <v>800000</v>
      </c>
      <c r="E65" s="527">
        <f>'Příjmy kapitol celkem'!F31</f>
        <v>800000</v>
      </c>
      <c r="F65" s="527">
        <v>800000</v>
      </c>
      <c r="G65" s="527">
        <v>898400</v>
      </c>
      <c r="H65" s="527">
        <f>'Příjmy kapitol celkem'!K31</f>
        <v>898400</v>
      </c>
      <c r="I65" s="527">
        <f>'Příjmy kapitol celkem'!M31</f>
        <v>898400</v>
      </c>
      <c r="J65" s="656"/>
      <c r="K65" s="657"/>
      <c r="L65" s="658"/>
      <c r="M65" s="659"/>
    </row>
    <row r="66" spans="1:13" ht="19.5" hidden="1" customHeight="1" outlineLevel="1" x14ac:dyDescent="0.25">
      <c r="A66" s="446"/>
      <c r="B66" s="661" t="s">
        <v>46</v>
      </c>
      <c r="C66" s="451" t="s">
        <v>35</v>
      </c>
      <c r="D66" s="662">
        <f>'Příjmy kapitol celkem'!E37</f>
        <v>1279200</v>
      </c>
      <c r="E66" s="527">
        <v>1574000</v>
      </c>
      <c r="F66" s="527">
        <v>1574000</v>
      </c>
      <c r="G66" s="527">
        <v>1574000</v>
      </c>
      <c r="H66" s="527">
        <f>'Příjmy kapitol celkem'!K37</f>
        <v>1574000</v>
      </c>
      <c r="I66" s="527">
        <f>'Příjmy kapitol celkem'!M37</f>
        <v>1574000</v>
      </c>
      <c r="J66" s="656"/>
      <c r="K66" s="657"/>
      <c r="L66" s="658"/>
      <c r="M66" s="659"/>
    </row>
    <row r="67" spans="1:13" ht="19.5" hidden="1" customHeight="1" outlineLevel="1" x14ac:dyDescent="0.25">
      <c r="A67" s="446"/>
      <c r="B67" s="661" t="s">
        <v>1679</v>
      </c>
      <c r="C67" s="451">
        <v>4216</v>
      </c>
      <c r="D67" s="662"/>
      <c r="E67" s="527"/>
      <c r="F67" s="527">
        <v>2500000</v>
      </c>
      <c r="G67" s="527">
        <v>2500000</v>
      </c>
      <c r="H67" s="527">
        <f>'Příjmy kapitol celkem'!K32</f>
        <v>0</v>
      </c>
      <c r="I67" s="527">
        <f>'Příjmy kapitol celkem'!M32</f>
        <v>1995776</v>
      </c>
      <c r="J67" s="656"/>
      <c r="K67" s="657"/>
      <c r="L67" s="658"/>
      <c r="M67" s="659"/>
    </row>
    <row r="68" spans="1:13" ht="19.5" hidden="1" customHeight="1" outlineLevel="1" x14ac:dyDescent="0.25">
      <c r="A68" s="446"/>
      <c r="B68" s="661" t="s">
        <v>1968</v>
      </c>
      <c r="C68" s="451" t="s">
        <v>43</v>
      </c>
      <c r="D68" s="662"/>
      <c r="E68" s="527"/>
      <c r="F68" s="527"/>
      <c r="G68" s="527"/>
      <c r="H68" s="527"/>
      <c r="I68" s="527">
        <f>'Příjmy kapitol celkem'!M33</f>
        <v>0</v>
      </c>
      <c r="J68" s="656"/>
      <c r="K68" s="657"/>
      <c r="L68" s="658"/>
      <c r="M68" s="659"/>
    </row>
    <row r="69" spans="1:13" ht="19.5" hidden="1" customHeight="1" outlineLevel="1" x14ac:dyDescent="0.25">
      <c r="A69" s="446"/>
      <c r="B69" s="661" t="s">
        <v>1969</v>
      </c>
      <c r="C69" s="451" t="s">
        <v>43</v>
      </c>
      <c r="D69" s="662"/>
      <c r="E69" s="527"/>
      <c r="F69" s="527"/>
      <c r="G69" s="527"/>
      <c r="H69" s="527"/>
      <c r="I69" s="527">
        <f>'Příjmy kapitol celkem'!M34</f>
        <v>0</v>
      </c>
      <c r="J69" s="656"/>
      <c r="K69" s="657"/>
      <c r="L69" s="658"/>
      <c r="M69" s="659"/>
    </row>
    <row r="70" spans="1:13" ht="19.5" hidden="1" customHeight="1" outlineLevel="1" x14ac:dyDescent="0.25">
      <c r="A70" s="446"/>
      <c r="B70" s="661" t="s">
        <v>1970</v>
      </c>
      <c r="C70" s="451" t="s">
        <v>43</v>
      </c>
      <c r="D70" s="662"/>
      <c r="E70" s="527"/>
      <c r="F70" s="527"/>
      <c r="G70" s="527"/>
      <c r="H70" s="527"/>
      <c r="I70" s="527">
        <f>'Příjmy kapitol celkem'!M35</f>
        <v>4900000</v>
      </c>
      <c r="J70" s="656"/>
      <c r="K70" s="657"/>
      <c r="L70" s="658"/>
      <c r="M70" s="659"/>
    </row>
    <row r="71" spans="1:13" ht="19.5" hidden="1" customHeight="1" outlineLevel="1" x14ac:dyDescent="0.25">
      <c r="A71" s="446"/>
      <c r="B71" s="661" t="s">
        <v>1971</v>
      </c>
      <c r="C71" s="451" t="s">
        <v>43</v>
      </c>
      <c r="D71" s="662"/>
      <c r="E71" s="527"/>
      <c r="F71" s="527"/>
      <c r="G71" s="527"/>
      <c r="H71" s="527"/>
      <c r="I71" s="527">
        <f>'Příjmy kapitol celkem'!M36</f>
        <v>250000</v>
      </c>
      <c r="J71" s="656"/>
      <c r="K71" s="657"/>
      <c r="L71" s="658"/>
      <c r="M71" s="659"/>
    </row>
    <row r="72" spans="1:13" ht="19.5" hidden="1" customHeight="1" outlineLevel="1" x14ac:dyDescent="0.25">
      <c r="A72" s="446"/>
      <c r="B72" s="653" t="s">
        <v>272</v>
      </c>
      <c r="C72" s="654">
        <v>4213</v>
      </c>
      <c r="D72" s="662">
        <f>'Příjmy kapitol celkem'!E35</f>
        <v>0</v>
      </c>
      <c r="E72" s="527">
        <v>0</v>
      </c>
      <c r="F72" s="527">
        <v>0</v>
      </c>
      <c r="G72" s="527">
        <v>0</v>
      </c>
      <c r="H72" s="527">
        <f>'Příjmy kapitol celkem'!K35</f>
        <v>0</v>
      </c>
      <c r="I72" s="527"/>
      <c r="J72" s="656"/>
      <c r="K72" s="657"/>
      <c r="L72" s="658"/>
      <c r="M72" s="659"/>
    </row>
    <row r="73" spans="1:13" ht="19.5" hidden="1" customHeight="1" outlineLevel="1" x14ac:dyDescent="0.25">
      <c r="A73" s="446"/>
      <c r="B73" s="661" t="s">
        <v>409</v>
      </c>
      <c r="C73" s="451" t="s">
        <v>43</v>
      </c>
      <c r="D73" s="662"/>
      <c r="E73" s="527"/>
      <c r="F73" s="527"/>
      <c r="G73" s="527"/>
      <c r="H73" s="527"/>
      <c r="I73" s="527"/>
      <c r="J73" s="656"/>
      <c r="K73" s="657"/>
      <c r="L73" s="658"/>
      <c r="M73" s="659"/>
    </row>
    <row r="74" spans="1:13" ht="21.75" hidden="1" customHeight="1" outlineLevel="1" x14ac:dyDescent="0.3">
      <c r="A74" s="446"/>
      <c r="B74" s="446"/>
      <c r="C74" s="451"/>
      <c r="D74" s="641"/>
      <c r="E74" s="451"/>
      <c r="F74" s="451"/>
      <c r="G74" s="451"/>
      <c r="H74" s="527"/>
      <c r="I74" s="527"/>
      <c r="J74" s="656"/>
      <c r="K74" s="657"/>
      <c r="L74" s="658"/>
      <c r="M74" s="659"/>
    </row>
    <row r="75" spans="1:13" s="652" customFormat="1" ht="17.25" collapsed="1" thickBot="1" x14ac:dyDescent="0.35">
      <c r="A75" s="644" t="s">
        <v>273</v>
      </c>
      <c r="B75" s="644" t="s">
        <v>274</v>
      </c>
      <c r="C75" s="645"/>
      <c r="D75" s="646">
        <f>SUM(D76:D78)</f>
        <v>89088871</v>
      </c>
      <c r="E75" s="647">
        <f>SUM(E76:E78)</f>
        <v>35743546</v>
      </c>
      <c r="F75" s="647">
        <v>11500000</v>
      </c>
      <c r="G75" s="647">
        <v>5701631.46</v>
      </c>
      <c r="H75" s="647">
        <f>SUM(H76:H78)</f>
        <v>23434045</v>
      </c>
      <c r="I75" s="647">
        <f>SUM(I76:I78)</f>
        <v>11000000</v>
      </c>
      <c r="J75" s="648"/>
      <c r="K75" s="657"/>
      <c r="L75" s="658"/>
      <c r="M75" s="659"/>
    </row>
    <row r="76" spans="1:13" ht="17.25" customHeight="1" x14ac:dyDescent="0.25">
      <c r="A76" s="446"/>
      <c r="B76" s="661" t="s">
        <v>275</v>
      </c>
      <c r="C76" s="451" t="s">
        <v>47</v>
      </c>
      <c r="D76" s="662">
        <f>'Příjmy kapitol celkem'!E69</f>
        <v>25459000</v>
      </c>
      <c r="E76" s="527">
        <v>5743546</v>
      </c>
      <c r="F76" s="527">
        <v>11500000</v>
      </c>
      <c r="G76" s="527">
        <v>5701631.46</v>
      </c>
      <c r="H76" s="527">
        <f>'Příjmy kapitol celkem'!K69</f>
        <v>5934045</v>
      </c>
      <c r="I76" s="527">
        <f>'Příjmy kapitol celkem'!M69</f>
        <v>11000000</v>
      </c>
      <c r="J76" s="656"/>
      <c r="K76" s="657"/>
      <c r="L76" s="658"/>
      <c r="M76" s="659"/>
    </row>
    <row r="77" spans="1:13" ht="17.25" hidden="1" customHeight="1" x14ac:dyDescent="0.25">
      <c r="A77" s="446"/>
      <c r="B77" s="661" t="s">
        <v>1104</v>
      </c>
      <c r="C77" s="451" t="s">
        <v>47</v>
      </c>
      <c r="D77" s="662">
        <f>'Příjmy kapitol celkem'!E70</f>
        <v>0</v>
      </c>
      <c r="E77" s="527">
        <v>0</v>
      </c>
      <c r="F77" s="527">
        <v>0</v>
      </c>
      <c r="G77" s="527">
        <v>0</v>
      </c>
      <c r="H77" s="527">
        <f>'Příjmy kapitol celkem'!K70</f>
        <v>0</v>
      </c>
      <c r="I77" s="527">
        <f>'Příjmy kapitol celkem'!M70</f>
        <v>0</v>
      </c>
      <c r="J77" s="656"/>
      <c r="K77" s="657"/>
      <c r="L77" s="658"/>
      <c r="M77" s="659"/>
    </row>
    <row r="78" spans="1:13" ht="17.25" hidden="1" customHeight="1" x14ac:dyDescent="0.25">
      <c r="A78" s="446"/>
      <c r="B78" s="661" t="s">
        <v>1093</v>
      </c>
      <c r="C78" s="451" t="s">
        <v>86</v>
      </c>
      <c r="D78" s="662">
        <f>'Příjmy kapitol celkem'!E72</f>
        <v>63629871</v>
      </c>
      <c r="E78" s="527">
        <v>30000000</v>
      </c>
      <c r="F78" s="527">
        <v>0</v>
      </c>
      <c r="G78" s="527">
        <v>0</v>
      </c>
      <c r="H78" s="527">
        <f>'Příjmy kapitol celkem'!K71</f>
        <v>17500000</v>
      </c>
      <c r="I78" s="527">
        <f>'Příjmy kapitol celkem'!M71</f>
        <v>0</v>
      </c>
      <c r="J78" s="672"/>
      <c r="K78" s="657"/>
      <c r="L78" s="658"/>
      <c r="M78" s="659"/>
    </row>
    <row r="79" spans="1:13" x14ac:dyDescent="0.3">
      <c r="A79" s="446"/>
      <c r="B79" s="446"/>
      <c r="C79" s="451"/>
      <c r="D79" s="641"/>
      <c r="E79" s="451"/>
      <c r="F79" s="451"/>
      <c r="G79" s="451"/>
      <c r="H79" s="527"/>
      <c r="I79" s="527"/>
      <c r="J79" s="656"/>
      <c r="K79" s="657"/>
      <c r="L79" s="658"/>
      <c r="M79" s="659"/>
    </row>
    <row r="80" spans="1:13" s="652" customFormat="1" ht="17.25" thickBot="1" x14ac:dyDescent="0.35">
      <c r="A80" s="673" t="s">
        <v>276</v>
      </c>
      <c r="B80" s="673"/>
      <c r="C80" s="674"/>
      <c r="D80" s="646">
        <f>+D75+D62+D57+D27+D6</f>
        <v>229676271</v>
      </c>
      <c r="E80" s="647" t="e">
        <f>+E75+E62+E57+E27+E6</f>
        <v>#REF!</v>
      </c>
      <c r="F80" s="647">
        <v>169480455.24197242</v>
      </c>
      <c r="G80" s="647">
        <v>174477959.46000001</v>
      </c>
      <c r="H80" s="647">
        <f>+H75+H62+H57+H27+H6</f>
        <v>167043100</v>
      </c>
      <c r="I80" s="647">
        <f>+I75+I62+I57+I27+I6</f>
        <v>158141178</v>
      </c>
      <c r="J80" s="648"/>
      <c r="K80" s="657"/>
      <c r="L80" s="658"/>
      <c r="M80" s="659"/>
    </row>
    <row r="81" spans="1:15" s="660" customFormat="1" ht="12.75" customHeight="1" x14ac:dyDescent="0.3">
      <c r="A81" s="517"/>
      <c r="B81" s="653" t="s">
        <v>277</v>
      </c>
      <c r="C81" s="654"/>
      <c r="D81" s="675">
        <f>+D80-'Příjmy kapitol celkem'!E73</f>
        <v>-300000</v>
      </c>
      <c r="E81" s="676" t="e">
        <f>+E80-'Příjmy kapitol celkem'!F73</f>
        <v>#REF!</v>
      </c>
      <c r="F81" s="676">
        <v>0</v>
      </c>
      <c r="G81" s="676">
        <v>0</v>
      </c>
      <c r="H81" s="656">
        <f>H80-'Příjmy kapitol celkem'!K73</f>
        <v>-16089937</v>
      </c>
      <c r="I81" s="656">
        <f>+'Příjmy kapitol celkem'!M73-'Souhrn příjmů a výdajů 2021'!I80</f>
        <v>0</v>
      </c>
      <c r="J81" s="656"/>
      <c r="K81" s="657"/>
      <c r="L81" s="658"/>
      <c r="M81" s="659"/>
    </row>
    <row r="82" spans="1:15" x14ac:dyDescent="0.3">
      <c r="A82" s="446"/>
      <c r="B82" s="446"/>
      <c r="C82" s="451"/>
      <c r="D82" s="641"/>
      <c r="E82" s="450"/>
      <c r="F82" s="450"/>
      <c r="G82" s="450"/>
      <c r="H82" s="1790"/>
      <c r="I82" s="1790"/>
      <c r="J82" s="656"/>
      <c r="K82" s="657"/>
      <c r="L82" s="658"/>
      <c r="M82" s="659"/>
    </row>
    <row r="83" spans="1:15" ht="30.95" customHeight="1" thickBot="1" x14ac:dyDescent="0.3">
      <c r="A83" s="631" t="s">
        <v>278</v>
      </c>
      <c r="B83" s="632"/>
      <c r="C83" s="633" t="s">
        <v>90</v>
      </c>
      <c r="D83" s="677"/>
      <c r="E83" s="635" t="s">
        <v>1701</v>
      </c>
      <c r="F83" s="635" t="s">
        <v>1287</v>
      </c>
      <c r="G83" s="635" t="s">
        <v>1717</v>
      </c>
      <c r="H83" s="636" t="str">
        <f>H4</f>
        <v>RO Č.2</v>
      </c>
      <c r="I83" s="636" t="str">
        <f>I4</f>
        <v>Návrh rozpočtu 2021</v>
      </c>
      <c r="J83" s="656"/>
      <c r="K83" s="657"/>
      <c r="L83" s="658"/>
      <c r="M83" s="659"/>
    </row>
    <row r="84" spans="1:15" x14ac:dyDescent="0.3">
      <c r="A84" s="446"/>
      <c r="B84" s="446"/>
      <c r="C84" s="451"/>
      <c r="D84" s="641"/>
      <c r="E84" s="451"/>
      <c r="F84" s="451"/>
      <c r="G84" s="451"/>
      <c r="H84" s="527"/>
      <c r="I84" s="527"/>
      <c r="J84" s="656"/>
      <c r="K84" s="657"/>
      <c r="L84" s="658"/>
      <c r="M84" s="659"/>
    </row>
    <row r="85" spans="1:15" s="652" customFormat="1" ht="17.25" thickBot="1" x14ac:dyDescent="0.35">
      <c r="A85" s="644" t="s">
        <v>279</v>
      </c>
      <c r="B85" s="644" t="s">
        <v>280</v>
      </c>
      <c r="C85" s="645"/>
      <c r="D85" s="646" t="e">
        <f>+D86+D96</f>
        <v>#REF!</v>
      </c>
      <c r="E85" s="647">
        <f>+E86+E96</f>
        <v>120792267.1038</v>
      </c>
      <c r="F85" s="647">
        <v>129492823.2784</v>
      </c>
      <c r="G85" s="647">
        <v>127871123.2784</v>
      </c>
      <c r="H85" s="647">
        <f>+H86+H96</f>
        <v>117956938.75040001</v>
      </c>
      <c r="I85" s="647">
        <f>+I86+I96</f>
        <v>123067947.87349999</v>
      </c>
      <c r="J85" s="648"/>
      <c r="K85" s="657"/>
      <c r="L85" s="658"/>
      <c r="M85" s="659"/>
      <c r="N85" s="678"/>
    </row>
    <row r="86" spans="1:15" s="652" customFormat="1" x14ac:dyDescent="0.3">
      <c r="A86" s="526"/>
      <c r="B86" s="679" t="s">
        <v>971</v>
      </c>
      <c r="C86" s="680"/>
      <c r="D86" s="681">
        <f>SUM(D87:D94)</f>
        <v>34441747.700000003</v>
      </c>
      <c r="E86" s="682">
        <f>SUM(E87:E94)</f>
        <v>37838448.799999997</v>
      </c>
      <c r="F86" s="682">
        <v>39156714.528000005</v>
      </c>
      <c r="G86" s="682">
        <v>39156714.528000005</v>
      </c>
      <c r="H86" s="682">
        <f>SUM(H87:H94)</f>
        <v>34823252</v>
      </c>
      <c r="I86" s="682">
        <f>SUM(I87:I94)</f>
        <v>36162828.399999999</v>
      </c>
      <c r="J86" s="648"/>
      <c r="K86" s="657"/>
      <c r="L86" s="658"/>
      <c r="M86" s="659"/>
    </row>
    <row r="87" spans="1:15" s="689" customFormat="1" ht="15.75" hidden="1" outlineLevel="1" x14ac:dyDescent="0.25">
      <c r="A87" s="683"/>
      <c r="B87" s="684" t="s">
        <v>91</v>
      </c>
      <c r="C87" s="685">
        <v>5011</v>
      </c>
      <c r="D87" s="686">
        <f>'Výdaje kapitol celkem'!C8</f>
        <v>21368700</v>
      </c>
      <c r="E87" s="687">
        <f>'Výdaje kapitol celkem'!D8</f>
        <v>23730000</v>
      </c>
      <c r="F87" s="687">
        <v>24920000</v>
      </c>
      <c r="G87" s="687">
        <v>24920000</v>
      </c>
      <c r="H87" s="687">
        <f>'Výdaje kapitol celkem'!G8</f>
        <v>22000000</v>
      </c>
      <c r="I87" s="687">
        <f>'Výdaje kapitol celkem'!H8</f>
        <v>22720000</v>
      </c>
      <c r="J87" s="656"/>
      <c r="K87" s="657"/>
      <c r="L87" s="658"/>
      <c r="M87" s="688"/>
    </row>
    <row r="88" spans="1:15" s="689" customFormat="1" ht="15.75" hidden="1" outlineLevel="1" x14ac:dyDescent="0.25">
      <c r="A88" s="683"/>
      <c r="B88" s="684" t="s">
        <v>92</v>
      </c>
      <c r="C88" s="685">
        <v>5021</v>
      </c>
      <c r="D88" s="686">
        <f>'Výdaje kapitol celkem'!C9</f>
        <v>1477589</v>
      </c>
      <c r="E88" s="687">
        <f>'Výdaje kapitol celkem'!D9</f>
        <v>1823000</v>
      </c>
      <c r="F88" s="687">
        <v>1580000</v>
      </c>
      <c r="G88" s="687">
        <v>1580000</v>
      </c>
      <c r="H88" s="687">
        <f>'Výdaje kapitol celkem'!G9</f>
        <v>1500000</v>
      </c>
      <c r="I88" s="687">
        <f>'Výdaje kapitol celkem'!H9</f>
        <v>1432000</v>
      </c>
      <c r="J88" s="690"/>
      <c r="K88" s="657"/>
      <c r="L88" s="658"/>
      <c r="M88" s="688"/>
    </row>
    <row r="89" spans="1:15" ht="18" hidden="1" customHeight="1" outlineLevel="1" x14ac:dyDescent="0.25">
      <c r="A89" s="446"/>
      <c r="B89" s="661" t="s">
        <v>550</v>
      </c>
      <c r="C89" s="451">
        <v>5023</v>
      </c>
      <c r="D89" s="662">
        <f>'Výdaje kapitol celkem'!C10</f>
        <v>2347000</v>
      </c>
      <c r="E89" s="527">
        <f>'Výdaje kapitol celkem'!D10</f>
        <v>2512000</v>
      </c>
      <c r="F89" s="527">
        <v>2687840</v>
      </c>
      <c r="G89" s="527">
        <v>2687840</v>
      </c>
      <c r="H89" s="527">
        <f>'Výdaje kapitol celkem'!G10</f>
        <v>2360000</v>
      </c>
      <c r="I89" s="527">
        <f>'Výdaje kapitol celkem'!H10</f>
        <v>2790000</v>
      </c>
      <c r="J89" s="656"/>
      <c r="K89" s="657"/>
      <c r="L89" s="658"/>
      <c r="M89" s="691"/>
    </row>
    <row r="90" spans="1:15" ht="18" hidden="1" customHeight="1" outlineLevel="1" x14ac:dyDescent="0.25">
      <c r="A90" s="446"/>
      <c r="B90" s="661" t="s">
        <v>970</v>
      </c>
      <c r="C90" s="451">
        <v>5024</v>
      </c>
      <c r="D90" s="662">
        <f>'Výdaje kapitol celkem'!C11</f>
        <v>657000</v>
      </c>
      <c r="E90" s="527">
        <f>'Výdaje kapitol celkem'!D11</f>
        <v>198530</v>
      </c>
      <c r="F90" s="527">
        <v>0</v>
      </c>
      <c r="G90" s="527">
        <v>0</v>
      </c>
      <c r="H90" s="527">
        <f>'Výdaje kapitol celkem'!G11</f>
        <v>0</v>
      </c>
      <c r="I90" s="527">
        <f>'Výdaje kapitol celkem'!H11</f>
        <v>0</v>
      </c>
      <c r="J90" s="656"/>
      <c r="K90" s="657"/>
      <c r="L90" s="658"/>
      <c r="M90" s="659"/>
    </row>
    <row r="91" spans="1:15" ht="18" hidden="1" customHeight="1" outlineLevel="1" x14ac:dyDescent="0.25">
      <c r="A91" s="446"/>
      <c r="B91" s="661" t="s">
        <v>95</v>
      </c>
      <c r="C91" s="451">
        <v>5029</v>
      </c>
      <c r="D91" s="662">
        <f>'Výdaje kapitol celkem'!C12</f>
        <v>30000</v>
      </c>
      <c r="E91" s="527">
        <f>'Výdaje kapitol celkem'!D12</f>
        <v>30000</v>
      </c>
      <c r="F91" s="527">
        <v>30000</v>
      </c>
      <c r="G91" s="527">
        <v>30000</v>
      </c>
      <c r="H91" s="527">
        <f>'Výdaje kapitol celkem'!G12</f>
        <v>30000</v>
      </c>
      <c r="I91" s="527">
        <f>'Výdaje kapitol celkem'!H12</f>
        <v>30000</v>
      </c>
      <c r="J91" s="656"/>
      <c r="K91" s="657"/>
      <c r="L91" s="658"/>
      <c r="M91" s="659"/>
    </row>
    <row r="92" spans="1:15" ht="18" hidden="1" customHeight="1" outlineLevel="1" x14ac:dyDescent="0.25">
      <c r="A92" s="446"/>
      <c r="B92" s="661" t="s">
        <v>96</v>
      </c>
      <c r="C92" s="451">
        <v>5031</v>
      </c>
      <c r="D92" s="662">
        <f>'Výdaje kapitol celkem'!C13</f>
        <v>6218375</v>
      </c>
      <c r="E92" s="527">
        <f>'Výdaje kapitol celkem'!D13</f>
        <v>6933332</v>
      </c>
      <c r="F92" s="527">
        <v>7219092</v>
      </c>
      <c r="G92" s="527">
        <v>7219092</v>
      </c>
      <c r="H92" s="527">
        <f>'Výdaje kapitol celkem'!G13</f>
        <v>6489632</v>
      </c>
      <c r="I92" s="527">
        <f>'Výdaje kapitol celkem'!H13</f>
        <v>6675500</v>
      </c>
      <c r="J92" s="656"/>
      <c r="K92" s="657"/>
      <c r="L92" s="658"/>
      <c r="M92" s="659"/>
    </row>
    <row r="93" spans="1:15" ht="18" hidden="1" customHeight="1" outlineLevel="1" x14ac:dyDescent="0.25">
      <c r="A93" s="446"/>
      <c r="B93" s="661" t="s">
        <v>97</v>
      </c>
      <c r="C93" s="451">
        <v>5032</v>
      </c>
      <c r="D93" s="662">
        <f>'Výdaje kapitol celkem'!C14</f>
        <v>2238615.0000000009</v>
      </c>
      <c r="E93" s="527">
        <f>'Výdaje kapitol celkem'!D14</f>
        <v>2496028.0000000009</v>
      </c>
      <c r="F93" s="527">
        <v>2598873.6000000015</v>
      </c>
      <c r="G93" s="527">
        <v>2598873.6000000015</v>
      </c>
      <c r="H93" s="527">
        <f>'Výdaje kapitol celkem'!G14</f>
        <v>2336268.0000000009</v>
      </c>
      <c r="I93" s="527">
        <f>'Výdaje kapitol celkem'!H14</f>
        <v>2403180</v>
      </c>
      <c r="J93" s="656"/>
      <c r="K93" s="657"/>
      <c r="L93" s="658"/>
      <c r="M93" s="659"/>
    </row>
    <row r="94" spans="1:15" ht="18" hidden="1" customHeight="1" outlineLevel="1" x14ac:dyDescent="0.25">
      <c r="A94" s="446"/>
      <c r="B94" s="661" t="s">
        <v>98</v>
      </c>
      <c r="C94" s="451">
        <v>5038</v>
      </c>
      <c r="D94" s="662">
        <f>'Výdaje kapitol celkem'!C15</f>
        <v>104468.7</v>
      </c>
      <c r="E94" s="527">
        <f>'Výdaje kapitol celkem'!D15</f>
        <v>115558.79999999999</v>
      </c>
      <c r="F94" s="527">
        <v>120908.92799999999</v>
      </c>
      <c r="G94" s="527">
        <v>120908.92799999999</v>
      </c>
      <c r="H94" s="527">
        <f>'Výdaje kapitol celkem'!G15</f>
        <v>107352</v>
      </c>
      <c r="I94" s="527">
        <f>'Výdaje kapitol celkem'!H15</f>
        <v>112148.40000000001</v>
      </c>
      <c r="J94" s="656"/>
      <c r="K94" s="657"/>
      <c r="L94" s="658"/>
      <c r="M94" s="659"/>
    </row>
    <row r="95" spans="1:15" hidden="1" outlineLevel="1" x14ac:dyDescent="0.3">
      <c r="A95" s="446"/>
      <c r="B95" s="661"/>
      <c r="C95" s="451"/>
      <c r="D95" s="641"/>
      <c r="E95" s="450"/>
      <c r="F95" s="450"/>
      <c r="G95" s="450"/>
      <c r="H95" s="527"/>
      <c r="I95" s="527"/>
      <c r="J95" s="656"/>
      <c r="K95" s="657"/>
      <c r="L95" s="658"/>
      <c r="M95" s="659"/>
    </row>
    <row r="96" spans="1:15" s="652" customFormat="1" collapsed="1" x14ac:dyDescent="0.3">
      <c r="A96" s="526"/>
      <c r="B96" s="692" t="s">
        <v>281</v>
      </c>
      <c r="C96" s="693"/>
      <c r="D96" s="694" t="e">
        <f>SUM(D97:D133)</f>
        <v>#REF!</v>
      </c>
      <c r="E96" s="695">
        <f>SUM(E97:E133)</f>
        <v>82953818.303800002</v>
      </c>
      <c r="F96" s="695">
        <v>90336108.750400007</v>
      </c>
      <c r="G96" s="695">
        <v>88714408.750400007</v>
      </c>
      <c r="H96" s="695">
        <f>SUM(H97:H133)</f>
        <v>83133686.750400007</v>
      </c>
      <c r="I96" s="695">
        <f>SUM(I97:I133)</f>
        <v>86905119.473499998</v>
      </c>
      <c r="J96" s="648"/>
      <c r="K96" s="657"/>
      <c r="L96" s="658"/>
      <c r="M96" s="659"/>
      <c r="N96" s="678"/>
      <c r="O96" s="678"/>
    </row>
    <row r="97" spans="1:14" ht="18" hidden="1" customHeight="1" outlineLevel="1" x14ac:dyDescent="0.3">
      <c r="A97" s="446"/>
      <c r="B97" s="661" t="s">
        <v>100</v>
      </c>
      <c r="C97" s="451">
        <v>5178</v>
      </c>
      <c r="D97" s="641"/>
      <c r="E97" s="451">
        <v>0</v>
      </c>
      <c r="F97" s="451">
        <v>0</v>
      </c>
      <c r="G97" s="451">
        <v>0</v>
      </c>
      <c r="H97" s="527">
        <f>'Výdaje kapitol celkem'!L17</f>
        <v>0</v>
      </c>
      <c r="I97" s="527">
        <f>'Výdaje kapitol celkem'!M17</f>
        <v>0</v>
      </c>
      <c r="J97" s="656"/>
      <c r="K97" s="657"/>
      <c r="L97" s="658"/>
      <c r="M97" s="659"/>
    </row>
    <row r="98" spans="1:14" ht="18" hidden="1" customHeight="1" outlineLevel="1" x14ac:dyDescent="0.3">
      <c r="A98" s="446"/>
      <c r="B98" s="661" t="s">
        <v>101</v>
      </c>
      <c r="C98" s="451">
        <v>5132</v>
      </c>
      <c r="D98" s="641"/>
      <c r="E98" s="451">
        <v>0</v>
      </c>
      <c r="F98" s="451">
        <v>0</v>
      </c>
      <c r="G98" s="451">
        <v>0</v>
      </c>
      <c r="H98" s="527">
        <f>'Výdaje kapitol celkem'!L18</f>
        <v>0</v>
      </c>
      <c r="I98" s="527">
        <f>'Výdaje kapitol celkem'!M18</f>
        <v>0</v>
      </c>
      <c r="J98" s="656"/>
      <c r="K98" s="657"/>
      <c r="L98" s="658"/>
      <c r="M98" s="659"/>
    </row>
    <row r="99" spans="1:14" ht="18" hidden="1" customHeight="1" outlineLevel="1" x14ac:dyDescent="0.25">
      <c r="A99" s="446"/>
      <c r="B99" s="661" t="s">
        <v>102</v>
      </c>
      <c r="C99" s="451">
        <v>5134</v>
      </c>
      <c r="D99" s="662">
        <f>'Výdaje kapitol celkem'!C19</f>
        <v>156000</v>
      </c>
      <c r="E99" s="527">
        <f>'Výdaje kapitol celkem'!D19</f>
        <v>140000</v>
      </c>
      <c r="F99" s="527">
        <v>225000</v>
      </c>
      <c r="G99" s="527">
        <v>225000</v>
      </c>
      <c r="H99" s="527">
        <f>'Výdaje kapitol celkem'!G19</f>
        <v>225000</v>
      </c>
      <c r="I99" s="527">
        <f>'Výdaje kapitol celkem'!H19</f>
        <v>195000</v>
      </c>
      <c r="J99" s="656"/>
      <c r="K99" s="657"/>
      <c r="L99" s="658"/>
      <c r="M99" s="659"/>
    </row>
    <row r="100" spans="1:14" ht="18" hidden="1" customHeight="1" outlineLevel="1" x14ac:dyDescent="0.25">
      <c r="A100" s="446"/>
      <c r="B100" s="661" t="s">
        <v>103</v>
      </c>
      <c r="C100" s="451">
        <v>5136</v>
      </c>
      <c r="D100" s="662">
        <f>'Výdaje kapitol celkem'!C20</f>
        <v>261000</v>
      </c>
      <c r="E100" s="527">
        <f>'Výdaje kapitol celkem'!D20</f>
        <v>231000</v>
      </c>
      <c r="F100" s="527">
        <v>213000</v>
      </c>
      <c r="G100" s="527">
        <v>213000</v>
      </c>
      <c r="H100" s="527">
        <f>'Výdaje kapitol celkem'!G20</f>
        <v>213000</v>
      </c>
      <c r="I100" s="527">
        <f>'Výdaje kapitol celkem'!H20</f>
        <v>263000</v>
      </c>
      <c r="J100" s="656"/>
      <c r="K100" s="657"/>
      <c r="L100" s="658"/>
      <c r="M100" s="659"/>
    </row>
    <row r="101" spans="1:14" ht="15.75" hidden="1" outlineLevel="1" x14ac:dyDescent="0.25">
      <c r="A101" s="683"/>
      <c r="B101" s="684" t="s">
        <v>104</v>
      </c>
      <c r="C101" s="685">
        <v>5137</v>
      </c>
      <c r="D101" s="686">
        <f>'Výdaje kapitol celkem'!C21</f>
        <v>1980000</v>
      </c>
      <c r="E101" s="687">
        <f>'Výdaje kapitol celkem'!D21</f>
        <v>1326640</v>
      </c>
      <c r="F101" s="687">
        <v>1275000</v>
      </c>
      <c r="G101" s="687">
        <v>1310000</v>
      </c>
      <c r="H101" s="687">
        <f>'Výdaje kapitol celkem'!G21</f>
        <v>1160000</v>
      </c>
      <c r="I101" s="687">
        <f>'Výdaje kapitol celkem'!H21</f>
        <v>1495000</v>
      </c>
      <c r="J101" s="690"/>
      <c r="K101" s="657"/>
      <c r="L101" s="658"/>
      <c r="M101" s="659" t="s">
        <v>1746</v>
      </c>
    </row>
    <row r="102" spans="1:14" ht="18" hidden="1" customHeight="1" outlineLevel="1" x14ac:dyDescent="0.25">
      <c r="A102" s="446"/>
      <c r="B102" s="661" t="s">
        <v>105</v>
      </c>
      <c r="C102" s="451">
        <v>5139</v>
      </c>
      <c r="D102" s="662">
        <f>'Výdaje kapitol celkem'!C22</f>
        <v>3648101</v>
      </c>
      <c r="E102" s="527">
        <f>'Výdaje kapitol celkem'!D22</f>
        <v>1532905</v>
      </c>
      <c r="F102" s="527">
        <v>1824000</v>
      </c>
      <c r="G102" s="527">
        <v>1724000</v>
      </c>
      <c r="H102" s="527">
        <f>'Výdaje kapitol celkem'!G22</f>
        <v>1724000</v>
      </c>
      <c r="I102" s="527">
        <f>'Výdaje kapitol celkem'!H22</f>
        <v>1704000</v>
      </c>
      <c r="J102" s="656"/>
      <c r="K102" s="657"/>
      <c r="L102" s="658"/>
      <c r="M102" s="659" t="s">
        <v>1965</v>
      </c>
    </row>
    <row r="103" spans="1:14" ht="18" hidden="1" customHeight="1" outlineLevel="1" x14ac:dyDescent="0.25">
      <c r="A103" s="446"/>
      <c r="B103" s="661" t="s">
        <v>106</v>
      </c>
      <c r="C103" s="451">
        <v>5151</v>
      </c>
      <c r="D103" s="662">
        <f>'Výdaje kapitol celkem'!C23</f>
        <v>673000</v>
      </c>
      <c r="E103" s="527">
        <f>'Výdaje kapitol celkem'!D23</f>
        <v>723000</v>
      </c>
      <c r="F103" s="527">
        <v>688000</v>
      </c>
      <c r="G103" s="527">
        <v>688000</v>
      </c>
      <c r="H103" s="527">
        <f>'Výdaje kapitol celkem'!G23</f>
        <v>688000</v>
      </c>
      <c r="I103" s="527">
        <f>'Výdaje kapitol celkem'!H23</f>
        <v>688000</v>
      </c>
      <c r="J103" s="656"/>
      <c r="K103" s="657"/>
      <c r="L103" s="658"/>
      <c r="M103" s="659"/>
    </row>
    <row r="104" spans="1:14" ht="18" hidden="1" customHeight="1" outlineLevel="1" x14ac:dyDescent="0.25">
      <c r="A104" s="446"/>
      <c r="B104" s="661" t="s">
        <v>107</v>
      </c>
      <c r="C104" s="451">
        <v>5153</v>
      </c>
      <c r="D104" s="662">
        <f>'Výdaje kapitol celkem'!C24</f>
        <v>2955000</v>
      </c>
      <c r="E104" s="527">
        <f>'Výdaje kapitol celkem'!D24</f>
        <v>2955000</v>
      </c>
      <c r="F104" s="527">
        <v>2955000</v>
      </c>
      <c r="G104" s="527">
        <v>2955000</v>
      </c>
      <c r="H104" s="527">
        <f>'Výdaje kapitol celkem'!G24</f>
        <v>2955000</v>
      </c>
      <c r="I104" s="527">
        <f>'Výdaje kapitol celkem'!H24</f>
        <v>2955000</v>
      </c>
      <c r="J104" s="656"/>
      <c r="K104" s="657"/>
      <c r="L104" s="658"/>
      <c r="M104" s="659"/>
    </row>
    <row r="105" spans="1:14" ht="18" hidden="1" customHeight="1" outlineLevel="1" x14ac:dyDescent="0.25">
      <c r="A105" s="446"/>
      <c r="B105" s="661" t="s">
        <v>108</v>
      </c>
      <c r="C105" s="451">
        <v>5154</v>
      </c>
      <c r="D105" s="662">
        <f>'Výdaje kapitol celkem'!C25</f>
        <v>2462600</v>
      </c>
      <c r="E105" s="527">
        <f>'Výdaje kapitol celkem'!D25</f>
        <v>3239000</v>
      </c>
      <c r="F105" s="527">
        <v>3309000</v>
      </c>
      <c r="G105" s="527">
        <v>3309000</v>
      </c>
      <c r="H105" s="527">
        <f>'Výdaje kapitol celkem'!G25</f>
        <v>3319000</v>
      </c>
      <c r="I105" s="527">
        <f>'Výdaje kapitol celkem'!H25</f>
        <v>3336000</v>
      </c>
      <c r="J105" s="656"/>
      <c r="K105" s="657"/>
      <c r="L105" s="658"/>
      <c r="M105" s="659"/>
    </row>
    <row r="106" spans="1:14" ht="18" hidden="1" customHeight="1" outlineLevel="1" x14ac:dyDescent="0.25">
      <c r="A106" s="446"/>
      <c r="B106" s="661" t="s">
        <v>109</v>
      </c>
      <c r="C106" s="451">
        <v>5156</v>
      </c>
      <c r="D106" s="662">
        <f>'Výdaje kapitol celkem'!C26</f>
        <v>400000</v>
      </c>
      <c r="E106" s="527">
        <f>'Výdaje kapitol celkem'!D26</f>
        <v>362000</v>
      </c>
      <c r="F106" s="527">
        <v>300000</v>
      </c>
      <c r="G106" s="527">
        <v>350000</v>
      </c>
      <c r="H106" s="527">
        <f>'Výdaje kapitol celkem'!G26</f>
        <v>350000</v>
      </c>
      <c r="I106" s="527">
        <f>'Výdaje kapitol celkem'!H26</f>
        <v>350000</v>
      </c>
      <c r="J106" s="656"/>
      <c r="K106" s="657"/>
      <c r="L106" s="658"/>
      <c r="M106" s="659"/>
    </row>
    <row r="107" spans="1:14" ht="18" hidden="1" customHeight="1" outlineLevel="1" x14ac:dyDescent="0.25">
      <c r="A107" s="446"/>
      <c r="B107" s="661" t="s">
        <v>110</v>
      </c>
      <c r="C107" s="451">
        <v>5161</v>
      </c>
      <c r="D107" s="662">
        <f>'Výdaje kapitol celkem'!C27</f>
        <v>648000</v>
      </c>
      <c r="E107" s="527">
        <f>'Výdaje kapitol celkem'!D27</f>
        <v>648000</v>
      </c>
      <c r="F107" s="527">
        <v>648000</v>
      </c>
      <c r="G107" s="527">
        <v>648000</v>
      </c>
      <c r="H107" s="527">
        <f>'Výdaje kapitol celkem'!G27</f>
        <v>648000</v>
      </c>
      <c r="I107" s="527">
        <f>'Výdaje kapitol celkem'!H27</f>
        <v>645000</v>
      </c>
      <c r="J107" s="656"/>
      <c r="K107" s="657"/>
      <c r="L107" s="658"/>
      <c r="M107" s="659"/>
    </row>
    <row r="108" spans="1:14" ht="18" hidden="1" customHeight="1" outlineLevel="1" x14ac:dyDescent="0.25">
      <c r="A108" s="446"/>
      <c r="B108" s="661" t="s">
        <v>111</v>
      </c>
      <c r="C108" s="451">
        <v>5162</v>
      </c>
      <c r="D108" s="662">
        <f>'Výdaje kapitol celkem'!C28</f>
        <v>515000</v>
      </c>
      <c r="E108" s="527">
        <f>'Výdaje kapitol celkem'!D28</f>
        <v>520000</v>
      </c>
      <c r="F108" s="527">
        <v>530000</v>
      </c>
      <c r="G108" s="527">
        <v>540000</v>
      </c>
      <c r="H108" s="527">
        <f>'Výdaje kapitol celkem'!G28</f>
        <v>540000</v>
      </c>
      <c r="I108" s="527">
        <f>'Výdaje kapitol celkem'!H28</f>
        <v>556000</v>
      </c>
      <c r="J108" s="656"/>
      <c r="K108" s="657"/>
      <c r="L108" s="658"/>
      <c r="M108" s="659"/>
    </row>
    <row r="109" spans="1:14" ht="18" hidden="1" customHeight="1" outlineLevel="1" x14ac:dyDescent="0.25">
      <c r="A109" s="446"/>
      <c r="B109" s="661" t="s">
        <v>112</v>
      </c>
      <c r="C109" s="451">
        <v>5163</v>
      </c>
      <c r="D109" s="662">
        <f>'Výdaje kapitol celkem'!C29</f>
        <v>752000</v>
      </c>
      <c r="E109" s="527">
        <f>'Výdaje kapitol celkem'!D29</f>
        <v>746000</v>
      </c>
      <c r="F109" s="527">
        <v>746000</v>
      </c>
      <c r="G109" s="527">
        <v>746000</v>
      </c>
      <c r="H109" s="527">
        <f>'Výdaje kapitol celkem'!G29</f>
        <v>672310</v>
      </c>
      <c r="I109" s="527">
        <f>'Výdaje kapitol celkem'!H29</f>
        <v>650000</v>
      </c>
      <c r="J109" s="656"/>
      <c r="K109" s="657"/>
      <c r="L109" s="658"/>
      <c r="M109" s="659"/>
    </row>
    <row r="110" spans="1:14" ht="18" hidden="1" customHeight="1" outlineLevel="1" x14ac:dyDescent="0.25">
      <c r="A110" s="446"/>
      <c r="B110" s="661" t="s">
        <v>113</v>
      </c>
      <c r="C110" s="451">
        <v>5164</v>
      </c>
      <c r="D110" s="662">
        <f>'Výdaje kapitol celkem'!C30</f>
        <v>3730406</v>
      </c>
      <c r="E110" s="527">
        <f>'Výdaje kapitol celkem'!D30</f>
        <v>2295420</v>
      </c>
      <c r="F110" s="527">
        <v>2366198</v>
      </c>
      <c r="G110" s="527">
        <v>2366198</v>
      </c>
      <c r="H110" s="527">
        <f>'Výdaje kapitol celkem'!G30</f>
        <v>2232198</v>
      </c>
      <c r="I110" s="527">
        <f>'Výdaje kapitol celkem'!H30</f>
        <v>1538438</v>
      </c>
      <c r="J110" s="656"/>
      <c r="K110" s="657"/>
      <c r="L110" s="658"/>
      <c r="M110" s="659"/>
      <c r="N110" s="697"/>
    </row>
    <row r="111" spans="1:14" ht="18" hidden="1" customHeight="1" outlineLevel="1" x14ac:dyDescent="0.25">
      <c r="A111" s="446"/>
      <c r="B111" s="661" t="s">
        <v>114</v>
      </c>
      <c r="C111" s="451">
        <v>5166</v>
      </c>
      <c r="D111" s="662">
        <f>'Výdaje kapitol celkem'!C31</f>
        <v>650000</v>
      </c>
      <c r="E111" s="527">
        <f>'Výdaje kapitol celkem'!D31</f>
        <v>700000</v>
      </c>
      <c r="F111" s="527">
        <v>700000</v>
      </c>
      <c r="G111" s="527">
        <v>700000</v>
      </c>
      <c r="H111" s="527">
        <f>'Výdaje kapitol celkem'!G31</f>
        <v>600000</v>
      </c>
      <c r="I111" s="527">
        <f>'Výdaje kapitol celkem'!H31</f>
        <v>600000</v>
      </c>
      <c r="J111" s="656"/>
      <c r="K111" s="657"/>
      <c r="L111" s="658"/>
      <c r="M111" s="659"/>
    </row>
    <row r="112" spans="1:14" ht="18" hidden="1" customHeight="1" outlineLevel="1" x14ac:dyDescent="0.25">
      <c r="A112" s="446"/>
      <c r="B112" s="661" t="s">
        <v>115</v>
      </c>
      <c r="C112" s="451">
        <v>5167</v>
      </c>
      <c r="D112" s="662">
        <f>'Výdaje kapitol celkem'!C32</f>
        <v>328000</v>
      </c>
      <c r="E112" s="527">
        <f>'Výdaje kapitol celkem'!D32</f>
        <v>378000</v>
      </c>
      <c r="F112" s="527">
        <v>375000</v>
      </c>
      <c r="G112" s="527">
        <v>388000</v>
      </c>
      <c r="H112" s="527">
        <f>'Výdaje kapitol celkem'!G32</f>
        <v>273000</v>
      </c>
      <c r="I112" s="527">
        <f>'Výdaje kapitol celkem'!H32</f>
        <v>388000</v>
      </c>
      <c r="J112" s="656"/>
      <c r="K112" s="657"/>
      <c r="L112" s="658"/>
      <c r="M112" s="659"/>
    </row>
    <row r="113" spans="1:14" ht="18" hidden="1" customHeight="1" outlineLevel="1" x14ac:dyDescent="0.25">
      <c r="A113" s="446"/>
      <c r="B113" s="661" t="s">
        <v>116</v>
      </c>
      <c r="C113" s="451">
        <v>5168</v>
      </c>
      <c r="D113" s="662">
        <f>'Výdaje kapitol celkem'!C33</f>
        <v>515000</v>
      </c>
      <c r="E113" s="527">
        <f>'Výdaje kapitol celkem'!D33</f>
        <v>315000</v>
      </c>
      <c r="F113" s="527">
        <v>415000</v>
      </c>
      <c r="G113" s="527">
        <v>415000</v>
      </c>
      <c r="H113" s="527">
        <f>'Výdaje kapitol celkem'!G33</f>
        <v>415000</v>
      </c>
      <c r="I113" s="527">
        <f>'Výdaje kapitol celkem'!H33</f>
        <v>470000</v>
      </c>
      <c r="J113" s="656"/>
      <c r="K113" s="657"/>
      <c r="L113" s="658"/>
      <c r="M113" s="659"/>
    </row>
    <row r="114" spans="1:14" ht="15.75" hidden="1" outlineLevel="1" x14ac:dyDescent="0.25">
      <c r="A114" s="683"/>
      <c r="B114" s="684" t="s">
        <v>117</v>
      </c>
      <c r="C114" s="685">
        <v>5169</v>
      </c>
      <c r="D114" s="686">
        <f>'Výdaje kapitol celkem'!C34</f>
        <v>19182600</v>
      </c>
      <c r="E114" s="687">
        <f>'Výdaje kapitol celkem'!D34</f>
        <v>17553923</v>
      </c>
      <c r="F114" s="687">
        <v>16592612</v>
      </c>
      <c r="G114" s="687">
        <v>16706912</v>
      </c>
      <c r="H114" s="687">
        <f>'Výdaje kapitol celkem'!G34</f>
        <v>15785912</v>
      </c>
      <c r="I114" s="687">
        <f>'Výdaje kapitol celkem'!H34</f>
        <v>15609612</v>
      </c>
      <c r="J114" s="690"/>
      <c r="K114" s="657"/>
      <c r="L114" s="658"/>
      <c r="M114" s="659" t="s">
        <v>1706</v>
      </c>
      <c r="N114" s="697"/>
    </row>
    <row r="115" spans="1:14" s="689" customFormat="1" ht="15.75" hidden="1" outlineLevel="1" x14ac:dyDescent="0.25">
      <c r="A115" s="683"/>
      <c r="B115" s="684" t="s">
        <v>118</v>
      </c>
      <c r="C115" s="685">
        <v>5171</v>
      </c>
      <c r="D115" s="686">
        <f>'Výdaje kapitol celkem'!C35</f>
        <v>14656000</v>
      </c>
      <c r="E115" s="687">
        <f>'Výdaje kapitol celkem'!D35</f>
        <v>9536265</v>
      </c>
      <c r="F115" s="687">
        <v>9333500</v>
      </c>
      <c r="G115" s="687">
        <v>9333500</v>
      </c>
      <c r="H115" s="687">
        <f>'Výdaje kapitol celkem'!G35</f>
        <v>8023500</v>
      </c>
      <c r="I115" s="687">
        <f>'Výdaje kapitol celkem'!H35</f>
        <v>12902480</v>
      </c>
      <c r="J115" s="690"/>
      <c r="K115" s="657"/>
      <c r="L115" s="658"/>
      <c r="M115" s="659" t="s">
        <v>1707</v>
      </c>
    </row>
    <row r="116" spans="1:14" ht="18" hidden="1" customHeight="1" outlineLevel="1" x14ac:dyDescent="0.25">
      <c r="A116" s="446"/>
      <c r="B116" s="661" t="s">
        <v>119</v>
      </c>
      <c r="C116" s="451">
        <v>5172</v>
      </c>
      <c r="D116" s="662">
        <f>'Výdaje kapitol celkem'!C36</f>
        <v>1341000</v>
      </c>
      <c r="E116" s="527">
        <f>'Výdaje kapitol celkem'!D36</f>
        <v>1892000</v>
      </c>
      <c r="F116" s="527">
        <v>2046000</v>
      </c>
      <c r="G116" s="527">
        <v>2052000</v>
      </c>
      <c r="H116" s="527">
        <f>'Výdaje kapitol celkem'!G36</f>
        <v>1987000</v>
      </c>
      <c r="I116" s="527">
        <f>'Výdaje kapitol celkem'!H36</f>
        <v>3011000</v>
      </c>
      <c r="J116" s="656"/>
      <c r="K116" s="657"/>
      <c r="L116" s="658"/>
      <c r="M116" s="659"/>
    </row>
    <row r="117" spans="1:14" ht="18" hidden="1" customHeight="1" outlineLevel="1" x14ac:dyDescent="0.25">
      <c r="A117" s="446"/>
      <c r="B117" s="661" t="s">
        <v>120</v>
      </c>
      <c r="C117" s="451">
        <v>5173</v>
      </c>
      <c r="D117" s="662">
        <f>'Výdaje kapitol celkem'!C37</f>
        <v>77000</v>
      </c>
      <c r="E117" s="527">
        <f>'Výdaje kapitol celkem'!D37</f>
        <v>72000</v>
      </c>
      <c r="F117" s="527">
        <v>62000</v>
      </c>
      <c r="G117" s="527">
        <v>62000</v>
      </c>
      <c r="H117" s="527">
        <f>'Výdaje kapitol celkem'!G37</f>
        <v>62000</v>
      </c>
      <c r="I117" s="527">
        <f>'Výdaje kapitol celkem'!H37</f>
        <v>62000</v>
      </c>
      <c r="J117" s="656"/>
      <c r="K117" s="657"/>
      <c r="L117" s="658"/>
      <c r="M117" s="659"/>
    </row>
    <row r="118" spans="1:14" ht="18" hidden="1" customHeight="1" outlineLevel="1" x14ac:dyDescent="0.25">
      <c r="A118" s="446"/>
      <c r="B118" s="661" t="s">
        <v>121</v>
      </c>
      <c r="C118" s="451">
        <v>5175</v>
      </c>
      <c r="D118" s="662">
        <f>'Výdaje kapitol celkem'!C38</f>
        <v>361553</v>
      </c>
      <c r="E118" s="527">
        <f>'Výdaje kapitol celkem'!D38</f>
        <v>357430</v>
      </c>
      <c r="F118" s="527">
        <v>353000</v>
      </c>
      <c r="G118" s="527">
        <v>353000</v>
      </c>
      <c r="H118" s="527">
        <f>'Výdaje kapitol celkem'!G38</f>
        <v>313000</v>
      </c>
      <c r="I118" s="527">
        <f>'Výdaje kapitol celkem'!H38</f>
        <v>353000</v>
      </c>
      <c r="J118" s="656"/>
      <c r="K118" s="657"/>
      <c r="L118" s="658"/>
      <c r="M118" s="659"/>
    </row>
    <row r="119" spans="1:14" ht="18" hidden="1" customHeight="1" outlineLevel="1" x14ac:dyDescent="0.25">
      <c r="A119" s="446"/>
      <c r="B119" s="661" t="s">
        <v>122</v>
      </c>
      <c r="C119" s="451">
        <v>5179</v>
      </c>
      <c r="D119" s="662">
        <f>'Výdaje kapitol celkem'!C39</f>
        <v>0</v>
      </c>
      <c r="E119" s="527">
        <v>0</v>
      </c>
      <c r="F119" s="527">
        <v>0</v>
      </c>
      <c r="G119" s="527">
        <v>0</v>
      </c>
      <c r="H119" s="527">
        <f>'Výdaje kapitol celkem'!G39</f>
        <v>0</v>
      </c>
      <c r="I119" s="527">
        <f>'Výdaje kapitol celkem'!H39</f>
        <v>0</v>
      </c>
      <c r="J119" s="656"/>
      <c r="K119" s="657"/>
      <c r="L119" s="658"/>
      <c r="M119" s="659"/>
    </row>
    <row r="120" spans="1:14" ht="18" hidden="1" customHeight="1" outlineLevel="1" x14ac:dyDescent="0.25">
      <c r="A120" s="446"/>
      <c r="B120" s="661" t="s">
        <v>415</v>
      </c>
      <c r="C120" s="451">
        <v>5192</v>
      </c>
      <c r="D120" s="662">
        <f>'Výdaje kapitol celkem'!C40</f>
        <v>135000</v>
      </c>
      <c r="E120" s="527">
        <v>0</v>
      </c>
      <c r="F120" s="527">
        <v>0</v>
      </c>
      <c r="G120" s="527">
        <v>0</v>
      </c>
      <c r="H120" s="527">
        <f>'Výdaje kapitol celkem'!G40</f>
        <v>0</v>
      </c>
      <c r="I120" s="527">
        <f>'Výdaje kapitol celkem'!H40</f>
        <v>0</v>
      </c>
      <c r="J120" s="656"/>
      <c r="K120" s="657"/>
      <c r="L120" s="658"/>
      <c r="M120" s="659"/>
    </row>
    <row r="121" spans="1:14" ht="18" hidden="1" customHeight="1" outlineLevel="1" x14ac:dyDescent="0.25">
      <c r="A121" s="446"/>
      <c r="B121" s="661" t="s">
        <v>123</v>
      </c>
      <c r="C121" s="451">
        <v>5193</v>
      </c>
      <c r="D121" s="662">
        <f>'Výdaje kapitol celkem'!C41</f>
        <v>1145000</v>
      </c>
      <c r="E121" s="527">
        <f>'Výdaje kapitol celkem'!D41</f>
        <v>1700000</v>
      </c>
      <c r="F121" s="527">
        <v>2000000</v>
      </c>
      <c r="G121" s="527">
        <v>2000000</v>
      </c>
      <c r="H121" s="527">
        <f>'Výdaje kapitol celkem'!G41</f>
        <v>2000000</v>
      </c>
      <c r="I121" s="527">
        <f>'Výdaje kapitol celkem'!H41</f>
        <v>2000000</v>
      </c>
      <c r="J121" s="656"/>
      <c r="K121" s="657"/>
      <c r="L121" s="658"/>
      <c r="M121" s="659"/>
    </row>
    <row r="122" spans="1:14" ht="18" hidden="1" customHeight="1" outlineLevel="1" x14ac:dyDescent="0.25">
      <c r="A122" s="446"/>
      <c r="B122" s="661" t="s">
        <v>124</v>
      </c>
      <c r="C122" s="451">
        <v>5194</v>
      </c>
      <c r="D122" s="662">
        <f>'Výdaje kapitol celkem'!C42</f>
        <v>270000</v>
      </c>
      <c r="E122" s="527">
        <f>'Výdaje kapitol celkem'!D42</f>
        <v>295000</v>
      </c>
      <c r="F122" s="527">
        <v>260000</v>
      </c>
      <c r="G122" s="527">
        <v>260000</v>
      </c>
      <c r="H122" s="527">
        <f>'Výdaje kapitol celkem'!G42</f>
        <v>235000</v>
      </c>
      <c r="I122" s="527">
        <f>'Výdaje kapitol celkem'!H42</f>
        <v>260000</v>
      </c>
      <c r="J122" s="656"/>
      <c r="K122" s="657"/>
      <c r="L122" s="658"/>
      <c r="M122" s="696"/>
    </row>
    <row r="123" spans="1:14" ht="18" hidden="1" customHeight="1" outlineLevel="1" x14ac:dyDescent="0.25">
      <c r="A123" s="446"/>
      <c r="B123" s="661" t="s">
        <v>125</v>
      </c>
      <c r="C123" s="451">
        <v>5329</v>
      </c>
      <c r="D123" s="662">
        <f>'Výdaje kapitol celkem'!C43</f>
        <v>869500</v>
      </c>
      <c r="E123" s="527">
        <f>'Výdaje kapitol celkem'!D43</f>
        <v>869500</v>
      </c>
      <c r="F123" s="527">
        <v>869500</v>
      </c>
      <c r="G123" s="527">
        <v>869500</v>
      </c>
      <c r="H123" s="527">
        <f>'Výdaje kapitol celkem'!G43</f>
        <v>869500</v>
      </c>
      <c r="I123" s="527">
        <f>'Výdaje kapitol celkem'!H43</f>
        <v>885140</v>
      </c>
      <c r="J123" s="656"/>
      <c r="K123" s="657"/>
      <c r="L123" s="658"/>
      <c r="M123" s="659"/>
    </row>
    <row r="124" spans="1:14" s="689" customFormat="1" ht="15.75" hidden="1" outlineLevel="1" x14ac:dyDescent="0.25">
      <c r="A124" s="683"/>
      <c r="B124" s="684" t="s">
        <v>126</v>
      </c>
      <c r="C124" s="685">
        <v>5331</v>
      </c>
      <c r="D124" s="686">
        <f>'Výdaje kapitol celkem'!C44</f>
        <v>21984703</v>
      </c>
      <c r="E124" s="687">
        <f>'Výdaje kapitol celkem'!D44</f>
        <v>26061437</v>
      </c>
      <c r="F124" s="687">
        <v>34609834.68</v>
      </c>
      <c r="G124" s="687">
        <v>34609834.68</v>
      </c>
      <c r="H124" s="687">
        <f>'Výdaje kapitol celkem'!G44</f>
        <v>31795302.68</v>
      </c>
      <c r="I124" s="687">
        <f>'Výdaje kapitol celkem'!H44</f>
        <v>29000000</v>
      </c>
      <c r="J124" s="690"/>
      <c r="K124" s="657"/>
      <c r="L124" s="658"/>
      <c r="M124" s="698" t="s">
        <v>1966</v>
      </c>
    </row>
    <row r="125" spans="1:14" ht="18" hidden="1" customHeight="1" outlineLevel="1" x14ac:dyDescent="0.25">
      <c r="A125" s="446"/>
      <c r="B125" s="661" t="s">
        <v>127</v>
      </c>
      <c r="C125" s="451">
        <v>5361</v>
      </c>
      <c r="D125" s="662">
        <f>'Výdaje kapitol celkem'!C45</f>
        <v>37000</v>
      </c>
      <c r="E125" s="527">
        <f>'Výdaje kapitol celkem'!D45</f>
        <v>35000</v>
      </c>
      <c r="F125" s="527">
        <v>40000</v>
      </c>
      <c r="G125" s="527">
        <v>40000</v>
      </c>
      <c r="H125" s="527">
        <f>'Výdaje kapitol celkem'!G45</f>
        <v>40000</v>
      </c>
      <c r="I125" s="527">
        <f>'Výdaje kapitol celkem'!H45</f>
        <v>40000</v>
      </c>
      <c r="J125" s="656"/>
      <c r="K125" s="657"/>
      <c r="L125" s="658"/>
      <c r="M125" s="659"/>
    </row>
    <row r="126" spans="1:14" ht="18" hidden="1" customHeight="1" outlineLevel="1" x14ac:dyDescent="0.25">
      <c r="A126" s="446"/>
      <c r="B126" s="661" t="s">
        <v>128</v>
      </c>
      <c r="C126" s="451">
        <v>5362</v>
      </c>
      <c r="D126" s="662">
        <f>'Výdaje kapitol celkem'!C46</f>
        <v>740000</v>
      </c>
      <c r="E126" s="527">
        <f>'Výdaje kapitol celkem'!D46</f>
        <v>3437000</v>
      </c>
      <c r="F126" s="527">
        <v>1437000</v>
      </c>
      <c r="G126" s="527">
        <v>437000</v>
      </c>
      <c r="H126" s="527">
        <f>'Výdaje kapitol celkem'!G46</f>
        <v>437000</v>
      </c>
      <c r="I126" s="527">
        <f>'Výdaje kapitol celkem'!H46</f>
        <v>1138000</v>
      </c>
      <c r="J126" s="656"/>
      <c r="K126" s="657"/>
      <c r="L126" s="658"/>
      <c r="M126" s="659"/>
    </row>
    <row r="127" spans="1:14" ht="18" hidden="1" customHeight="1" outlineLevel="1" x14ac:dyDescent="0.25">
      <c r="A127" s="446"/>
      <c r="B127" s="661" t="s">
        <v>1094</v>
      </c>
      <c r="C127" s="451">
        <v>5363</v>
      </c>
      <c r="D127" s="662"/>
      <c r="E127" s="527">
        <f>'Výdaje kapitol celkem'!D47</f>
        <v>0</v>
      </c>
      <c r="F127" s="527">
        <v>750000</v>
      </c>
      <c r="G127" s="527">
        <v>0</v>
      </c>
      <c r="H127" s="527">
        <f>'Výdaje kapitol celkem'!G47</f>
        <v>0</v>
      </c>
      <c r="I127" s="527">
        <f>'Výdaje kapitol celkem'!H47</f>
        <v>80000</v>
      </c>
      <c r="J127" s="656"/>
      <c r="K127" s="657"/>
      <c r="L127" s="658"/>
      <c r="M127" s="659"/>
    </row>
    <row r="128" spans="1:14" ht="40.5" hidden="1" outlineLevel="1" x14ac:dyDescent="0.25">
      <c r="A128" s="446"/>
      <c r="B128" s="661" t="s">
        <v>129</v>
      </c>
      <c r="C128" s="451">
        <v>5492</v>
      </c>
      <c r="D128" s="662">
        <f>'Výdaje kapitol celkem'!C48</f>
        <v>1080000</v>
      </c>
      <c r="E128" s="527">
        <f>'Výdaje kapitol celkem'!D48</f>
        <v>380000</v>
      </c>
      <c r="F128" s="527">
        <v>970000</v>
      </c>
      <c r="G128" s="527">
        <v>970000</v>
      </c>
      <c r="H128" s="527">
        <f>'Výdaje kapitol celkem'!G48</f>
        <v>970000</v>
      </c>
      <c r="I128" s="527">
        <f>'Výdaje kapitol celkem'!H48</f>
        <v>1320000</v>
      </c>
      <c r="J128" s="656"/>
      <c r="K128" s="657"/>
      <c r="L128" s="658"/>
      <c r="M128" s="2178" t="s">
        <v>1967</v>
      </c>
    </row>
    <row r="129" spans="1:13" ht="18" hidden="1" customHeight="1" outlineLevel="1" x14ac:dyDescent="0.25">
      <c r="A129" s="446"/>
      <c r="B129" s="661" t="s">
        <v>972</v>
      </c>
      <c r="C129" s="451">
        <v>5499</v>
      </c>
      <c r="D129" s="662">
        <f>'Výdaje kapitol celkem'!C49</f>
        <v>1300000</v>
      </c>
      <c r="E129" s="527">
        <f>'Výdaje kapitol celkem'!D49</f>
        <v>1300000</v>
      </c>
      <c r="F129" s="527">
        <v>1300000</v>
      </c>
      <c r="G129" s="527">
        <v>1300000</v>
      </c>
      <c r="H129" s="527">
        <f>'Výdaje kapitol celkem'!G49</f>
        <v>1300000</v>
      </c>
      <c r="I129" s="527">
        <f>'Výdaje kapitol celkem'!H49</f>
        <v>1300000</v>
      </c>
      <c r="J129" s="656"/>
      <c r="K129" s="657"/>
      <c r="L129" s="658"/>
      <c r="M129" s="659"/>
    </row>
    <row r="130" spans="1:13" ht="18" hidden="1" customHeight="1" outlineLevel="1" x14ac:dyDescent="0.25">
      <c r="A130" s="446"/>
      <c r="B130" s="661" t="s">
        <v>131</v>
      </c>
      <c r="C130" s="451">
        <v>5222</v>
      </c>
      <c r="D130" s="662">
        <f>'Výdaje kapitol celkem'!C50</f>
        <v>1450000</v>
      </c>
      <c r="E130" s="527">
        <f>'Výdaje kapitol celkem'!D50</f>
        <v>900000</v>
      </c>
      <c r="F130" s="527">
        <v>1000000</v>
      </c>
      <c r="G130" s="527">
        <v>1000000</v>
      </c>
      <c r="H130" s="527">
        <f>'Výdaje kapitol celkem'!G50</f>
        <v>1000000</v>
      </c>
      <c r="I130" s="527">
        <f>'Výdaje kapitol celkem'!H50</f>
        <v>1000000</v>
      </c>
      <c r="J130" s="656"/>
      <c r="K130" s="657"/>
      <c r="L130" s="658"/>
      <c r="M130" s="659"/>
    </row>
    <row r="131" spans="1:13" ht="18" hidden="1" customHeight="1" outlineLevel="1" x14ac:dyDescent="0.25">
      <c r="A131" s="446"/>
      <c r="B131" s="661" t="s">
        <v>1055</v>
      </c>
      <c r="C131" s="451">
        <v>5903</v>
      </c>
      <c r="D131" s="662" t="e">
        <f>'Výdaje kapitol celkem'!#REF!</f>
        <v>#REF!</v>
      </c>
      <c r="E131" s="527">
        <f>'Výdaje kapitol celkem'!D51</f>
        <v>52650</v>
      </c>
      <c r="F131" s="527">
        <v>52435.245000000003</v>
      </c>
      <c r="G131" s="527">
        <v>52435.245000000003</v>
      </c>
      <c r="H131" s="527">
        <f>'Výdaje kapitol celkem'!G51</f>
        <v>52435.245000000003</v>
      </c>
      <c r="I131" s="527">
        <f>'Výdaje kapitol celkem'!H51</f>
        <v>51927.298500000004</v>
      </c>
      <c r="J131" s="656"/>
      <c r="K131" s="657"/>
      <c r="L131" s="658"/>
      <c r="M131" s="659"/>
    </row>
    <row r="132" spans="1:13" s="660" customFormat="1" ht="18" hidden="1" customHeight="1" outlineLevel="1" x14ac:dyDescent="0.25">
      <c r="A132" s="517"/>
      <c r="B132" s="653" t="s">
        <v>160</v>
      </c>
      <c r="C132" s="654">
        <v>5141</v>
      </c>
      <c r="D132" s="655">
        <f>'Výdaje kapitol celkem'!C53</f>
        <v>1736409.0776</v>
      </c>
      <c r="E132" s="656">
        <f>'Výdaje kapitol celkem'!D53</f>
        <v>2399648.3037999999</v>
      </c>
      <c r="F132" s="656">
        <v>2091028.8254</v>
      </c>
      <c r="G132" s="656">
        <v>2091028.8254</v>
      </c>
      <c r="H132" s="656">
        <f>'Výdaje kapitol celkem'!G53</f>
        <v>2248528.8254</v>
      </c>
      <c r="I132" s="656">
        <f>'Výdaje kapitol celkem'!H53</f>
        <v>2058522.1749999998</v>
      </c>
      <c r="J132" s="656"/>
      <c r="K132" s="670"/>
      <c r="L132" s="670"/>
      <c r="M132" s="659"/>
    </row>
    <row r="133" spans="1:13" ht="15.75" hidden="1" outlineLevel="1" x14ac:dyDescent="0.25">
      <c r="A133" s="446"/>
      <c r="B133" s="661" t="s">
        <v>973</v>
      </c>
      <c r="C133" s="451">
        <v>5144</v>
      </c>
      <c r="D133" s="662">
        <f>'Výdaje kapitol celkem'!C54</f>
        <v>479732</v>
      </c>
      <c r="E133" s="527">
        <f>'Výdaje kapitol celkem'!H54</f>
        <v>0</v>
      </c>
      <c r="F133" s="527">
        <v>0</v>
      </c>
      <c r="G133" s="527">
        <v>0</v>
      </c>
      <c r="H133" s="527">
        <f>'Výdaje kapitol celkem'!G54</f>
        <v>0</v>
      </c>
      <c r="I133" s="527">
        <f>'Výdaje kapitol celkem'!H54</f>
        <v>0</v>
      </c>
      <c r="J133" s="656"/>
      <c r="K133" s="657"/>
      <c r="L133" s="658"/>
      <c r="M133" s="659"/>
    </row>
    <row r="134" spans="1:13" s="652" customFormat="1" ht="17.25" collapsed="1" thickBot="1" x14ac:dyDescent="0.35">
      <c r="A134" s="644" t="s">
        <v>282</v>
      </c>
      <c r="B134" s="699" t="s">
        <v>283</v>
      </c>
      <c r="C134" s="645"/>
      <c r="D134" s="646">
        <f>SUM(D135:D145)</f>
        <v>116855076.96000001</v>
      </c>
      <c r="E134" s="647">
        <f>SUM(E135:E145)</f>
        <v>85054668</v>
      </c>
      <c r="F134" s="647">
        <v>22416896</v>
      </c>
      <c r="G134" s="647">
        <v>29636596</v>
      </c>
      <c r="H134" s="647">
        <f>SUM(H135:H145)</f>
        <v>48621169</v>
      </c>
      <c r="I134" s="647">
        <f>SUM(I135:I145)</f>
        <v>16196108.68</v>
      </c>
      <c r="J134" s="648"/>
      <c r="K134" s="657"/>
      <c r="L134" s="658"/>
      <c r="M134" s="659"/>
    </row>
    <row r="135" spans="1:13" ht="21" hidden="1" customHeight="1" outlineLevel="1" x14ac:dyDescent="0.3">
      <c r="A135" s="446"/>
      <c r="B135" s="661" t="s">
        <v>119</v>
      </c>
      <c r="C135" s="451">
        <v>6111</v>
      </c>
      <c r="D135" s="641"/>
      <c r="E135" s="451">
        <v>0</v>
      </c>
      <c r="F135" s="451">
        <v>0</v>
      </c>
      <c r="G135" s="451">
        <v>0</v>
      </c>
      <c r="H135" s="527">
        <f>'Výdaje kapitol celkem'!G57</f>
        <v>0</v>
      </c>
      <c r="I135" s="527">
        <f>'Výdaje kapitol celkem'!H57</f>
        <v>0</v>
      </c>
      <c r="J135" s="656"/>
      <c r="K135" s="657"/>
      <c r="L135" s="658"/>
      <c r="M135" s="659"/>
    </row>
    <row r="136" spans="1:13" s="689" customFormat="1" ht="15.75" hidden="1" outlineLevel="1" x14ac:dyDescent="0.25">
      <c r="A136" s="683"/>
      <c r="B136" s="684" t="s">
        <v>135</v>
      </c>
      <c r="C136" s="685">
        <v>6121</v>
      </c>
      <c r="D136" s="686">
        <f>'Výdaje kapitol celkem'!C58</f>
        <v>91630616.960000008</v>
      </c>
      <c r="E136" s="687">
        <f>'Výdaje kapitol celkem'!D58</f>
        <v>74979713</v>
      </c>
      <c r="F136" s="687">
        <v>15825000</v>
      </c>
      <c r="G136" s="687">
        <v>17209700</v>
      </c>
      <c r="H136" s="687">
        <f>'Výdaje kapitol celkem'!G58</f>
        <v>33275773</v>
      </c>
      <c r="I136" s="687">
        <f>'Výdaje kapitol celkem'!H58</f>
        <v>11331108.68</v>
      </c>
      <c r="J136" s="656"/>
      <c r="K136" s="657"/>
      <c r="L136" s="658"/>
      <c r="M136" s="659" t="s">
        <v>1708</v>
      </c>
    </row>
    <row r="137" spans="1:13" s="689" customFormat="1" ht="15.75" hidden="1" outlineLevel="1" x14ac:dyDescent="0.25">
      <c r="A137" s="683"/>
      <c r="B137" s="684" t="s">
        <v>136</v>
      </c>
      <c r="C137" s="685">
        <v>6121</v>
      </c>
      <c r="D137" s="662">
        <f>'Výdaje kapitol celkem'!C59</f>
        <v>7427535</v>
      </c>
      <c r="E137" s="527">
        <f>'Výdaje kapitol celkem'!D59</f>
        <v>3658396</v>
      </c>
      <c r="F137" s="527">
        <v>2919396</v>
      </c>
      <c r="G137" s="527">
        <v>2919396</v>
      </c>
      <c r="H137" s="527">
        <f>'Výdaje kapitol celkem'!G59</f>
        <v>2711396</v>
      </c>
      <c r="I137" s="527">
        <f>'Výdaje kapitol celkem'!H59</f>
        <v>1606000</v>
      </c>
      <c r="J137" s="656"/>
      <c r="K137" s="657"/>
      <c r="L137" s="658"/>
      <c r="M137" s="659" t="s">
        <v>1708</v>
      </c>
    </row>
    <row r="138" spans="1:13" ht="15.75" hidden="1" outlineLevel="1" x14ac:dyDescent="0.25">
      <c r="A138" s="683"/>
      <c r="B138" s="684" t="s">
        <v>137</v>
      </c>
      <c r="C138" s="685">
        <v>6122</v>
      </c>
      <c r="D138" s="686">
        <f>'Výdaje kapitol celkem'!C60</f>
        <v>85000</v>
      </c>
      <c r="E138" s="687">
        <f>+'Výdaje kapitol celkem'!D60</f>
        <v>240000</v>
      </c>
      <c r="F138" s="687">
        <v>423500</v>
      </c>
      <c r="G138" s="687">
        <v>423500</v>
      </c>
      <c r="H138" s="687">
        <f>'Výdaje kapitol celkem'!G60</f>
        <v>0</v>
      </c>
      <c r="I138" s="687">
        <f>'Výdaje kapitol celkem'!H60</f>
        <v>0</v>
      </c>
      <c r="J138" s="690"/>
      <c r="K138" s="657"/>
      <c r="L138" s="658"/>
      <c r="M138" s="659" t="s">
        <v>1708</v>
      </c>
    </row>
    <row r="139" spans="1:13" ht="18.75" hidden="1" customHeight="1" outlineLevel="1" x14ac:dyDescent="0.25">
      <c r="A139" s="446"/>
      <c r="B139" s="661" t="s">
        <v>138</v>
      </c>
      <c r="C139" s="451">
        <v>6123</v>
      </c>
      <c r="D139" s="662">
        <f>'Výdaje kapitol celkem'!C61</f>
        <v>0</v>
      </c>
      <c r="E139" s="527">
        <f>'Výdaje kapitol celkem'!D61</f>
        <v>0</v>
      </c>
      <c r="F139" s="527">
        <v>0</v>
      </c>
      <c r="G139" s="527">
        <v>0</v>
      </c>
      <c r="H139" s="527">
        <f>'Výdaje kapitol celkem'!G61</f>
        <v>0</v>
      </c>
      <c r="I139" s="527">
        <f>'Výdaje kapitol celkem'!H61</f>
        <v>0</v>
      </c>
      <c r="J139" s="656"/>
      <c r="K139" s="657"/>
      <c r="L139" s="658"/>
      <c r="M139" s="659" t="s">
        <v>1708</v>
      </c>
    </row>
    <row r="140" spans="1:13" ht="18.75" hidden="1" customHeight="1" outlineLevel="1" x14ac:dyDescent="0.25">
      <c r="A140" s="446"/>
      <c r="B140" s="661" t="s">
        <v>139</v>
      </c>
      <c r="C140" s="451">
        <v>6125</v>
      </c>
      <c r="D140" s="662">
        <f>'Výdaje kapitol celkem'!C62</f>
        <v>12292425</v>
      </c>
      <c r="E140" s="527">
        <f>'Výdaje kapitol celkem'!D62</f>
        <v>409000</v>
      </c>
      <c r="F140" s="527">
        <v>204000</v>
      </c>
      <c r="G140" s="527">
        <v>204000</v>
      </c>
      <c r="H140" s="527">
        <f>'Výdaje kapitol celkem'!G62</f>
        <v>204000</v>
      </c>
      <c r="I140" s="527">
        <f>'Výdaje kapitol celkem'!H62</f>
        <v>235000</v>
      </c>
      <c r="J140" s="656"/>
      <c r="K140" s="657"/>
      <c r="L140" s="658"/>
      <c r="M140" s="659"/>
    </row>
    <row r="141" spans="1:13" ht="18.75" hidden="1" customHeight="1" outlineLevel="1" x14ac:dyDescent="0.25">
      <c r="A141" s="446"/>
      <c r="B141" s="661" t="s">
        <v>140</v>
      </c>
      <c r="C141" s="451">
        <v>6129</v>
      </c>
      <c r="D141" s="662">
        <f>'Výdaje kapitol celkem'!C63</f>
        <v>0</v>
      </c>
      <c r="E141" s="527">
        <f>'Výdaje kapitol celkem'!D63</f>
        <v>0</v>
      </c>
      <c r="F141" s="527">
        <v>0</v>
      </c>
      <c r="G141" s="527">
        <v>0</v>
      </c>
      <c r="H141" s="527">
        <f>'Výdaje kapitol celkem'!G63</f>
        <v>0</v>
      </c>
      <c r="I141" s="527">
        <f>'Výdaje kapitol celkem'!H63</f>
        <v>0</v>
      </c>
      <c r="J141" s="656"/>
      <c r="K141" s="657"/>
      <c r="L141" s="658"/>
      <c r="M141" s="659"/>
    </row>
    <row r="142" spans="1:13" ht="18.75" hidden="1" customHeight="1" outlineLevel="1" x14ac:dyDescent="0.25">
      <c r="A142" s="446"/>
      <c r="B142" s="661" t="s">
        <v>141</v>
      </c>
      <c r="C142" s="451">
        <v>6130</v>
      </c>
      <c r="D142" s="662">
        <f>'Výdaje kapitol celkem'!C64</f>
        <v>334500</v>
      </c>
      <c r="E142" s="527">
        <f>'Výdaje kapitol celkem'!D64</f>
        <v>385680</v>
      </c>
      <c r="F142" s="527">
        <v>115000</v>
      </c>
      <c r="G142" s="527">
        <v>5950000</v>
      </c>
      <c r="H142" s="527">
        <f>'Výdaje kapitol celkem'!G64</f>
        <v>8450000</v>
      </c>
      <c r="I142" s="527">
        <f>'Výdaje kapitol celkem'!H64</f>
        <v>80000</v>
      </c>
      <c r="J142" s="656"/>
      <c r="K142" s="657"/>
      <c r="L142" s="658"/>
      <c r="M142" s="659"/>
    </row>
    <row r="143" spans="1:13" ht="18.75" hidden="1" customHeight="1" outlineLevel="1" x14ac:dyDescent="0.25">
      <c r="A143" s="446"/>
      <c r="B143" s="661" t="s">
        <v>1959</v>
      </c>
      <c r="C143" s="451">
        <v>6349</v>
      </c>
      <c r="D143" s="662"/>
      <c r="E143" s="527"/>
      <c r="F143" s="527"/>
      <c r="G143" s="527"/>
      <c r="H143" s="527"/>
      <c r="I143" s="527">
        <f>'Výdaje kapitol celkem'!H65</f>
        <v>0</v>
      </c>
      <c r="J143" s="656"/>
      <c r="K143" s="657"/>
      <c r="L143" s="658"/>
      <c r="M143" s="659"/>
    </row>
    <row r="144" spans="1:13" ht="18.75" hidden="1" customHeight="1" outlineLevel="1" x14ac:dyDescent="0.25">
      <c r="A144" s="446"/>
      <c r="B144" s="661" t="s">
        <v>347</v>
      </c>
      <c r="C144" s="451">
        <v>6351</v>
      </c>
      <c r="D144" s="662">
        <f>'Výdaje kapitol celkem'!C66</f>
        <v>3640000</v>
      </c>
      <c r="E144" s="527">
        <f>'Výdaje kapitol celkem'!D66</f>
        <v>5381879</v>
      </c>
      <c r="F144" s="527">
        <v>2930000</v>
      </c>
      <c r="G144" s="527">
        <v>2930000</v>
      </c>
      <c r="H144" s="527">
        <f>'Výdaje kapitol celkem'!G66</f>
        <v>3980000</v>
      </c>
      <c r="I144" s="527">
        <f>'Výdaje kapitol celkem'!H66</f>
        <v>2944000</v>
      </c>
      <c r="J144" s="656"/>
      <c r="K144" s="657"/>
      <c r="L144" s="658"/>
      <c r="M144" s="659" t="s">
        <v>1708</v>
      </c>
    </row>
    <row r="145" spans="1:13" ht="18.75" hidden="1" customHeight="1" outlineLevel="1" x14ac:dyDescent="0.25">
      <c r="A145" s="446" t="s">
        <v>691</v>
      </c>
      <c r="B145" s="661" t="s">
        <v>347</v>
      </c>
      <c r="C145" s="451">
        <v>6349</v>
      </c>
      <c r="D145" s="662">
        <f>'Výdaje kapitol celkem'!C68</f>
        <v>1445000</v>
      </c>
      <c r="E145" s="527">
        <v>0</v>
      </c>
      <c r="F145" s="527">
        <v>0</v>
      </c>
      <c r="G145" s="527">
        <v>0</v>
      </c>
      <c r="H145" s="527">
        <f>'Výdaje kapitol celkem'!G68</f>
        <v>0</v>
      </c>
      <c r="I145" s="527">
        <f>'Výdaje kapitol celkem'!H68</f>
        <v>0</v>
      </c>
      <c r="J145" s="656"/>
      <c r="K145" s="657"/>
      <c r="L145" s="658"/>
      <c r="M145" s="659"/>
    </row>
    <row r="146" spans="1:13" hidden="1" outlineLevel="1" x14ac:dyDescent="0.3">
      <c r="A146" s="446"/>
      <c r="B146" s="446"/>
      <c r="C146" s="451"/>
      <c r="D146" s="641"/>
      <c r="E146" s="451"/>
      <c r="F146" s="451"/>
      <c r="G146" s="451"/>
      <c r="H146" s="527"/>
      <c r="I146" s="527"/>
      <c r="J146" s="656"/>
      <c r="K146" s="657"/>
      <c r="L146" s="658"/>
      <c r="M146" s="659"/>
    </row>
    <row r="147" spans="1:13" s="652" customFormat="1" ht="17.25" collapsed="1" thickBot="1" x14ac:dyDescent="0.35">
      <c r="A147" s="644" t="s">
        <v>273</v>
      </c>
      <c r="B147" s="699" t="s">
        <v>274</v>
      </c>
      <c r="C147" s="645"/>
      <c r="D147" s="646">
        <f>SUM(D148:D150)</f>
        <v>12181460</v>
      </c>
      <c r="E147" s="647">
        <f>SUM(E148:E150)</f>
        <v>34287727.156199992</v>
      </c>
      <c r="F147" s="647">
        <v>17570735.963572413</v>
      </c>
      <c r="G147" s="647">
        <v>16970240.181600004</v>
      </c>
      <c r="H147" s="647">
        <f>SUM(H148:H150)</f>
        <v>16554929.249599993</v>
      </c>
      <c r="I147" s="647">
        <f>SUM(I148:I150)</f>
        <v>18877121.446500011</v>
      </c>
      <c r="J147" s="648"/>
      <c r="K147" s="657"/>
      <c r="L147" s="658"/>
      <c r="M147" s="659"/>
    </row>
    <row r="148" spans="1:13" ht="20.25" hidden="1" customHeight="1" outlineLevel="1" x14ac:dyDescent="0.25">
      <c r="A148" s="446"/>
      <c r="B148" s="661" t="s">
        <v>974</v>
      </c>
      <c r="C148" s="451">
        <v>8115</v>
      </c>
      <c r="D148" s="662">
        <f>'Výdaje kapitol celkem'!C67</f>
        <v>772368</v>
      </c>
      <c r="E148" s="527">
        <f>'Výdaje kapitol celkem'!D67</f>
        <v>1164351.1561999917</v>
      </c>
      <c r="F148" s="527">
        <v>1018791.9635724127</v>
      </c>
      <c r="G148" s="527">
        <v>418296.18160000443</v>
      </c>
      <c r="H148" s="527">
        <f>'Výdaje kapitol celkem'!G67</f>
        <v>-500354.75040000677</v>
      </c>
      <c r="I148" s="527">
        <f>'Výdaje kapitol celkem'!H67</f>
        <v>-139622.55349998921</v>
      </c>
      <c r="J148" s="672"/>
      <c r="K148" s="657"/>
      <c r="L148" s="658"/>
      <c r="M148" s="659"/>
    </row>
    <row r="149" spans="1:13" ht="20.25" hidden="1" customHeight="1" outlineLevel="1" x14ac:dyDescent="0.25">
      <c r="A149" s="446"/>
      <c r="B149" s="661" t="s">
        <v>148</v>
      </c>
      <c r="C149" s="451">
        <v>8115</v>
      </c>
      <c r="D149" s="662"/>
      <c r="E149" s="527"/>
      <c r="F149" s="527"/>
      <c r="G149" s="527"/>
      <c r="H149" s="527"/>
      <c r="I149" s="527"/>
      <c r="J149" s="656"/>
      <c r="K149" s="657"/>
      <c r="L149" s="658"/>
      <c r="M149" s="659"/>
    </row>
    <row r="150" spans="1:13" s="669" customFormat="1" ht="20.25" hidden="1" customHeight="1" outlineLevel="1" x14ac:dyDescent="0.25">
      <c r="A150" s="663"/>
      <c r="B150" s="664" t="s">
        <v>975</v>
      </c>
      <c r="C150" s="665" t="s">
        <v>145</v>
      </c>
      <c r="D150" s="666">
        <f>'Výdaje kapitol celkem'!C71</f>
        <v>11409092</v>
      </c>
      <c r="E150" s="667">
        <f>'Výdaje kapitol celkem'!D71</f>
        <v>33123376</v>
      </c>
      <c r="F150" s="667">
        <v>16551944</v>
      </c>
      <c r="G150" s="667">
        <v>16551944</v>
      </c>
      <c r="H150" s="667">
        <f>'Výdaje kapitol celkem'!G71</f>
        <v>17055284</v>
      </c>
      <c r="I150" s="667">
        <f>'Výdaje kapitol celkem'!H71</f>
        <v>19016744</v>
      </c>
      <c r="J150" s="700"/>
      <c r="K150" s="657"/>
      <c r="L150" s="657"/>
      <c r="M150" s="668"/>
    </row>
    <row r="151" spans="1:13" hidden="1" outlineLevel="1" x14ac:dyDescent="0.3">
      <c r="A151" s="446"/>
      <c r="B151" s="446"/>
      <c r="C151" s="451"/>
      <c r="D151" s="641"/>
      <c r="E151" s="451"/>
      <c r="F151" s="451"/>
      <c r="G151" s="451"/>
      <c r="H151" s="527"/>
      <c r="I151" s="527"/>
      <c r="J151" s="656"/>
      <c r="K151" s="657"/>
      <c r="L151" s="658"/>
      <c r="M151" s="659"/>
    </row>
    <row r="152" spans="1:13" s="652" customFormat="1" ht="17.25" collapsed="1" thickBot="1" x14ac:dyDescent="0.35">
      <c r="A152" s="673" t="s">
        <v>284</v>
      </c>
      <c r="B152" s="673"/>
      <c r="C152" s="674"/>
      <c r="D152" s="646" t="e">
        <f>+D147+D134+D85</f>
        <v>#REF!</v>
      </c>
      <c r="E152" s="647">
        <f>+E147+E134+E85</f>
        <v>240134662.25999999</v>
      </c>
      <c r="F152" s="647">
        <v>169480455.24197242</v>
      </c>
      <c r="G152" s="647">
        <v>174477959.46000001</v>
      </c>
      <c r="H152" s="647">
        <f>+H147+H134+H85</f>
        <v>183133037</v>
      </c>
      <c r="I152" s="647">
        <f>+I147+I134+I85</f>
        <v>158141178</v>
      </c>
      <c r="J152" s="648"/>
      <c r="K152" s="657"/>
      <c r="L152" s="658"/>
      <c r="M152" s="659"/>
    </row>
    <row r="153" spans="1:13" s="660" customFormat="1" ht="15.75" x14ac:dyDescent="0.25">
      <c r="A153" s="517"/>
      <c r="B153" s="517" t="s">
        <v>285</v>
      </c>
      <c r="C153" s="654"/>
      <c r="D153" s="655" t="e">
        <f>+D152-'Výdaje kapitol celkem'!C74</f>
        <v>#REF!</v>
      </c>
      <c r="E153" s="656">
        <v>0</v>
      </c>
      <c r="F153" s="656">
        <v>0</v>
      </c>
      <c r="G153" s="656">
        <v>0</v>
      </c>
      <c r="H153" s="656">
        <f>+H152-'Výdaje kapitol celkem'!G74</f>
        <v>0</v>
      </c>
      <c r="I153" s="656">
        <f>+I152-'Výdaje kapitol celkem'!H74</f>
        <v>0</v>
      </c>
      <c r="J153" s="656"/>
      <c r="K153" s="657"/>
      <c r="L153" s="658"/>
      <c r="M153" s="659"/>
    </row>
    <row r="154" spans="1:13" s="652" customFormat="1" ht="17.25" thickBot="1" x14ac:dyDescent="0.35">
      <c r="A154" s="673" t="s">
        <v>885</v>
      </c>
      <c r="B154" s="673"/>
      <c r="C154" s="674"/>
      <c r="D154" s="646" t="e">
        <f>+D80-D152</f>
        <v>#REF!</v>
      </c>
      <c r="E154" s="647">
        <v>0</v>
      </c>
      <c r="F154" s="647">
        <v>0</v>
      </c>
      <c r="G154" s="647">
        <v>0</v>
      </c>
      <c r="H154" s="647">
        <f>+H80-H152</f>
        <v>-16089937</v>
      </c>
      <c r="I154" s="647">
        <f>+I80-I152</f>
        <v>0</v>
      </c>
      <c r="J154" s="701"/>
      <c r="K154" s="657"/>
      <c r="L154" s="658"/>
      <c r="M154" s="659"/>
    </row>
    <row r="155" spans="1:13" s="660" customFormat="1" x14ac:dyDescent="0.3">
      <c r="A155" s="517"/>
      <c r="B155" s="517"/>
      <c r="C155" s="654"/>
      <c r="D155" s="702"/>
      <c r="E155" s="654"/>
      <c r="F155" s="654"/>
      <c r="G155" s="654"/>
      <c r="H155" s="656"/>
      <c r="I155" s="656"/>
      <c r="J155" s="656"/>
      <c r="K155" s="657"/>
      <c r="L155" s="658"/>
      <c r="M155" s="659"/>
    </row>
    <row r="156" spans="1:13" ht="15.75" customHeight="1" x14ac:dyDescent="0.3">
      <c r="A156" s="446"/>
      <c r="B156" s="446"/>
      <c r="C156" s="451"/>
      <c r="D156" s="641"/>
      <c r="E156" s="451"/>
      <c r="F156" s="451"/>
      <c r="G156" s="451"/>
      <c r="H156" s="527"/>
      <c r="I156" s="527"/>
      <c r="J156" s="656"/>
      <c r="K156" s="657"/>
      <c r="L156" s="658"/>
      <c r="M156" s="659"/>
    </row>
    <row r="157" spans="1:13" ht="15.75" customHeight="1" x14ac:dyDescent="0.3">
      <c r="A157" s="446"/>
      <c r="B157" s="446" t="s">
        <v>1186</v>
      </c>
      <c r="C157" s="451"/>
      <c r="D157" s="641"/>
      <c r="E157" s="450" t="e">
        <f>+E6+E27+E57+E63+E64+E66</f>
        <v>#REF!</v>
      </c>
      <c r="F157" s="450">
        <v>154680455.24197242</v>
      </c>
      <c r="G157" s="450">
        <v>156534660</v>
      </c>
      <c r="H157" s="450">
        <f>+H6+H27+H57+H63+H64+H66</f>
        <v>142710655</v>
      </c>
      <c r="I157" s="450">
        <f>+I6+I27+I57+I63+I64+I66</f>
        <v>139097002</v>
      </c>
      <c r="J157" s="656"/>
      <c r="K157" s="657"/>
      <c r="L157" s="658"/>
      <c r="M157" s="659"/>
    </row>
    <row r="158" spans="1:13" ht="15.75" customHeight="1" x14ac:dyDescent="0.3">
      <c r="A158" s="446"/>
      <c r="B158" s="446" t="s">
        <v>1187</v>
      </c>
      <c r="C158" s="451"/>
      <c r="D158" s="641"/>
      <c r="E158" s="450">
        <f>+E86+E96</f>
        <v>120792267.1038</v>
      </c>
      <c r="F158" s="450">
        <v>129492823.2784</v>
      </c>
      <c r="G158" s="450">
        <v>127871123.2784</v>
      </c>
      <c r="H158" s="450">
        <f>+H86+H96</f>
        <v>117956938.75040001</v>
      </c>
      <c r="I158" s="450">
        <f>+I86+I96</f>
        <v>123067947.87349999</v>
      </c>
      <c r="J158" s="656"/>
      <c r="K158" s="657"/>
      <c r="L158" s="658"/>
      <c r="M158" s="659"/>
    </row>
    <row r="159" spans="1:13" s="711" customFormat="1" ht="15.75" customHeight="1" x14ac:dyDescent="0.3">
      <c r="A159" s="703"/>
      <c r="B159" s="704" t="s">
        <v>1188</v>
      </c>
      <c r="C159" s="705"/>
      <c r="D159" s="706"/>
      <c r="E159" s="707" t="e">
        <f>+E157-E158</f>
        <v>#REF!</v>
      </c>
      <c r="F159" s="707">
        <v>25187631.963572413</v>
      </c>
      <c r="G159" s="707">
        <v>28663536.721599996</v>
      </c>
      <c r="H159" s="707">
        <f t="shared" ref="H159:I159" si="0">+H157-H158</f>
        <v>24753716.249599993</v>
      </c>
      <c r="I159" s="707">
        <f t="shared" si="0"/>
        <v>16029054.12650001</v>
      </c>
      <c r="J159" s="708"/>
      <c r="K159" s="709"/>
      <c r="L159" s="709"/>
      <c r="M159" s="710"/>
    </row>
    <row r="160" spans="1:13" ht="15.75" customHeight="1" x14ac:dyDescent="0.3">
      <c r="A160" s="446"/>
      <c r="B160" s="446"/>
      <c r="C160" s="451"/>
      <c r="D160" s="641"/>
      <c r="E160" s="451"/>
      <c r="F160" s="451"/>
      <c r="G160" s="451"/>
      <c r="H160" s="527"/>
      <c r="I160" s="527"/>
      <c r="J160" s="656"/>
      <c r="K160" s="657"/>
      <c r="L160" s="658"/>
      <c r="M160" s="659"/>
    </row>
    <row r="161" spans="1:14" ht="15.75" customHeight="1" x14ac:dyDescent="0.3">
      <c r="A161" s="446"/>
      <c r="B161" s="446" t="s">
        <v>1189</v>
      </c>
      <c r="C161" s="451"/>
      <c r="D161" s="641"/>
      <c r="E161" s="450">
        <f>+E150</f>
        <v>33123376</v>
      </c>
      <c r="F161" s="450">
        <v>16551944</v>
      </c>
      <c r="G161" s="450">
        <v>16551944</v>
      </c>
      <c r="H161" s="450">
        <f t="shared" ref="H161:I161" si="1">+H150</f>
        <v>17055284</v>
      </c>
      <c r="I161" s="450">
        <f t="shared" si="1"/>
        <v>19016744</v>
      </c>
      <c r="J161" s="656"/>
      <c r="K161" s="657"/>
      <c r="L161" s="658"/>
      <c r="M161" s="659"/>
    </row>
    <row r="162" spans="1:14" s="711" customFormat="1" ht="15.75" customHeight="1" x14ac:dyDescent="0.3">
      <c r="A162" s="703"/>
      <c r="B162" s="704" t="s">
        <v>1190</v>
      </c>
      <c r="C162" s="705"/>
      <c r="D162" s="706"/>
      <c r="E162" s="707" t="e">
        <f>+E159-E161</f>
        <v>#REF!</v>
      </c>
      <c r="F162" s="707">
        <v>8635687.9635724127</v>
      </c>
      <c r="G162" s="707">
        <v>12111592.721599996</v>
      </c>
      <c r="H162" s="707">
        <f t="shared" ref="H162:I162" si="2">+H159-H161</f>
        <v>7698432.2495999932</v>
      </c>
      <c r="I162" s="707">
        <f t="shared" si="2"/>
        <v>-2987689.8734999895</v>
      </c>
      <c r="J162" s="708"/>
      <c r="K162" s="709"/>
      <c r="L162" s="709"/>
      <c r="M162" s="710"/>
    </row>
    <row r="163" spans="1:14" ht="15.75" customHeight="1" x14ac:dyDescent="0.3">
      <c r="A163" s="446"/>
      <c r="B163" s="446"/>
      <c r="C163" s="451"/>
      <c r="D163" s="641"/>
      <c r="E163" s="451"/>
      <c r="F163" s="451"/>
      <c r="G163" s="451"/>
      <c r="H163" s="527"/>
      <c r="I163" s="527"/>
      <c r="J163" s="656"/>
      <c r="K163" s="657"/>
      <c r="L163" s="658"/>
      <c r="M163" s="659"/>
    </row>
    <row r="164" spans="1:14" ht="15.75" customHeight="1" x14ac:dyDescent="0.3">
      <c r="A164" s="446"/>
      <c r="B164" s="446" t="s">
        <v>1191</v>
      </c>
      <c r="C164" s="451"/>
      <c r="D164" s="641"/>
      <c r="E164" s="450">
        <f>+E62-E63-E64-E66</f>
        <v>800000</v>
      </c>
      <c r="F164" s="450">
        <v>3300000</v>
      </c>
      <c r="G164" s="450">
        <v>12241668</v>
      </c>
      <c r="H164" s="450">
        <f>+H62-H63-H64-H66</f>
        <v>898400</v>
      </c>
      <c r="I164" s="450">
        <f>+I62-I63-I64-I66</f>
        <v>8044176</v>
      </c>
      <c r="J164" s="656"/>
      <c r="K164" s="657"/>
      <c r="L164" s="658"/>
      <c r="M164" s="659"/>
    </row>
    <row r="165" spans="1:14" ht="15.75" customHeight="1" x14ac:dyDescent="0.3">
      <c r="A165" s="446"/>
      <c r="B165" s="446" t="s">
        <v>3</v>
      </c>
      <c r="C165" s="451"/>
      <c r="D165" s="641"/>
      <c r="E165" s="450">
        <f>+E134</f>
        <v>85054668</v>
      </c>
      <c r="F165" s="450">
        <v>22416896</v>
      </c>
      <c r="G165" s="450">
        <v>29636596</v>
      </c>
      <c r="H165" s="450">
        <f>+H134</f>
        <v>48621169</v>
      </c>
      <c r="I165" s="450">
        <f>+I134</f>
        <v>16196108.68</v>
      </c>
      <c r="J165" s="656"/>
      <c r="K165" s="657"/>
      <c r="L165" s="658"/>
      <c r="M165" s="659"/>
    </row>
    <row r="166" spans="1:14" s="711" customFormat="1" ht="15.75" customHeight="1" x14ac:dyDescent="0.3">
      <c r="A166" s="703"/>
      <c r="B166" s="704" t="s">
        <v>1192</v>
      </c>
      <c r="C166" s="705"/>
      <c r="D166" s="706"/>
      <c r="E166" s="707" t="e">
        <f>+E162+E164-E165</f>
        <v>#REF!</v>
      </c>
      <c r="F166" s="707">
        <v>-10481208.036427587</v>
      </c>
      <c r="G166" s="707">
        <v>-5283335.2784000039</v>
      </c>
      <c r="H166" s="707">
        <f>+H162+H164-H165</f>
        <v>-40024336.750400007</v>
      </c>
      <c r="I166" s="707">
        <f>+I162+I164-I165</f>
        <v>-11139622.553499989</v>
      </c>
      <c r="J166" s="708"/>
      <c r="K166" s="709"/>
      <c r="L166" s="709"/>
      <c r="M166" s="710"/>
    </row>
    <row r="167" spans="1:14" ht="15.75" customHeight="1" x14ac:dyDescent="0.3">
      <c r="A167" s="446"/>
      <c r="B167" s="446"/>
      <c r="C167" s="451"/>
      <c r="D167" s="641"/>
      <c r="E167" s="451"/>
      <c r="F167" s="451"/>
      <c r="G167" s="451"/>
      <c r="H167" s="527"/>
      <c r="I167" s="527"/>
      <c r="J167" s="656"/>
      <c r="K167" s="657"/>
      <c r="L167" s="658"/>
      <c r="M167" s="659"/>
    </row>
    <row r="168" spans="1:14" s="711" customFormat="1" ht="15.75" customHeight="1" x14ac:dyDescent="0.3">
      <c r="A168" s="703"/>
      <c r="B168" s="704" t="s">
        <v>1193</v>
      </c>
      <c r="C168" s="705"/>
      <c r="D168" s="706"/>
      <c r="E168" s="707">
        <f>+E169+E170</f>
        <v>5743546</v>
      </c>
      <c r="F168" s="707">
        <v>11500000</v>
      </c>
      <c r="G168" s="707">
        <v>5701631.46</v>
      </c>
      <c r="H168" s="707">
        <f>+H169+H170</f>
        <v>5934045</v>
      </c>
      <c r="I168" s="707">
        <f>+I169+I170</f>
        <v>11000000</v>
      </c>
      <c r="J168" s="708"/>
      <c r="K168" s="709"/>
      <c r="L168" s="709"/>
      <c r="M168" s="710"/>
    </row>
    <row r="169" spans="1:14" ht="15.75" customHeight="1" x14ac:dyDescent="0.3">
      <c r="A169" s="446"/>
      <c r="B169" s="446" t="s">
        <v>1194</v>
      </c>
      <c r="C169" s="451"/>
      <c r="D169" s="641"/>
      <c r="E169" s="450">
        <f>E76</f>
        <v>5743546</v>
      </c>
      <c r="F169" s="450">
        <v>11500000</v>
      </c>
      <c r="G169" s="450">
        <v>5701631.46</v>
      </c>
      <c r="H169" s="450">
        <f>+H76</f>
        <v>5934045</v>
      </c>
      <c r="I169" s="450">
        <f>+I76</f>
        <v>11000000</v>
      </c>
      <c r="J169" s="656"/>
      <c r="K169" s="657"/>
      <c r="L169" s="658"/>
      <c r="M169" s="659"/>
    </row>
    <row r="170" spans="1:14" ht="15.75" customHeight="1" x14ac:dyDescent="0.3">
      <c r="A170" s="446"/>
      <c r="B170" s="446" t="s">
        <v>1195</v>
      </c>
      <c r="C170" s="451"/>
      <c r="D170" s="641"/>
      <c r="E170" s="450"/>
      <c r="F170" s="450"/>
      <c r="G170" s="450"/>
      <c r="H170" s="450"/>
      <c r="I170" s="450"/>
      <c r="J170" s="656"/>
      <c r="K170" s="657"/>
      <c r="L170" s="658"/>
      <c r="M170" s="659"/>
    </row>
    <row r="171" spans="1:14" ht="15.75" customHeight="1" x14ac:dyDescent="0.3">
      <c r="A171" s="446"/>
      <c r="B171" s="446"/>
      <c r="C171" s="451"/>
      <c r="D171" s="641"/>
      <c r="E171" s="451"/>
      <c r="F171" s="451"/>
      <c r="G171" s="451"/>
      <c r="H171" s="527"/>
      <c r="I171" s="527"/>
      <c r="J171" s="656"/>
      <c r="K171" s="657"/>
      <c r="L171" s="658"/>
      <c r="M171" s="659"/>
    </row>
    <row r="172" spans="1:14" s="711" customFormat="1" x14ac:dyDescent="0.3">
      <c r="A172" s="703" t="s">
        <v>798</v>
      </c>
      <c r="B172" s="703"/>
      <c r="C172" s="665"/>
      <c r="D172" s="712">
        <f>+D179/D174</f>
        <v>9.9805103763302233E-2</v>
      </c>
      <c r="E172" s="713">
        <f>+E179/E174</f>
        <v>0.20622124298598321</v>
      </c>
      <c r="F172" s="713">
        <v>0.1180566702406268</v>
      </c>
      <c r="G172" s="713">
        <v>0.11050219950494372</v>
      </c>
      <c r="H172" s="713">
        <f>+H179/H174</f>
        <v>0.13448005788466821</v>
      </c>
      <c r="I172" s="713">
        <f>+I179/I174</f>
        <v>0.14329489970156825</v>
      </c>
      <c r="J172" s="708"/>
      <c r="K172" s="709"/>
      <c r="L172" s="709"/>
      <c r="M172" s="710"/>
    </row>
    <row r="173" spans="1:14" x14ac:dyDescent="0.3">
      <c r="A173" s="446"/>
      <c r="B173" s="446"/>
      <c r="C173" s="451"/>
      <c r="D173" s="641"/>
      <c r="E173" s="451"/>
      <c r="F173" s="451"/>
      <c r="G173" s="451"/>
      <c r="H173" s="527"/>
      <c r="I173" s="527"/>
      <c r="J173" s="656"/>
      <c r="K173" s="657"/>
      <c r="L173" s="658"/>
      <c r="M173" s="659"/>
    </row>
    <row r="174" spans="1:14" s="723" customFormat="1" x14ac:dyDescent="0.3">
      <c r="A174" s="714"/>
      <c r="B174" s="715" t="s">
        <v>792</v>
      </c>
      <c r="C174" s="716"/>
      <c r="D174" s="717">
        <f>SUM(D175:D177)</f>
        <v>136518400</v>
      </c>
      <c r="E174" s="718">
        <v>175517651</v>
      </c>
      <c r="F174" s="718">
        <v>157915455.24197242</v>
      </c>
      <c r="G174" s="718">
        <v>168711328</v>
      </c>
      <c r="H174" s="718">
        <f>SUM(H175:H177)</f>
        <v>143544055</v>
      </c>
      <c r="I174" s="718">
        <f>SUM(I175:I177)</f>
        <v>147076178</v>
      </c>
      <c r="J174" s="719"/>
      <c r="K174" s="720"/>
      <c r="L174" s="720"/>
      <c r="M174" s="721"/>
      <c r="N174" s="722"/>
    </row>
    <row r="175" spans="1:14" ht="15.75" x14ac:dyDescent="0.25">
      <c r="A175" s="446"/>
      <c r="B175" s="661" t="s">
        <v>795</v>
      </c>
      <c r="C175" s="451"/>
      <c r="D175" s="662">
        <f>+D6-D21</f>
        <v>105758000</v>
      </c>
      <c r="E175" s="527">
        <f>+E6-E21</f>
        <v>123557000</v>
      </c>
      <c r="F175" s="527">
        <v>121729545.24197242</v>
      </c>
      <c r="G175" s="527">
        <v>122983750</v>
      </c>
      <c r="H175" s="527">
        <f>+H6-H21</f>
        <v>107983750</v>
      </c>
      <c r="I175" s="527">
        <f>+I6-I21</f>
        <v>103854597</v>
      </c>
      <c r="J175" s="656"/>
      <c r="K175" s="657"/>
      <c r="L175" s="658"/>
      <c r="M175" s="659"/>
    </row>
    <row r="176" spans="1:14" ht="15.75" x14ac:dyDescent="0.25">
      <c r="A176" s="446"/>
      <c r="B176" s="661" t="s">
        <v>796</v>
      </c>
      <c r="C176" s="451"/>
      <c r="D176" s="662">
        <f>+D27</f>
        <v>20306200</v>
      </c>
      <c r="E176" s="527">
        <f>+E27</f>
        <v>24153929.259999998</v>
      </c>
      <c r="F176" s="527">
        <v>21937310</v>
      </c>
      <c r="G176" s="527">
        <v>22537310</v>
      </c>
      <c r="H176" s="527">
        <f>+H27</f>
        <v>23966705</v>
      </c>
      <c r="I176" s="527">
        <f>+I27</f>
        <v>24482205</v>
      </c>
      <c r="J176" s="656"/>
      <c r="K176" s="657"/>
      <c r="L176" s="658"/>
      <c r="M176" s="659"/>
    </row>
    <row r="177" spans="1:14" ht="15.75" x14ac:dyDescent="0.25">
      <c r="A177" s="446"/>
      <c r="B177" s="661" t="s">
        <v>797</v>
      </c>
      <c r="C177" s="451"/>
      <c r="D177" s="662">
        <f>+D62</f>
        <v>10454200</v>
      </c>
      <c r="E177" s="527">
        <f>+E62</f>
        <v>11748600</v>
      </c>
      <c r="F177" s="527">
        <v>14248600</v>
      </c>
      <c r="G177" s="527">
        <v>23190268</v>
      </c>
      <c r="H177" s="527">
        <f>+H62</f>
        <v>11593600</v>
      </c>
      <c r="I177" s="527">
        <f>+I62</f>
        <v>18739376</v>
      </c>
      <c r="J177" s="656"/>
      <c r="K177" s="657"/>
      <c r="L177" s="658"/>
      <c r="M177" s="659"/>
    </row>
    <row r="178" spans="1:14" ht="15.75" x14ac:dyDescent="0.25">
      <c r="A178" s="446"/>
      <c r="B178" s="446"/>
      <c r="C178" s="656"/>
      <c r="D178" s="724"/>
      <c r="E178" s="446"/>
      <c r="F178" s="446"/>
      <c r="G178" s="446"/>
      <c r="H178" s="446"/>
      <c r="I178" s="446"/>
      <c r="J178" s="517"/>
      <c r="K178" s="657"/>
      <c r="L178" s="658"/>
      <c r="M178" s="659"/>
    </row>
    <row r="179" spans="1:14" s="723" customFormat="1" x14ac:dyDescent="0.3">
      <c r="A179" s="714"/>
      <c r="B179" s="715" t="s">
        <v>794</v>
      </c>
      <c r="C179" s="716"/>
      <c r="D179" s="717">
        <f>SUM(D180:D181)</f>
        <v>13625233.0776</v>
      </c>
      <c r="E179" s="718">
        <v>36195468.155199997</v>
      </c>
      <c r="F179" s="718">
        <v>18642972.825399999</v>
      </c>
      <c r="G179" s="718">
        <v>18642972.825399999</v>
      </c>
      <c r="H179" s="718">
        <f>SUM(H180:H181)</f>
        <v>19303812.825399999</v>
      </c>
      <c r="I179" s="718">
        <f>SUM(I180:I181)</f>
        <v>21075266.175000001</v>
      </c>
      <c r="J179" s="719"/>
      <c r="K179" s="720"/>
      <c r="L179" s="720"/>
      <c r="M179" s="721"/>
      <c r="N179" s="722"/>
    </row>
    <row r="180" spans="1:14" ht="15.75" x14ac:dyDescent="0.25">
      <c r="A180" s="446"/>
      <c r="B180" s="661" t="s">
        <v>160</v>
      </c>
      <c r="C180" s="451"/>
      <c r="D180" s="662">
        <f>+D132+D133</f>
        <v>2216141.0776</v>
      </c>
      <c r="E180" s="527">
        <f>+E132+E133</f>
        <v>2399648.3037999999</v>
      </c>
      <c r="F180" s="527">
        <v>2091028.8254</v>
      </c>
      <c r="G180" s="527">
        <v>2091028.8254</v>
      </c>
      <c r="H180" s="527">
        <f>+H132+H133</f>
        <v>2248528.8254</v>
      </c>
      <c r="I180" s="527">
        <f>+I132+I133</f>
        <v>2058522.1749999998</v>
      </c>
      <c r="J180" s="656"/>
      <c r="K180" s="657"/>
      <c r="L180" s="658"/>
      <c r="M180" s="659"/>
    </row>
    <row r="181" spans="1:14" ht="15.75" x14ac:dyDescent="0.25">
      <c r="A181" s="446"/>
      <c r="B181" s="661" t="s">
        <v>975</v>
      </c>
      <c r="C181" s="451"/>
      <c r="D181" s="662">
        <f>+D150</f>
        <v>11409092</v>
      </c>
      <c r="E181" s="527">
        <f>+E150</f>
        <v>33123376</v>
      </c>
      <c r="F181" s="527">
        <v>16551944</v>
      </c>
      <c r="G181" s="527">
        <v>16551944</v>
      </c>
      <c r="H181" s="527">
        <f t="shared" ref="H181:I181" si="3">+H150</f>
        <v>17055284</v>
      </c>
      <c r="I181" s="527">
        <f t="shared" si="3"/>
        <v>19016744</v>
      </c>
      <c r="J181" s="656"/>
      <c r="K181" s="657"/>
      <c r="L181" s="658"/>
      <c r="M181" s="659"/>
    </row>
    <row r="182" spans="1:14" ht="15.75" x14ac:dyDescent="0.25">
      <c r="A182" s="446"/>
      <c r="B182" s="446"/>
      <c r="C182" s="451"/>
      <c r="D182" s="662"/>
      <c r="E182" s="527"/>
      <c r="F182" s="527"/>
      <c r="G182" s="527"/>
      <c r="H182" s="527"/>
      <c r="I182" s="527"/>
      <c r="J182" s="656"/>
      <c r="K182" s="657"/>
      <c r="L182" s="658"/>
      <c r="M182" s="659"/>
    </row>
    <row r="183" spans="1:14" x14ac:dyDescent="0.3">
      <c r="A183" s="526" t="s">
        <v>286</v>
      </c>
      <c r="B183" s="446"/>
      <c r="C183" s="451"/>
      <c r="D183" s="641"/>
      <c r="E183" s="451"/>
      <c r="F183" s="451"/>
      <c r="G183" s="451"/>
      <c r="H183" s="527"/>
      <c r="I183" s="527"/>
      <c r="J183" s="656"/>
      <c r="K183" s="657"/>
      <c r="L183" s="658"/>
      <c r="M183" s="659"/>
    </row>
    <row r="184" spans="1:14" s="652" customFormat="1" x14ac:dyDescent="0.3">
      <c r="A184" s="526"/>
      <c r="B184" s="526" t="s">
        <v>287</v>
      </c>
      <c r="C184" s="451"/>
      <c r="D184" s="725" t="e">
        <f>+D6+D27+D63+D65-D85-D21</f>
        <v>#REF!</v>
      </c>
      <c r="E184" s="726">
        <f>+E6+E27+E63+E65-E85-E21</f>
        <v>36693262.156199992</v>
      </c>
      <c r="F184" s="726">
        <v>23948631.963572413</v>
      </c>
      <c r="G184" s="726">
        <v>27522936.721599996</v>
      </c>
      <c r="H184" s="726">
        <f>+H6+H27+H63+H65-H85-H21</f>
        <v>23613116.249599993</v>
      </c>
      <c r="I184" s="726">
        <f>+I6+I27+I63+I65-I85-I21</f>
        <v>14888454.12650001</v>
      </c>
      <c r="J184" s="719"/>
      <c r="K184" s="709"/>
      <c r="L184" s="727"/>
      <c r="M184" s="659"/>
    </row>
    <row r="185" spans="1:14" s="723" customFormat="1" ht="17.25" thickBot="1" x14ac:dyDescent="0.35">
      <c r="A185" s="728"/>
      <c r="B185" s="728" t="s">
        <v>288</v>
      </c>
      <c r="C185" s="729"/>
      <c r="D185" s="730" t="e">
        <f>D184/(D6+D27+D63+D64)</f>
        <v>#REF!</v>
      </c>
      <c r="E185" s="731" t="e">
        <f>E184/(E6+E27+E63+E64+E57)</f>
        <v>#REF!</v>
      </c>
      <c r="F185" s="731">
        <v>0.15641817273950684</v>
      </c>
      <c r="G185" s="731">
        <v>0.17761241286401333</v>
      </c>
      <c r="H185" s="731">
        <f>H184/(H6+H27+H63+H64+H57)</f>
        <v>0.16730675847178036</v>
      </c>
      <c r="I185" s="731">
        <f>I184/(I6+I27+I63+I64+I57)</f>
        <v>0.10826155559416897</v>
      </c>
      <c r="J185" s="732"/>
      <c r="K185" s="733"/>
      <c r="L185" s="734"/>
      <c r="M185" s="659"/>
    </row>
    <row r="186" spans="1:14" ht="15.75" x14ac:dyDescent="0.25">
      <c r="A186" s="446"/>
      <c r="B186" s="446"/>
      <c r="C186" s="451"/>
      <c r="D186" s="662"/>
      <c r="E186" s="527"/>
      <c r="F186" s="527"/>
      <c r="G186" s="527"/>
      <c r="H186" s="527"/>
      <c r="I186" s="527"/>
      <c r="J186" s="656"/>
      <c r="K186" s="657"/>
      <c r="L186" s="658"/>
      <c r="M186" s="659"/>
    </row>
    <row r="187" spans="1:14" ht="15.75" x14ac:dyDescent="0.25">
      <c r="A187" s="446"/>
      <c r="B187" s="446"/>
      <c r="C187" s="451"/>
      <c r="D187" s="662"/>
      <c r="E187" s="527"/>
      <c r="F187" s="527"/>
      <c r="G187" s="527"/>
      <c r="H187" s="527"/>
      <c r="I187" s="527"/>
      <c r="J187" s="656"/>
      <c r="K187" s="657"/>
      <c r="L187" s="658"/>
      <c r="M187" s="659"/>
    </row>
    <row r="188" spans="1:14" ht="15.75" x14ac:dyDescent="0.25">
      <c r="A188" s="446"/>
      <c r="B188" s="446"/>
      <c r="C188" s="656"/>
      <c r="D188" s="655"/>
      <c r="E188" s="656"/>
      <c r="F188" s="656"/>
      <c r="G188" s="656"/>
      <c r="H188" s="656"/>
      <c r="I188" s="656"/>
      <c r="J188" s="656"/>
      <c r="K188" s="657"/>
      <c r="L188" s="658"/>
      <c r="M188" s="659"/>
    </row>
    <row r="189" spans="1:14" s="652" customFormat="1" x14ac:dyDescent="0.3">
      <c r="A189" s="526"/>
      <c r="B189" s="526" t="s">
        <v>820</v>
      </c>
      <c r="C189" s="719"/>
      <c r="D189" s="735" t="e">
        <f>+D190/D191</f>
        <v>#REF!</v>
      </c>
      <c r="E189" s="736">
        <v>1.3350604529120188E-8</v>
      </c>
      <c r="F189" s="736">
        <v>6.756756756756756E-8</v>
      </c>
      <c r="G189" s="736">
        <v>5.5731110224696652E-8</v>
      </c>
      <c r="H189" s="736">
        <f>+H190/H191</f>
        <v>1.4636049027837034E-7</v>
      </c>
      <c r="I189" s="736">
        <f>+I190/I191</f>
        <v>5.2509491615704449E-8</v>
      </c>
      <c r="J189" s="719"/>
      <c r="K189" s="709"/>
      <c r="L189" s="727"/>
      <c r="M189" s="721"/>
    </row>
    <row r="190" spans="1:14" x14ac:dyDescent="0.3">
      <c r="A190" s="446"/>
      <c r="B190" s="661" t="s">
        <v>1054</v>
      </c>
      <c r="C190" s="451"/>
      <c r="D190" s="737" t="e">
        <f>+D76/(#REF!+#REF!+#REF!+D66+#REF!+#REF!+#REF!+#REF!+#REF!)</f>
        <v>#REF!</v>
      </c>
      <c r="E190" s="738">
        <f>+E179/(E169+E164)</f>
        <v>5.5314760766104492</v>
      </c>
      <c r="F190" s="738">
        <v>1.2596603260405403</v>
      </c>
      <c r="G190" s="738">
        <v>1.0389935734483917</v>
      </c>
      <c r="H190" s="738">
        <f>+H179/(H169+H164)</f>
        <v>2.8253155093674369</v>
      </c>
      <c r="I190" s="738">
        <f>+I179/(I169+I164)</f>
        <v>1.1066515125149021</v>
      </c>
      <c r="J190" s="656"/>
      <c r="K190" s="657"/>
      <c r="L190" s="658"/>
      <c r="M190" s="659"/>
    </row>
    <row r="191" spans="1:14" x14ac:dyDescent="0.3">
      <c r="A191" s="446"/>
      <c r="B191" s="661"/>
      <c r="C191" s="451"/>
      <c r="D191" s="641"/>
      <c r="E191" s="451"/>
      <c r="F191" s="451"/>
      <c r="G191" s="451"/>
      <c r="H191" s="525">
        <f>+H179</f>
        <v>19303812.825399999</v>
      </c>
      <c r="I191" s="525">
        <f>+I179</f>
        <v>21075266.175000001</v>
      </c>
      <c r="J191" s="656"/>
      <c r="K191" s="657"/>
      <c r="L191" s="658"/>
      <c r="M191" s="659"/>
    </row>
    <row r="192" spans="1:14" ht="27.75" x14ac:dyDescent="0.3">
      <c r="A192" s="446"/>
      <c r="B192" s="661"/>
      <c r="C192" s="451"/>
      <c r="D192" s="641"/>
      <c r="E192" s="739" t="s">
        <v>1092</v>
      </c>
      <c r="F192" s="739" t="s">
        <v>976</v>
      </c>
      <c r="G192" s="739" t="s">
        <v>976</v>
      </c>
      <c r="H192" s="739" t="s">
        <v>976</v>
      </c>
      <c r="I192" s="739" t="s">
        <v>2047</v>
      </c>
      <c r="J192" s="656"/>
      <c r="K192" s="657"/>
      <c r="L192" s="658"/>
      <c r="M192" s="659"/>
    </row>
    <row r="193" spans="1:14" s="652" customFormat="1" x14ac:dyDescent="0.3">
      <c r="A193" s="526"/>
      <c r="B193" s="526" t="s">
        <v>955</v>
      </c>
      <c r="C193" s="451"/>
      <c r="D193" s="641"/>
      <c r="E193" s="740">
        <f>SUM(E194:E196)</f>
        <v>195954779</v>
      </c>
      <c r="F193" s="740">
        <v>161986194</v>
      </c>
      <c r="G193" s="740">
        <v>161986194</v>
      </c>
      <c r="H193" s="740">
        <f>SUM(H194:H196)</f>
        <v>161986194</v>
      </c>
      <c r="I193" s="740">
        <f>SUM(I194:I199)</f>
        <v>166647405.65099999</v>
      </c>
      <c r="J193" s="719"/>
      <c r="K193" s="709"/>
      <c r="L193" s="727"/>
      <c r="M193" s="721"/>
      <c r="N193" s="741"/>
    </row>
    <row r="194" spans="1:14" s="652" customFormat="1" x14ac:dyDescent="0.3">
      <c r="A194" s="526"/>
      <c r="B194" s="742" t="s">
        <v>963</v>
      </c>
      <c r="C194" s="451"/>
      <c r="D194" s="641"/>
      <c r="E194" s="450">
        <f>'Úvěry města'!D25</f>
        <v>55954779</v>
      </c>
      <c r="F194" s="450">
        <v>44545448</v>
      </c>
      <c r="G194" s="450">
        <v>44545448</v>
      </c>
      <c r="H194" s="450">
        <v>44545448</v>
      </c>
      <c r="I194" s="450">
        <v>35454538</v>
      </c>
      <c r="J194" s="719"/>
      <c r="K194" s="709"/>
      <c r="L194" s="727"/>
      <c r="M194" s="721"/>
      <c r="N194" s="741"/>
    </row>
    <row r="195" spans="1:14" s="652" customFormat="1" x14ac:dyDescent="0.3">
      <c r="A195" s="526"/>
      <c r="B195" s="742" t="s">
        <v>964</v>
      </c>
      <c r="C195" s="451"/>
      <c r="D195" s="641"/>
      <c r="E195" s="450">
        <f>'Úvěry města'!D26</f>
        <v>110000000</v>
      </c>
      <c r="F195" s="450">
        <v>87440746</v>
      </c>
      <c r="G195" s="450">
        <v>87440746</v>
      </c>
      <c r="H195" s="450">
        <v>87440746</v>
      </c>
      <c r="I195" s="450">
        <v>84028426</v>
      </c>
      <c r="J195" s="719"/>
      <c r="K195" s="709"/>
      <c r="L195" s="727"/>
      <c r="M195" s="721"/>
      <c r="N195" s="741"/>
    </row>
    <row r="196" spans="1:14" s="652" customFormat="1" x14ac:dyDescent="0.3">
      <c r="A196" s="526"/>
      <c r="B196" s="742" t="s">
        <v>1070</v>
      </c>
      <c r="C196" s="451"/>
      <c r="D196" s="641"/>
      <c r="E196" s="450">
        <v>30000000</v>
      </c>
      <c r="F196" s="450">
        <v>30000000</v>
      </c>
      <c r="G196" s="450">
        <v>30000000</v>
      </c>
      <c r="H196" s="450">
        <v>30000000</v>
      </c>
      <c r="I196" s="450">
        <v>30000000</v>
      </c>
      <c r="J196" s="719"/>
      <c r="K196" s="709"/>
      <c r="L196" s="727"/>
      <c r="M196" s="721"/>
      <c r="N196" s="741"/>
    </row>
    <row r="197" spans="1:14" s="660" customFormat="1" hidden="1" x14ac:dyDescent="0.3">
      <c r="A197" s="517"/>
      <c r="B197" s="742" t="s">
        <v>1070</v>
      </c>
      <c r="C197" s="654"/>
      <c r="D197" s="702"/>
      <c r="E197" s="743"/>
      <c r="F197" s="743"/>
      <c r="G197" s="743"/>
      <c r="H197" s="656"/>
      <c r="I197" s="656"/>
      <c r="J197" s="656"/>
      <c r="K197" s="670"/>
      <c r="L197" s="670"/>
      <c r="M197" s="659"/>
    </row>
    <row r="198" spans="1:14" s="652" customFormat="1" hidden="1" x14ac:dyDescent="0.3">
      <c r="A198" s="526"/>
      <c r="B198" s="742" t="s">
        <v>1070</v>
      </c>
      <c r="C198" s="719"/>
      <c r="D198" s="744"/>
      <c r="E198" s="745">
        <v>1.651</v>
      </c>
      <c r="F198" s="745">
        <v>1.651</v>
      </c>
      <c r="G198" s="745">
        <v>1.651</v>
      </c>
      <c r="H198" s="745">
        <v>1.651</v>
      </c>
      <c r="I198" s="745">
        <v>1.651</v>
      </c>
      <c r="J198" s="719"/>
      <c r="K198" s="709"/>
      <c r="L198" s="727"/>
      <c r="M198" s="721"/>
    </row>
    <row r="199" spans="1:14" s="711" customFormat="1" x14ac:dyDescent="0.3">
      <c r="A199" s="703"/>
      <c r="B199" s="742" t="s">
        <v>2046</v>
      </c>
      <c r="C199" s="708"/>
      <c r="D199" s="746"/>
      <c r="E199" s="708"/>
      <c r="F199" s="708"/>
      <c r="G199" s="708"/>
      <c r="H199" s="708"/>
      <c r="I199" s="450">
        <f>14720000+2444440</f>
        <v>17164440</v>
      </c>
      <c r="J199" s="719"/>
      <c r="K199" s="709"/>
      <c r="L199" s="709"/>
      <c r="M199" s="721"/>
    </row>
    <row r="200" spans="1:14" s="711" customFormat="1" x14ac:dyDescent="0.3">
      <c r="A200" s="704"/>
      <c r="B200" s="747"/>
      <c r="C200" s="748"/>
      <c r="D200" s="749"/>
      <c r="E200" s="748"/>
      <c r="F200" s="748"/>
      <c r="G200" s="748"/>
      <c r="H200" s="748"/>
      <c r="I200" s="748"/>
      <c r="J200" s="718"/>
      <c r="K200" s="750"/>
      <c r="L200" s="750"/>
      <c r="M200" s="751"/>
    </row>
    <row r="201" spans="1:14" s="711" customFormat="1" x14ac:dyDescent="0.3">
      <c r="A201" s="752" t="s">
        <v>650</v>
      </c>
      <c r="B201" s="753"/>
      <c r="C201" s="754"/>
      <c r="D201" s="755"/>
      <c r="E201" s="754"/>
      <c r="F201" s="754"/>
      <c r="G201" s="754"/>
      <c r="H201" s="754"/>
      <c r="I201" s="754"/>
      <c r="J201" s="756"/>
      <c r="K201" s="757"/>
      <c r="L201" s="757"/>
      <c r="M201" s="758"/>
    </row>
  </sheetData>
  <sheetProtection algorithmName="SHA-512" hashValue="HL9w/TC0E3EhhBbu27grvWyf5qIJk6yX9koFxotyvxOsfK0yZ5us5y74Tkp1zZNCnmW+Jao0BidrpOPfUf6OeA==" saltValue="PCP3Eb8603jFIgEQt7iuwQ==" spinCount="100000" sheet="1" objects="1" scenarios="1"/>
  <pageMargins left="0.70866141732283472" right="0.70866141732283472" top="0.39370078740157483" bottom="0.39370078740157483" header="0.31496062992125984" footer="0.31496062992125984"/>
  <pageSetup paperSize="9" scale="65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46"/>
  <sheetViews>
    <sheetView topLeftCell="A4" workbookViewId="0">
      <pane xSplit="3" ySplit="1" topLeftCell="E5" activePane="bottomRight" state="frozen"/>
      <selection activeCell="A4" sqref="A4"/>
      <selection pane="topRight" activeCell="D4" sqref="D4"/>
      <selection pane="bottomLeft" activeCell="A5" sqref="A5"/>
      <selection pane="bottomRight" activeCell="K6" sqref="K6"/>
    </sheetView>
  </sheetViews>
  <sheetFormatPr defaultColWidth="9.140625" defaultRowHeight="13.5" outlineLevelRow="1" outlineLevelCol="1" x14ac:dyDescent="0.25"/>
  <cols>
    <col min="1" max="1" width="7.7109375" style="606" customWidth="1"/>
    <col min="2" max="2" width="54.140625" style="448" bestFit="1" customWidth="1"/>
    <col min="3" max="3" width="14.140625" style="481" customWidth="1"/>
    <col min="4" max="4" width="12.42578125" style="448" bestFit="1" customWidth="1"/>
    <col min="5" max="5" width="13.7109375" style="448" bestFit="1" customWidth="1"/>
    <col min="6" max="6" width="12.42578125" style="448" customWidth="1" outlineLevel="1"/>
    <col min="7" max="7" width="10.140625" style="448" customWidth="1" outlineLevel="1"/>
    <col min="8" max="8" width="12.42578125" style="448" customWidth="1" outlineLevel="1"/>
    <col min="9" max="9" width="13.7109375" style="448" hidden="1" customWidth="1" outlineLevel="1"/>
    <col min="10" max="10" width="13.7109375" style="448" customWidth="1" outlineLevel="1"/>
    <col min="11" max="11" width="12.42578125" style="448" customWidth="1" outlineLevel="1"/>
    <col min="12" max="12" width="12.5703125" style="448" customWidth="1"/>
    <col min="13" max="13" width="12.42578125" style="448" hidden="1" customWidth="1" outlineLevel="1"/>
    <col min="14" max="16" width="12.42578125" style="448" customWidth="1" outlineLevel="1"/>
    <col min="17" max="17" width="12.42578125" style="607" bestFit="1" customWidth="1"/>
    <col min="18" max="18" width="10.7109375" style="448" bestFit="1" customWidth="1"/>
    <col min="19" max="16384" width="9.140625" style="448"/>
  </cols>
  <sheetData>
    <row r="1" spans="1:18" ht="16.5" x14ac:dyDescent="0.3">
      <c r="A1" s="445" t="s">
        <v>1577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7"/>
    </row>
    <row r="2" spans="1:18" ht="16.5" x14ac:dyDescent="0.3">
      <c r="A2" s="449" t="s">
        <v>392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7"/>
    </row>
    <row r="3" spans="1:18" ht="14.25" thickBot="1" x14ac:dyDescent="0.3">
      <c r="A3" s="446"/>
      <c r="B3" s="446"/>
      <c r="C3" s="450"/>
      <c r="D3" s="450"/>
      <c r="E3" s="450"/>
      <c r="F3" s="450"/>
      <c r="G3" s="450"/>
      <c r="H3" s="451"/>
      <c r="I3" s="451">
        <v>2021</v>
      </c>
      <c r="J3" s="451"/>
      <c r="K3" s="451"/>
      <c r="L3" s="451"/>
      <c r="M3" s="451"/>
      <c r="N3" s="451"/>
      <c r="O3" s="451"/>
      <c r="P3" s="451"/>
      <c r="Q3" s="447"/>
    </row>
    <row r="4" spans="1:18" ht="40.5" customHeight="1" thickBot="1" x14ac:dyDescent="0.3">
      <c r="A4" s="452" t="s">
        <v>559</v>
      </c>
      <c r="B4" s="453" t="s">
        <v>0</v>
      </c>
      <c r="C4" s="454" t="s">
        <v>1288</v>
      </c>
      <c r="D4" s="455" t="s">
        <v>414</v>
      </c>
      <c r="E4" s="456" t="s">
        <v>406</v>
      </c>
      <c r="F4" s="457" t="s">
        <v>183</v>
      </c>
      <c r="G4" s="457" t="s">
        <v>175</v>
      </c>
      <c r="H4" s="458" t="s">
        <v>688</v>
      </c>
      <c r="I4" s="459" t="s">
        <v>1617</v>
      </c>
      <c r="J4" s="458" t="s">
        <v>560</v>
      </c>
      <c r="K4" s="460" t="s">
        <v>1813</v>
      </c>
      <c r="L4" s="456" t="s">
        <v>390</v>
      </c>
      <c r="M4" s="457" t="s">
        <v>1618</v>
      </c>
      <c r="N4" s="459" t="s">
        <v>185</v>
      </c>
      <c r="O4" s="461" t="s">
        <v>186</v>
      </c>
      <c r="P4" s="460" t="s">
        <v>867</v>
      </c>
      <c r="Q4" s="447"/>
    </row>
    <row r="5" spans="1:18" s="472" customFormat="1" x14ac:dyDescent="0.25">
      <c r="A5" s="462"/>
      <c r="B5" s="463" t="s">
        <v>684</v>
      </c>
      <c r="C5" s="464">
        <f>+C6+C7+C15</f>
        <v>25870137.539999999</v>
      </c>
      <c r="D5" s="465">
        <f>+D6+D7+D15</f>
        <v>1794956.9999999998</v>
      </c>
      <c r="E5" s="466">
        <f>+E6+E7+E15</f>
        <v>24075180.539999999</v>
      </c>
      <c r="F5" s="467">
        <f>+F6+F7+F15</f>
        <v>1855084.504</v>
      </c>
      <c r="G5" s="467">
        <f t="shared" ref="G5:P5" si="0">+G6+G7+G15</f>
        <v>529136.65599999996</v>
      </c>
      <c r="H5" s="468">
        <f t="shared" si="0"/>
        <v>7026183.5199999996</v>
      </c>
      <c r="I5" s="468">
        <f t="shared" si="0"/>
        <v>0</v>
      </c>
      <c r="J5" s="468">
        <f>+J6+J7+J15</f>
        <v>1382542.4</v>
      </c>
      <c r="K5" s="469">
        <f t="shared" si="0"/>
        <v>13282233.460000001</v>
      </c>
      <c r="L5" s="466">
        <f t="shared" si="0"/>
        <v>0</v>
      </c>
      <c r="M5" s="470">
        <f t="shared" si="0"/>
        <v>0</v>
      </c>
      <c r="N5" s="468">
        <f t="shared" si="0"/>
        <v>0</v>
      </c>
      <c r="O5" s="470">
        <f t="shared" si="0"/>
        <v>0</v>
      </c>
      <c r="P5" s="469">
        <f t="shared" si="0"/>
        <v>0</v>
      </c>
      <c r="Q5" s="471"/>
    </row>
    <row r="6" spans="1:18" x14ac:dyDescent="0.25">
      <c r="A6" s="2217" t="s">
        <v>612</v>
      </c>
      <c r="B6" s="473" t="s">
        <v>685</v>
      </c>
      <c r="C6" s="474">
        <f>+E6+L6+D6</f>
        <v>15775302.859999999</v>
      </c>
      <c r="D6" s="475">
        <v>1746987.8599999999</v>
      </c>
      <c r="E6" s="476">
        <f>SUM(F6:K6)</f>
        <v>14028315</v>
      </c>
      <c r="F6" s="477">
        <f>750000+200000+633014</f>
        <v>1583014</v>
      </c>
      <c r="G6" s="477">
        <v>500000</v>
      </c>
      <c r="H6" s="478">
        <f>1750000+500000-2000000</f>
        <v>250000</v>
      </c>
      <c r="I6" s="478"/>
      <c r="J6" s="478">
        <f>1300000-700000</f>
        <v>600000</v>
      </c>
      <c r="K6" s="479">
        <f>8301500+600000-368539+700000+2520051-504020-103500-633014+182988+399835</f>
        <v>11095301</v>
      </c>
      <c r="L6" s="476">
        <f t="shared" ref="L6:L46" si="1">SUM(M6:P6)</f>
        <v>0</v>
      </c>
      <c r="M6" s="480">
        <v>0</v>
      </c>
      <c r="N6" s="478">
        <v>0</v>
      </c>
      <c r="O6" s="480">
        <v>0</v>
      </c>
      <c r="P6" s="479">
        <v>0</v>
      </c>
      <c r="Q6" s="447"/>
      <c r="R6" s="481"/>
    </row>
    <row r="7" spans="1:18" ht="13.5" customHeight="1" x14ac:dyDescent="0.25">
      <c r="A7" s="2218"/>
      <c r="B7" s="482" t="s">
        <v>305</v>
      </c>
      <c r="C7" s="474">
        <f>SUM(C8:C14)</f>
        <v>3105000</v>
      </c>
      <c r="D7" s="475">
        <f t="shared" ref="D7:P7" si="2">SUM(D8:D14)</f>
        <v>0</v>
      </c>
      <c r="E7" s="476">
        <f>SUM(E8:E14)</f>
        <v>3105000</v>
      </c>
      <c r="F7" s="477">
        <f t="shared" si="2"/>
        <v>0</v>
      </c>
      <c r="G7" s="477">
        <f t="shared" si="2"/>
        <v>0</v>
      </c>
      <c r="H7" s="478">
        <f t="shared" si="2"/>
        <v>950000</v>
      </c>
      <c r="I7" s="478">
        <f t="shared" si="2"/>
        <v>0</v>
      </c>
      <c r="J7" s="478">
        <f t="shared" si="2"/>
        <v>770000</v>
      </c>
      <c r="K7" s="479">
        <f t="shared" si="2"/>
        <v>1385000</v>
      </c>
      <c r="L7" s="476">
        <f t="shared" si="1"/>
        <v>0</v>
      </c>
      <c r="M7" s="480">
        <f t="shared" ref="M7" si="3">SUM(M8:M14)</f>
        <v>0</v>
      </c>
      <c r="N7" s="478">
        <f t="shared" si="2"/>
        <v>0</v>
      </c>
      <c r="O7" s="480">
        <f t="shared" si="2"/>
        <v>0</v>
      </c>
      <c r="P7" s="479">
        <f t="shared" si="2"/>
        <v>0</v>
      </c>
      <c r="Q7" s="447"/>
    </row>
    <row r="8" spans="1:18" outlineLevel="1" x14ac:dyDescent="0.25">
      <c r="A8" s="2218"/>
      <c r="B8" s="483" t="s">
        <v>1613</v>
      </c>
      <c r="C8" s="484">
        <f t="shared" ref="C8:C14" si="4">+E8+L8+D8</f>
        <v>770000</v>
      </c>
      <c r="D8" s="485">
        <v>0</v>
      </c>
      <c r="E8" s="486">
        <f t="shared" ref="E8:E46" si="5">SUM(F8:K8)</f>
        <v>770000</v>
      </c>
      <c r="F8" s="487"/>
      <c r="G8" s="487"/>
      <c r="H8" s="488"/>
      <c r="I8" s="489"/>
      <c r="J8" s="490">
        <v>770000</v>
      </c>
      <c r="K8" s="491"/>
      <c r="L8" s="486">
        <f t="shared" si="1"/>
        <v>0</v>
      </c>
      <c r="M8" s="489"/>
      <c r="N8" s="488">
        <v>0</v>
      </c>
      <c r="O8" s="489">
        <v>0</v>
      </c>
      <c r="P8" s="491">
        <v>0</v>
      </c>
      <c r="Q8" s="447"/>
    </row>
    <row r="9" spans="1:18" outlineLevel="1" x14ac:dyDescent="0.25">
      <c r="A9" s="2218"/>
      <c r="B9" s="483" t="s">
        <v>318</v>
      </c>
      <c r="C9" s="484">
        <f t="shared" si="4"/>
        <v>950000</v>
      </c>
      <c r="D9" s="485">
        <v>0</v>
      </c>
      <c r="E9" s="486">
        <f t="shared" si="5"/>
        <v>950000</v>
      </c>
      <c r="F9" s="487"/>
      <c r="G9" s="487"/>
      <c r="H9" s="488">
        <v>950000</v>
      </c>
      <c r="I9" s="489"/>
      <c r="J9" s="488"/>
      <c r="K9" s="491"/>
      <c r="L9" s="486">
        <f t="shared" si="1"/>
        <v>0</v>
      </c>
      <c r="M9" s="489"/>
      <c r="N9" s="488">
        <v>0</v>
      </c>
      <c r="O9" s="489">
        <v>0</v>
      </c>
      <c r="P9" s="491">
        <v>0</v>
      </c>
      <c r="Q9" s="447"/>
    </row>
    <row r="10" spans="1:18" ht="27" outlineLevel="1" x14ac:dyDescent="0.25">
      <c r="A10" s="2218"/>
      <c r="B10" s="483" t="s">
        <v>1697</v>
      </c>
      <c r="C10" s="484">
        <f t="shared" si="4"/>
        <v>0</v>
      </c>
      <c r="D10" s="485"/>
      <c r="E10" s="486">
        <f t="shared" si="5"/>
        <v>0</v>
      </c>
      <c r="F10" s="487"/>
      <c r="G10" s="487"/>
      <c r="H10" s="490"/>
      <c r="I10" s="489"/>
      <c r="J10" s="488"/>
      <c r="K10" s="491"/>
      <c r="L10" s="486">
        <f t="shared" si="1"/>
        <v>0</v>
      </c>
      <c r="M10" s="489"/>
      <c r="N10" s="488">
        <v>0</v>
      </c>
      <c r="O10" s="489">
        <v>0</v>
      </c>
      <c r="P10" s="491">
        <v>0</v>
      </c>
      <c r="Q10" s="447" t="s">
        <v>1695</v>
      </c>
    </row>
    <row r="11" spans="1:18" outlineLevel="1" x14ac:dyDescent="0.25">
      <c r="A11" s="2218"/>
      <c r="B11" s="483" t="s">
        <v>1388</v>
      </c>
      <c r="C11" s="484">
        <f t="shared" si="4"/>
        <v>400000</v>
      </c>
      <c r="D11" s="485">
        <v>0</v>
      </c>
      <c r="E11" s="486">
        <f t="shared" si="5"/>
        <v>400000</v>
      </c>
      <c r="F11" s="487"/>
      <c r="G11" s="487"/>
      <c r="H11" s="488"/>
      <c r="I11" s="489"/>
      <c r="J11" s="488"/>
      <c r="K11" s="491">
        <v>400000</v>
      </c>
      <c r="L11" s="486">
        <f t="shared" si="1"/>
        <v>0</v>
      </c>
      <c r="M11" s="489"/>
      <c r="N11" s="488">
        <v>0</v>
      </c>
      <c r="O11" s="489">
        <v>0</v>
      </c>
      <c r="P11" s="491">
        <v>0</v>
      </c>
      <c r="Q11" s="447"/>
    </row>
    <row r="12" spans="1:18" outlineLevel="1" x14ac:dyDescent="0.25">
      <c r="A12" s="2218"/>
      <c r="B12" s="483" t="s">
        <v>1615</v>
      </c>
      <c r="C12" s="484">
        <f t="shared" si="4"/>
        <v>0</v>
      </c>
      <c r="D12" s="485">
        <v>0</v>
      </c>
      <c r="E12" s="486">
        <f t="shared" si="5"/>
        <v>0</v>
      </c>
      <c r="F12" s="487"/>
      <c r="G12" s="487"/>
      <c r="H12" s="488"/>
      <c r="I12" s="489"/>
      <c r="J12" s="488"/>
      <c r="K12" s="491"/>
      <c r="L12" s="486">
        <f t="shared" si="1"/>
        <v>0</v>
      </c>
      <c r="M12" s="489"/>
      <c r="N12" s="488"/>
      <c r="O12" s="489">
        <v>0</v>
      </c>
      <c r="P12" s="491">
        <v>0</v>
      </c>
      <c r="Q12" s="447"/>
    </row>
    <row r="13" spans="1:18" outlineLevel="1" x14ac:dyDescent="0.25">
      <c r="A13" s="2218"/>
      <c r="B13" s="483" t="s">
        <v>1389</v>
      </c>
      <c r="C13" s="484">
        <f t="shared" si="4"/>
        <v>810000</v>
      </c>
      <c r="D13" s="485"/>
      <c r="E13" s="486">
        <f t="shared" si="5"/>
        <v>810000</v>
      </c>
      <c r="F13" s="487"/>
      <c r="G13" s="487"/>
      <c r="H13" s="488"/>
      <c r="I13" s="489"/>
      <c r="J13" s="488"/>
      <c r="K13" s="491">
        <v>810000</v>
      </c>
      <c r="L13" s="486">
        <f t="shared" si="1"/>
        <v>0</v>
      </c>
      <c r="M13" s="489"/>
      <c r="N13" s="488"/>
      <c r="O13" s="489"/>
      <c r="P13" s="491"/>
      <c r="Q13" s="447"/>
    </row>
    <row r="14" spans="1:18" outlineLevel="1" x14ac:dyDescent="0.25">
      <c r="A14" s="2218"/>
      <c r="B14" s="483" t="s">
        <v>1627</v>
      </c>
      <c r="C14" s="484">
        <f t="shared" si="4"/>
        <v>175000</v>
      </c>
      <c r="D14" s="485">
        <v>0</v>
      </c>
      <c r="E14" s="486">
        <f t="shared" si="5"/>
        <v>175000</v>
      </c>
      <c r="F14" s="487"/>
      <c r="G14" s="487"/>
      <c r="H14" s="492"/>
      <c r="I14" s="493"/>
      <c r="J14" s="492"/>
      <c r="K14" s="491">
        <v>175000</v>
      </c>
      <c r="L14" s="486">
        <f t="shared" si="1"/>
        <v>0</v>
      </c>
      <c r="M14" s="489"/>
      <c r="N14" s="488">
        <v>0</v>
      </c>
      <c r="O14" s="489">
        <v>0</v>
      </c>
      <c r="P14" s="491">
        <v>0</v>
      </c>
      <c r="Q14" s="447"/>
    </row>
    <row r="15" spans="1:18" s="472" customFormat="1" x14ac:dyDescent="0.25">
      <c r="A15" s="2218"/>
      <c r="B15" s="494" t="s">
        <v>609</v>
      </c>
      <c r="C15" s="495">
        <f>SUM(C16:C28)</f>
        <v>6989834.6799999997</v>
      </c>
      <c r="D15" s="475">
        <f>SUM(D16:D28)</f>
        <v>47969.14</v>
      </c>
      <c r="E15" s="476">
        <f>SUM(E16:E28)</f>
        <v>6941865.54</v>
      </c>
      <c r="F15" s="477">
        <f t="shared" ref="F15:K15" si="6">SUM(F16:F28)</f>
        <v>272070.50400000002</v>
      </c>
      <c r="G15" s="477">
        <f t="shared" si="6"/>
        <v>29136.656000000003</v>
      </c>
      <c r="H15" s="478">
        <f t="shared" si="6"/>
        <v>5826183.5199999996</v>
      </c>
      <c r="I15" s="478">
        <f t="shared" si="6"/>
        <v>0</v>
      </c>
      <c r="J15" s="478">
        <f t="shared" si="6"/>
        <v>12542.4</v>
      </c>
      <c r="K15" s="479">
        <f t="shared" si="6"/>
        <v>801932.46</v>
      </c>
      <c r="L15" s="476">
        <f t="shared" si="1"/>
        <v>0</v>
      </c>
      <c r="M15" s="480">
        <f>SUM(M16:M28)</f>
        <v>0</v>
      </c>
      <c r="N15" s="478">
        <f>SUM(N16:N28)</f>
        <v>0</v>
      </c>
      <c r="O15" s="480">
        <f>SUM(O16:O28)</f>
        <v>0</v>
      </c>
      <c r="P15" s="479">
        <f>SUM(P16:P28)</f>
        <v>0</v>
      </c>
      <c r="Q15" s="496"/>
    </row>
    <row r="16" spans="1:18" ht="12.75" customHeight="1" outlineLevel="1" x14ac:dyDescent="0.25">
      <c r="A16" s="2218"/>
      <c r="B16" s="483" t="s">
        <v>610</v>
      </c>
      <c r="C16" s="484">
        <f t="shared" ref="C16:C28" si="7">+E16+L16+D16</f>
        <v>90000</v>
      </c>
      <c r="D16" s="485">
        <v>0</v>
      </c>
      <c r="E16" s="486">
        <f t="shared" si="5"/>
        <v>90000</v>
      </c>
      <c r="F16" s="487"/>
      <c r="G16" s="487">
        <f>+'Výdaje kapitol celkem'!AO22</f>
        <v>20000</v>
      </c>
      <c r="H16" s="488"/>
      <c r="I16" s="489"/>
      <c r="J16" s="488"/>
      <c r="K16" s="491">
        <f>+'Výdaje kapitol celkem'!Q22</f>
        <v>70000</v>
      </c>
      <c r="L16" s="486">
        <f t="shared" si="1"/>
        <v>0</v>
      </c>
      <c r="M16" s="489"/>
      <c r="N16" s="488">
        <v>0</v>
      </c>
      <c r="O16" s="489">
        <v>0</v>
      </c>
      <c r="P16" s="491">
        <v>0</v>
      </c>
      <c r="Q16" s="447"/>
    </row>
    <row r="17" spans="1:17" outlineLevel="1" x14ac:dyDescent="0.25">
      <c r="A17" s="2218"/>
      <c r="B17" s="483" t="s">
        <v>1619</v>
      </c>
      <c r="C17" s="484">
        <f t="shared" si="7"/>
        <v>180000</v>
      </c>
      <c r="D17" s="485">
        <v>0</v>
      </c>
      <c r="E17" s="486">
        <f t="shared" si="5"/>
        <v>180000</v>
      </c>
      <c r="F17" s="487"/>
      <c r="G17" s="487"/>
      <c r="H17" s="497"/>
      <c r="I17" s="498"/>
      <c r="J17" s="497"/>
      <c r="K17" s="499">
        <f>+'Výdaje kapitol celkem'!AC35</f>
        <v>180000</v>
      </c>
      <c r="L17" s="486">
        <f t="shared" si="1"/>
        <v>0</v>
      </c>
      <c r="M17" s="489"/>
      <c r="N17" s="488">
        <v>0</v>
      </c>
      <c r="O17" s="489">
        <v>0</v>
      </c>
      <c r="P17" s="491">
        <v>0</v>
      </c>
      <c r="Q17" s="447"/>
    </row>
    <row r="18" spans="1:17" outlineLevel="1" x14ac:dyDescent="0.25">
      <c r="A18" s="2218"/>
      <c r="B18" s="483" t="s">
        <v>1620</v>
      </c>
      <c r="C18" s="484">
        <f t="shared" si="7"/>
        <v>0</v>
      </c>
      <c r="D18" s="485"/>
      <c r="E18" s="486">
        <f t="shared" si="5"/>
        <v>0</v>
      </c>
      <c r="F18" s="487"/>
      <c r="G18" s="487"/>
      <c r="H18" s="488"/>
      <c r="I18" s="489"/>
      <c r="J18" s="488"/>
      <c r="K18" s="491">
        <f>'Výdaje kapitol celkem'!AI35</f>
        <v>0</v>
      </c>
      <c r="L18" s="486">
        <f t="shared" si="1"/>
        <v>0</v>
      </c>
      <c r="M18" s="489"/>
      <c r="N18" s="488"/>
      <c r="O18" s="489"/>
      <c r="P18" s="491"/>
      <c r="Q18" s="447"/>
    </row>
    <row r="19" spans="1:17" outlineLevel="1" x14ac:dyDescent="0.25">
      <c r="A19" s="2218"/>
      <c r="B19" s="483" t="s">
        <v>1621</v>
      </c>
      <c r="C19" s="484">
        <f t="shared" si="7"/>
        <v>150000</v>
      </c>
      <c r="D19" s="485"/>
      <c r="E19" s="486">
        <f t="shared" si="5"/>
        <v>150000</v>
      </c>
      <c r="F19" s="487"/>
      <c r="G19" s="487"/>
      <c r="H19" s="488"/>
      <c r="I19" s="489"/>
      <c r="J19" s="488"/>
      <c r="K19" s="491">
        <f>+'Výdaje kapitol celkem'!AR35</f>
        <v>150000</v>
      </c>
      <c r="L19" s="486">
        <f t="shared" si="1"/>
        <v>0</v>
      </c>
      <c r="M19" s="489"/>
      <c r="N19" s="488"/>
      <c r="O19" s="489"/>
      <c r="P19" s="491"/>
      <c r="Q19" s="447"/>
    </row>
    <row r="20" spans="1:17" outlineLevel="1" x14ac:dyDescent="0.25">
      <c r="A20" s="2218"/>
      <c r="B20" s="483" t="s">
        <v>1622</v>
      </c>
      <c r="C20" s="484">
        <f t="shared" si="7"/>
        <v>20000</v>
      </c>
      <c r="D20" s="485"/>
      <c r="E20" s="486">
        <f t="shared" si="5"/>
        <v>20000</v>
      </c>
      <c r="F20" s="487"/>
      <c r="G20" s="487"/>
      <c r="H20" s="488"/>
      <c r="I20" s="489"/>
      <c r="J20" s="488"/>
      <c r="K20" s="491">
        <f>'Výdaje kapitol celkem'!BD35</f>
        <v>20000</v>
      </c>
      <c r="L20" s="486">
        <f t="shared" si="1"/>
        <v>0</v>
      </c>
      <c r="M20" s="489"/>
      <c r="N20" s="488"/>
      <c r="O20" s="489"/>
      <c r="P20" s="491"/>
      <c r="Q20" s="447"/>
    </row>
    <row r="21" spans="1:17" outlineLevel="1" x14ac:dyDescent="0.25">
      <c r="A21" s="2218"/>
      <c r="B21" s="483" t="s">
        <v>1624</v>
      </c>
      <c r="C21" s="484">
        <f t="shared" si="7"/>
        <v>40000</v>
      </c>
      <c r="D21" s="485"/>
      <c r="E21" s="486">
        <f t="shared" si="5"/>
        <v>40000</v>
      </c>
      <c r="F21" s="487"/>
      <c r="G21" s="487"/>
      <c r="H21" s="488"/>
      <c r="I21" s="489"/>
      <c r="J21" s="488"/>
      <c r="K21" s="491">
        <f>'Výdaje kapitol celkem'!BG35+'Výdaje kapitol celkem'!BN35</f>
        <v>40000</v>
      </c>
      <c r="L21" s="486">
        <f t="shared" si="1"/>
        <v>0</v>
      </c>
      <c r="M21" s="489"/>
      <c r="N21" s="488"/>
      <c r="O21" s="489"/>
      <c r="P21" s="491"/>
      <c r="Q21" s="447"/>
    </row>
    <row r="22" spans="1:17" outlineLevel="1" x14ac:dyDescent="0.25">
      <c r="A22" s="2218"/>
      <c r="B22" s="483" t="s">
        <v>1623</v>
      </c>
      <c r="C22" s="484">
        <f t="shared" si="7"/>
        <v>0</v>
      </c>
      <c r="D22" s="485"/>
      <c r="E22" s="486">
        <f t="shared" si="5"/>
        <v>0</v>
      </c>
      <c r="F22" s="487"/>
      <c r="G22" s="487"/>
      <c r="H22" s="488"/>
      <c r="I22" s="489"/>
      <c r="J22" s="488"/>
      <c r="K22" s="491">
        <f>'Výdaje kapitol celkem'!BJ35</f>
        <v>0</v>
      </c>
      <c r="L22" s="486">
        <f t="shared" si="1"/>
        <v>0</v>
      </c>
      <c r="M22" s="489"/>
      <c r="N22" s="488"/>
      <c r="O22" s="489"/>
      <c r="P22" s="491"/>
      <c r="Q22" s="447"/>
    </row>
    <row r="23" spans="1:17" outlineLevel="1" x14ac:dyDescent="0.25">
      <c r="A23" s="2218"/>
      <c r="B23" s="483" t="s">
        <v>183</v>
      </c>
      <c r="C23" s="484">
        <f t="shared" si="7"/>
        <v>250000</v>
      </c>
      <c r="D23" s="485"/>
      <c r="E23" s="486">
        <f t="shared" si="5"/>
        <v>250000</v>
      </c>
      <c r="F23" s="487">
        <f>'Výdaje kapitol celkem'!BR35</f>
        <v>250000</v>
      </c>
      <c r="G23" s="487"/>
      <c r="H23" s="488"/>
      <c r="I23" s="489"/>
      <c r="J23" s="488"/>
      <c r="K23" s="491"/>
      <c r="L23" s="486">
        <f t="shared" si="1"/>
        <v>0</v>
      </c>
      <c r="M23" s="489"/>
      <c r="N23" s="488"/>
      <c r="O23" s="489"/>
      <c r="P23" s="491"/>
      <c r="Q23" s="447"/>
    </row>
    <row r="24" spans="1:17" outlineLevel="1" x14ac:dyDescent="0.25">
      <c r="A24" s="2218"/>
      <c r="B24" s="483" t="s">
        <v>405</v>
      </c>
      <c r="C24" s="484">
        <f t="shared" si="7"/>
        <v>100000</v>
      </c>
      <c r="D24" s="485"/>
      <c r="E24" s="486">
        <f t="shared" si="5"/>
        <v>100000</v>
      </c>
      <c r="F24" s="487"/>
      <c r="G24" s="487"/>
      <c r="H24" s="488"/>
      <c r="I24" s="489"/>
      <c r="J24" s="488"/>
      <c r="K24" s="491">
        <f>'Výdaje kapitol celkem'!BU35</f>
        <v>100000</v>
      </c>
      <c r="L24" s="486">
        <f t="shared" si="1"/>
        <v>0</v>
      </c>
      <c r="M24" s="489"/>
      <c r="N24" s="488"/>
      <c r="O24" s="489"/>
      <c r="P24" s="491"/>
      <c r="Q24" s="447"/>
    </row>
    <row r="25" spans="1:17" outlineLevel="1" x14ac:dyDescent="0.25">
      <c r="A25" s="2218"/>
      <c r="B25" s="483" t="s">
        <v>186</v>
      </c>
      <c r="C25" s="484">
        <f t="shared" si="7"/>
        <v>0</v>
      </c>
      <c r="D25" s="485"/>
      <c r="E25" s="486">
        <f t="shared" si="5"/>
        <v>0</v>
      </c>
      <c r="F25" s="487"/>
      <c r="G25" s="487"/>
      <c r="H25" s="488"/>
      <c r="I25" s="489">
        <f>'Výdaje kapitol celkem'!CE34+'Výdaje kapitol celkem'!CE35</f>
        <v>0</v>
      </c>
      <c r="J25" s="488"/>
      <c r="K25" s="491"/>
      <c r="L25" s="486">
        <f t="shared" si="1"/>
        <v>0</v>
      </c>
      <c r="M25" s="489"/>
      <c r="N25" s="488"/>
      <c r="O25" s="489"/>
      <c r="P25" s="491"/>
      <c r="Q25" s="447"/>
    </row>
    <row r="26" spans="1:17" outlineLevel="1" x14ac:dyDescent="0.25">
      <c r="A26" s="2218"/>
      <c r="B26" s="483" t="s">
        <v>848</v>
      </c>
      <c r="C26" s="484">
        <f t="shared" si="7"/>
        <v>5020000</v>
      </c>
      <c r="D26" s="485">
        <v>0</v>
      </c>
      <c r="E26" s="486">
        <f t="shared" si="5"/>
        <v>5020000</v>
      </c>
      <c r="F26" s="487"/>
      <c r="G26" s="487"/>
      <c r="H26" s="488">
        <f>'Výdaje kapitol celkem'!CO34+'Výdaje kapitol celkem'!CU34</f>
        <v>5020000</v>
      </c>
      <c r="I26" s="489"/>
      <c r="J26" s="488"/>
      <c r="K26" s="491"/>
      <c r="L26" s="486">
        <f t="shared" si="1"/>
        <v>0</v>
      </c>
      <c r="M26" s="489"/>
      <c r="N26" s="488">
        <v>0</v>
      </c>
      <c r="O26" s="489">
        <v>0</v>
      </c>
      <c r="P26" s="491">
        <v>0</v>
      </c>
      <c r="Q26" s="447"/>
    </row>
    <row r="27" spans="1:17" s="518" customFormat="1" outlineLevel="1" x14ac:dyDescent="0.25">
      <c r="A27" s="2218"/>
      <c r="B27" s="1782" t="s">
        <v>1698</v>
      </c>
      <c r="C27" s="1783">
        <f t="shared" si="7"/>
        <v>389834.68</v>
      </c>
      <c r="D27" s="1784">
        <v>47969.14</v>
      </c>
      <c r="E27" s="1785">
        <f t="shared" si="5"/>
        <v>341865.54</v>
      </c>
      <c r="F27" s="1786">
        <v>22070.504000000001</v>
      </c>
      <c r="G27" s="1786">
        <v>9136.6560000000009</v>
      </c>
      <c r="H27" s="490">
        <v>56183.520000000004</v>
      </c>
      <c r="I27" s="627">
        <v>0</v>
      </c>
      <c r="J27" s="490">
        <v>12542.4</v>
      </c>
      <c r="K27" s="1787">
        <v>241932.46</v>
      </c>
      <c r="L27" s="1785">
        <f t="shared" si="1"/>
        <v>0</v>
      </c>
      <c r="M27" s="627">
        <v>0</v>
      </c>
      <c r="N27" s="490">
        <v>0</v>
      </c>
      <c r="O27" s="627">
        <v>0</v>
      </c>
      <c r="P27" s="1787">
        <v>0</v>
      </c>
      <c r="Q27" s="517"/>
    </row>
    <row r="28" spans="1:17" outlineLevel="1" x14ac:dyDescent="0.25">
      <c r="A28" s="2218"/>
      <c r="B28" s="483" t="s">
        <v>608</v>
      </c>
      <c r="C28" s="484">
        <f t="shared" si="7"/>
        <v>750000</v>
      </c>
      <c r="D28" s="485">
        <v>0</v>
      </c>
      <c r="E28" s="486">
        <f t="shared" si="5"/>
        <v>750000</v>
      </c>
      <c r="F28" s="487"/>
      <c r="G28" s="487"/>
      <c r="H28" s="488">
        <f>'Výdaje kapitol celkem'!CR34</f>
        <v>750000</v>
      </c>
      <c r="I28" s="489"/>
      <c r="J28" s="488"/>
      <c r="K28" s="491"/>
      <c r="L28" s="486">
        <f t="shared" si="1"/>
        <v>0</v>
      </c>
      <c r="M28" s="489"/>
      <c r="N28" s="488">
        <v>0</v>
      </c>
      <c r="O28" s="489">
        <v>0</v>
      </c>
      <c r="P28" s="491">
        <v>0</v>
      </c>
      <c r="Q28" s="447"/>
    </row>
    <row r="29" spans="1:17" x14ac:dyDescent="0.25">
      <c r="A29" s="500"/>
      <c r="B29" s="501" t="s">
        <v>323</v>
      </c>
      <c r="C29" s="495">
        <f t="shared" ref="C29:P29" si="8">SUM(C30:C30)</f>
        <v>250000</v>
      </c>
      <c r="D29" s="475">
        <f t="shared" si="8"/>
        <v>0</v>
      </c>
      <c r="E29" s="476">
        <f t="shared" ref="E29:E38" si="9">SUM(F29:K29)</f>
        <v>50000</v>
      </c>
      <c r="F29" s="477">
        <f t="shared" si="8"/>
        <v>0</v>
      </c>
      <c r="G29" s="477">
        <f t="shared" si="8"/>
        <v>0</v>
      </c>
      <c r="H29" s="478">
        <v>50000</v>
      </c>
      <c r="I29" s="478">
        <f t="shared" si="8"/>
        <v>0</v>
      </c>
      <c r="J29" s="478">
        <f t="shared" si="8"/>
        <v>0</v>
      </c>
      <c r="K29" s="479">
        <f t="shared" si="8"/>
        <v>0</v>
      </c>
      <c r="L29" s="486">
        <f t="shared" si="1"/>
        <v>0</v>
      </c>
      <c r="M29" s="480">
        <f t="shared" si="8"/>
        <v>0</v>
      </c>
      <c r="N29" s="478">
        <f t="shared" si="8"/>
        <v>0</v>
      </c>
      <c r="O29" s="480">
        <f t="shared" si="8"/>
        <v>0</v>
      </c>
      <c r="P29" s="479">
        <f t="shared" si="8"/>
        <v>0</v>
      </c>
      <c r="Q29" s="447"/>
    </row>
    <row r="30" spans="1:17" hidden="1" outlineLevel="1" x14ac:dyDescent="0.25">
      <c r="A30" s="502"/>
      <c r="B30" s="503" t="s">
        <v>849</v>
      </c>
      <c r="C30" s="504">
        <f>+E30+L30+D30</f>
        <v>250000</v>
      </c>
      <c r="D30" s="505">
        <v>0</v>
      </c>
      <c r="E30" s="506">
        <f t="shared" si="5"/>
        <v>250000</v>
      </c>
      <c r="F30" s="507">
        <v>0</v>
      </c>
      <c r="G30" s="507">
        <v>0</v>
      </c>
      <c r="H30" s="497">
        <v>250000</v>
      </c>
      <c r="I30" s="498"/>
      <c r="J30" s="497"/>
      <c r="K30" s="499">
        <v>0</v>
      </c>
      <c r="L30" s="506">
        <f t="shared" si="1"/>
        <v>0</v>
      </c>
      <c r="M30" s="498"/>
      <c r="N30" s="497">
        <v>0</v>
      </c>
      <c r="O30" s="498">
        <v>0</v>
      </c>
      <c r="P30" s="499">
        <v>0</v>
      </c>
      <c r="Q30" s="447"/>
    </row>
    <row r="31" spans="1:17" s="472" customFormat="1" collapsed="1" x14ac:dyDescent="0.25">
      <c r="A31" s="500"/>
      <c r="B31" s="501" t="s">
        <v>304</v>
      </c>
      <c r="C31" s="495">
        <f>SUM(C32:C35)</f>
        <v>47250000</v>
      </c>
      <c r="D31" s="475">
        <f t="shared" ref="D31:P31" si="10">SUM(D32:D35)</f>
        <v>0</v>
      </c>
      <c r="E31" s="476">
        <f t="shared" si="10"/>
        <v>0</v>
      </c>
      <c r="F31" s="477">
        <f t="shared" si="10"/>
        <v>0</v>
      </c>
      <c r="G31" s="477">
        <f t="shared" si="10"/>
        <v>0</v>
      </c>
      <c r="H31" s="478">
        <f t="shared" si="10"/>
        <v>0</v>
      </c>
      <c r="I31" s="478">
        <f t="shared" si="10"/>
        <v>0</v>
      </c>
      <c r="J31" s="478">
        <f t="shared" si="10"/>
        <v>0</v>
      </c>
      <c r="K31" s="479">
        <f t="shared" si="10"/>
        <v>0</v>
      </c>
      <c r="L31" s="476">
        <f t="shared" si="10"/>
        <v>47250000</v>
      </c>
      <c r="M31" s="480">
        <f t="shared" si="10"/>
        <v>0</v>
      </c>
      <c r="N31" s="478">
        <f t="shared" si="10"/>
        <v>12750000</v>
      </c>
      <c r="O31" s="480">
        <f t="shared" si="10"/>
        <v>12500000</v>
      </c>
      <c r="P31" s="479">
        <f t="shared" si="10"/>
        <v>22000000</v>
      </c>
      <c r="Q31" s="496"/>
    </row>
    <row r="32" spans="1:17" outlineLevel="1" x14ac:dyDescent="0.25">
      <c r="A32" s="502"/>
      <c r="B32" s="503" t="s">
        <v>1625</v>
      </c>
      <c r="C32" s="504">
        <f t="shared" ref="C32:C37" si="11">+E32+L32+D32</f>
        <v>47200000</v>
      </c>
      <c r="D32" s="505">
        <v>0</v>
      </c>
      <c r="E32" s="506">
        <f t="shared" si="5"/>
        <v>0</v>
      </c>
      <c r="F32" s="507">
        <v>0</v>
      </c>
      <c r="G32" s="507">
        <v>0</v>
      </c>
      <c r="H32" s="497">
        <v>0</v>
      </c>
      <c r="I32" s="498"/>
      <c r="J32" s="497"/>
      <c r="K32" s="499">
        <v>0</v>
      </c>
      <c r="L32" s="506">
        <f t="shared" si="1"/>
        <v>47200000</v>
      </c>
      <c r="M32" s="498"/>
      <c r="N32" s="497">
        <v>12700000</v>
      </c>
      <c r="O32" s="498">
        <v>12500000</v>
      </c>
      <c r="P32" s="499">
        <v>22000000</v>
      </c>
      <c r="Q32" s="517"/>
    </row>
    <row r="33" spans="1:17" outlineLevel="1" x14ac:dyDescent="0.25">
      <c r="A33" s="502"/>
      <c r="B33" s="503" t="s">
        <v>1539</v>
      </c>
      <c r="C33" s="504">
        <f t="shared" si="11"/>
        <v>0</v>
      </c>
      <c r="D33" s="505"/>
      <c r="E33" s="506">
        <f t="shared" si="5"/>
        <v>0</v>
      </c>
      <c r="F33" s="507"/>
      <c r="G33" s="507"/>
      <c r="H33" s="497"/>
      <c r="I33" s="498"/>
      <c r="J33" s="497"/>
      <c r="K33" s="499"/>
      <c r="L33" s="506">
        <f t="shared" si="1"/>
        <v>0</v>
      </c>
      <c r="M33" s="498"/>
      <c r="N33" s="497"/>
      <c r="O33" s="498"/>
      <c r="P33" s="499"/>
      <c r="Q33" s="447"/>
    </row>
    <row r="34" spans="1:17" outlineLevel="1" x14ac:dyDescent="0.25">
      <c r="A34" s="502"/>
      <c r="B34" s="503" t="s">
        <v>1545</v>
      </c>
      <c r="C34" s="504">
        <f t="shared" si="11"/>
        <v>50000</v>
      </c>
      <c r="D34" s="505"/>
      <c r="E34" s="506">
        <f t="shared" si="5"/>
        <v>0</v>
      </c>
      <c r="F34" s="507"/>
      <c r="G34" s="507"/>
      <c r="H34" s="497"/>
      <c r="I34" s="498"/>
      <c r="J34" s="497"/>
      <c r="K34" s="499"/>
      <c r="L34" s="506">
        <f t="shared" si="1"/>
        <v>50000</v>
      </c>
      <c r="M34" s="498"/>
      <c r="N34" s="497">
        <f>List1!AO30</f>
        <v>50000</v>
      </c>
      <c r="O34" s="498"/>
      <c r="P34" s="499"/>
      <c r="Q34" s="447"/>
    </row>
    <row r="35" spans="1:17" s="518" customFormat="1" outlineLevel="1" x14ac:dyDescent="0.25">
      <c r="A35" s="508"/>
      <c r="B35" s="509" t="s">
        <v>850</v>
      </c>
      <c r="C35" s="510">
        <f t="shared" si="11"/>
        <v>0</v>
      </c>
      <c r="D35" s="511">
        <v>0</v>
      </c>
      <c r="E35" s="512">
        <f t="shared" si="5"/>
        <v>0</v>
      </c>
      <c r="F35" s="513">
        <v>0</v>
      </c>
      <c r="G35" s="513">
        <v>0</v>
      </c>
      <c r="H35" s="514">
        <v>0</v>
      </c>
      <c r="I35" s="515"/>
      <c r="J35" s="514"/>
      <c r="K35" s="516">
        <v>0</v>
      </c>
      <c r="L35" s="512">
        <f t="shared" si="1"/>
        <v>0</v>
      </c>
      <c r="M35" s="515"/>
      <c r="N35" s="514"/>
      <c r="O35" s="515"/>
      <c r="P35" s="516"/>
      <c r="Q35" s="517" t="s">
        <v>868</v>
      </c>
    </row>
    <row r="36" spans="1:17" s="472" customFormat="1" x14ac:dyDescent="0.25">
      <c r="A36" s="500"/>
      <c r="B36" s="519" t="s">
        <v>301</v>
      </c>
      <c r="C36" s="495">
        <f t="shared" si="11"/>
        <v>0</v>
      </c>
      <c r="D36" s="475">
        <v>0</v>
      </c>
      <c r="E36" s="476">
        <f t="shared" si="5"/>
        <v>0</v>
      </c>
      <c r="F36" s="477">
        <v>0</v>
      </c>
      <c r="G36" s="477">
        <v>0</v>
      </c>
      <c r="H36" s="478">
        <v>0</v>
      </c>
      <c r="I36" s="478">
        <v>0</v>
      </c>
      <c r="J36" s="478">
        <v>0</v>
      </c>
      <c r="K36" s="479">
        <v>0</v>
      </c>
      <c r="L36" s="476">
        <f t="shared" si="1"/>
        <v>0</v>
      </c>
      <c r="M36" s="480"/>
      <c r="N36" s="478">
        <v>0</v>
      </c>
      <c r="O36" s="480">
        <v>0</v>
      </c>
      <c r="P36" s="479">
        <v>0</v>
      </c>
      <c r="Q36" s="496"/>
    </row>
    <row r="37" spans="1:17" s="472" customFormat="1" x14ac:dyDescent="0.25">
      <c r="A37" s="500"/>
      <c r="B37" s="519" t="s">
        <v>302</v>
      </c>
      <c r="C37" s="495">
        <f t="shared" si="11"/>
        <v>0</v>
      </c>
      <c r="D37" s="475">
        <v>0</v>
      </c>
      <c r="E37" s="476">
        <f t="shared" si="5"/>
        <v>0</v>
      </c>
      <c r="F37" s="477">
        <v>0</v>
      </c>
      <c r="G37" s="477">
        <v>0</v>
      </c>
      <c r="H37" s="478">
        <v>0</v>
      </c>
      <c r="I37" s="478">
        <v>0</v>
      </c>
      <c r="J37" s="478">
        <v>0</v>
      </c>
      <c r="K37" s="479">
        <v>0</v>
      </c>
      <c r="L37" s="476">
        <f t="shared" si="1"/>
        <v>0</v>
      </c>
      <c r="M37" s="480"/>
      <c r="N37" s="478">
        <v>0</v>
      </c>
      <c r="O37" s="480">
        <v>0</v>
      </c>
      <c r="P37" s="479">
        <v>0</v>
      </c>
      <c r="Q37" s="496"/>
    </row>
    <row r="38" spans="1:17" s="472" customFormat="1" x14ac:dyDescent="0.25">
      <c r="A38" s="500"/>
      <c r="B38" s="519" t="s">
        <v>303</v>
      </c>
      <c r="C38" s="495">
        <f>SUM(C39:C46)</f>
        <v>445000</v>
      </c>
      <c r="D38" s="475">
        <f t="shared" ref="D38:P38" si="12">SUM(D39:D46)</f>
        <v>65000</v>
      </c>
      <c r="E38" s="476">
        <f t="shared" si="9"/>
        <v>80000</v>
      </c>
      <c r="F38" s="477">
        <f t="shared" si="12"/>
        <v>30000</v>
      </c>
      <c r="G38" s="477">
        <f t="shared" si="12"/>
        <v>0</v>
      </c>
      <c r="H38" s="478">
        <v>0</v>
      </c>
      <c r="I38" s="478">
        <f t="shared" si="12"/>
        <v>0</v>
      </c>
      <c r="J38" s="478">
        <f t="shared" si="12"/>
        <v>0</v>
      </c>
      <c r="K38" s="479">
        <f t="shared" si="12"/>
        <v>50000</v>
      </c>
      <c r="L38" s="476">
        <f t="shared" si="12"/>
        <v>50000</v>
      </c>
      <c r="M38" s="480">
        <f t="shared" si="12"/>
        <v>0</v>
      </c>
      <c r="N38" s="478">
        <f t="shared" si="12"/>
        <v>50000</v>
      </c>
      <c r="O38" s="480">
        <f t="shared" si="12"/>
        <v>0</v>
      </c>
      <c r="P38" s="479">
        <f t="shared" si="12"/>
        <v>0</v>
      </c>
      <c r="Q38" s="496"/>
    </row>
    <row r="39" spans="1:17" hidden="1" outlineLevel="1" x14ac:dyDescent="0.25">
      <c r="A39" s="502"/>
      <c r="B39" s="503" t="s">
        <v>1540</v>
      </c>
      <c r="C39" s="484">
        <f>+E39+L39+D39</f>
        <v>35000</v>
      </c>
      <c r="D39" s="485">
        <v>0</v>
      </c>
      <c r="E39" s="486">
        <f t="shared" si="5"/>
        <v>35000</v>
      </c>
      <c r="F39" s="487">
        <v>0</v>
      </c>
      <c r="G39" s="487">
        <v>0</v>
      </c>
      <c r="H39" s="488">
        <v>0</v>
      </c>
      <c r="I39" s="489"/>
      <c r="J39" s="488"/>
      <c r="K39" s="491">
        <v>35000</v>
      </c>
      <c r="L39" s="486">
        <f t="shared" si="1"/>
        <v>0</v>
      </c>
      <c r="M39" s="489"/>
      <c r="N39" s="488">
        <v>0</v>
      </c>
      <c r="O39" s="489">
        <v>0</v>
      </c>
      <c r="P39" s="491">
        <v>0</v>
      </c>
      <c r="Q39" s="447"/>
    </row>
    <row r="40" spans="1:17" hidden="1" outlineLevel="1" x14ac:dyDescent="0.25">
      <c r="A40" s="502"/>
      <c r="B40" s="503" t="s">
        <v>1541</v>
      </c>
      <c r="C40" s="484">
        <f t="shared" ref="C40:C43" si="13">+E40+L40+D40</f>
        <v>65000</v>
      </c>
      <c r="D40" s="485">
        <v>65000</v>
      </c>
      <c r="E40" s="486">
        <f t="shared" si="5"/>
        <v>0</v>
      </c>
      <c r="F40" s="487"/>
      <c r="G40" s="487"/>
      <c r="H40" s="488"/>
      <c r="I40" s="489"/>
      <c r="J40" s="488"/>
      <c r="K40" s="491"/>
      <c r="L40" s="486"/>
      <c r="M40" s="489"/>
      <c r="N40" s="488"/>
      <c r="O40" s="489"/>
      <c r="P40" s="491"/>
      <c r="Q40" s="447"/>
    </row>
    <row r="41" spans="1:17" hidden="1" outlineLevel="1" x14ac:dyDescent="0.25">
      <c r="A41" s="502"/>
      <c r="B41" s="503" t="s">
        <v>1542</v>
      </c>
      <c r="C41" s="484">
        <f t="shared" si="13"/>
        <v>30000</v>
      </c>
      <c r="D41" s="485"/>
      <c r="E41" s="486">
        <f t="shared" si="5"/>
        <v>30000</v>
      </c>
      <c r="F41" s="487">
        <v>30000</v>
      </c>
      <c r="G41" s="487"/>
      <c r="H41" s="488"/>
      <c r="I41" s="489"/>
      <c r="J41" s="488"/>
      <c r="K41" s="491"/>
      <c r="L41" s="486"/>
      <c r="M41" s="489"/>
      <c r="N41" s="488"/>
      <c r="O41" s="489"/>
      <c r="P41" s="491"/>
      <c r="Q41" s="447"/>
    </row>
    <row r="42" spans="1:17" hidden="1" outlineLevel="1" x14ac:dyDescent="0.25">
      <c r="A42" s="502"/>
      <c r="B42" s="503" t="s">
        <v>1543</v>
      </c>
      <c r="C42" s="484">
        <f t="shared" si="13"/>
        <v>10000</v>
      </c>
      <c r="D42" s="485"/>
      <c r="E42" s="486">
        <f t="shared" si="5"/>
        <v>10000</v>
      </c>
      <c r="F42" s="487"/>
      <c r="G42" s="487"/>
      <c r="H42" s="488"/>
      <c r="I42" s="489"/>
      <c r="J42" s="488"/>
      <c r="K42" s="491">
        <v>10000</v>
      </c>
      <c r="L42" s="486"/>
      <c r="M42" s="489"/>
      <c r="N42" s="488"/>
      <c r="O42" s="489"/>
      <c r="P42" s="491"/>
      <c r="Q42" s="447"/>
    </row>
    <row r="43" spans="1:17" hidden="1" outlineLevel="1" x14ac:dyDescent="0.25">
      <c r="A43" s="502"/>
      <c r="B43" s="503" t="s">
        <v>1544</v>
      </c>
      <c r="C43" s="484">
        <f t="shared" si="13"/>
        <v>5000</v>
      </c>
      <c r="D43" s="485"/>
      <c r="E43" s="486">
        <f t="shared" si="5"/>
        <v>5000</v>
      </c>
      <c r="F43" s="487"/>
      <c r="G43" s="487"/>
      <c r="H43" s="488"/>
      <c r="I43" s="489"/>
      <c r="J43" s="488"/>
      <c r="K43" s="491">
        <v>5000</v>
      </c>
      <c r="L43" s="486"/>
      <c r="M43" s="489"/>
      <c r="N43" s="488"/>
      <c r="O43" s="489"/>
      <c r="P43" s="491"/>
      <c r="Q43" s="447"/>
    </row>
    <row r="44" spans="1:17" hidden="1" outlineLevel="1" x14ac:dyDescent="0.25">
      <c r="A44" s="502"/>
      <c r="B44" s="503" t="s">
        <v>584</v>
      </c>
      <c r="C44" s="484">
        <f>+E44+L44+D44</f>
        <v>50000</v>
      </c>
      <c r="D44" s="485">
        <v>0</v>
      </c>
      <c r="E44" s="486">
        <f t="shared" si="5"/>
        <v>0</v>
      </c>
      <c r="F44" s="487">
        <v>0</v>
      </c>
      <c r="G44" s="487">
        <v>0</v>
      </c>
      <c r="H44" s="488">
        <v>0</v>
      </c>
      <c r="I44" s="489"/>
      <c r="J44" s="488"/>
      <c r="K44" s="491">
        <v>0</v>
      </c>
      <c r="L44" s="486">
        <f t="shared" si="1"/>
        <v>50000</v>
      </c>
      <c r="M44" s="489"/>
      <c r="N44" s="488">
        <v>50000</v>
      </c>
      <c r="O44" s="489"/>
      <c r="P44" s="491">
        <v>0</v>
      </c>
      <c r="Q44" s="447"/>
    </row>
    <row r="45" spans="1:17" hidden="1" outlineLevel="1" x14ac:dyDescent="0.25">
      <c r="A45" s="502"/>
      <c r="B45" s="503" t="s">
        <v>1545</v>
      </c>
      <c r="C45" s="484">
        <f>+E45+L45+D45</f>
        <v>250000</v>
      </c>
      <c r="D45" s="485">
        <v>0</v>
      </c>
      <c r="E45" s="486">
        <f t="shared" si="5"/>
        <v>250000</v>
      </c>
      <c r="F45" s="487"/>
      <c r="G45" s="487">
        <v>0</v>
      </c>
      <c r="H45" s="488">
        <v>250000</v>
      </c>
      <c r="I45" s="489"/>
      <c r="J45" s="488"/>
      <c r="K45" s="491">
        <v>0</v>
      </c>
      <c r="L45" s="486">
        <f t="shared" si="1"/>
        <v>0</v>
      </c>
      <c r="M45" s="489"/>
      <c r="N45" s="488">
        <v>0</v>
      </c>
      <c r="O45" s="489">
        <v>0</v>
      </c>
      <c r="P45" s="491">
        <v>0</v>
      </c>
      <c r="Q45" s="447"/>
    </row>
    <row r="46" spans="1:17" hidden="1" outlineLevel="1" x14ac:dyDescent="0.25">
      <c r="A46" s="502"/>
      <c r="B46" s="503" t="s">
        <v>408</v>
      </c>
      <c r="C46" s="484">
        <f>+E46+L46+D46</f>
        <v>0</v>
      </c>
      <c r="D46" s="485">
        <v>0</v>
      </c>
      <c r="E46" s="486">
        <f t="shared" si="5"/>
        <v>0</v>
      </c>
      <c r="F46" s="487">
        <v>0</v>
      </c>
      <c r="G46" s="487">
        <v>0</v>
      </c>
      <c r="H46" s="488">
        <v>0</v>
      </c>
      <c r="I46" s="489"/>
      <c r="J46" s="488"/>
      <c r="K46" s="491"/>
      <c r="L46" s="486">
        <f t="shared" si="1"/>
        <v>0</v>
      </c>
      <c r="M46" s="489"/>
      <c r="N46" s="488"/>
      <c r="O46" s="489">
        <v>0</v>
      </c>
      <c r="P46" s="491">
        <v>0</v>
      </c>
      <c r="Q46" s="447"/>
    </row>
    <row r="47" spans="1:17" ht="14.25" collapsed="1" thickBot="1" x14ac:dyDescent="0.3">
      <c r="A47" s="2219" t="s">
        <v>276</v>
      </c>
      <c r="B47" s="2220"/>
      <c r="C47" s="520">
        <f>C5+C29+C31+C36+C37+C38</f>
        <v>73815137.539999992</v>
      </c>
      <c r="D47" s="520">
        <f t="shared" ref="D47:P47" si="14">D5+D29+D31+D36+D37+D38</f>
        <v>1859956.9999999998</v>
      </c>
      <c r="E47" s="521">
        <f>E5+E29+E31+E36+E37+E38</f>
        <v>24205180.539999999</v>
      </c>
      <c r="F47" s="522">
        <f t="shared" si="14"/>
        <v>1885084.504</v>
      </c>
      <c r="G47" s="520">
        <f t="shared" si="14"/>
        <v>529136.65599999996</v>
      </c>
      <c r="H47" s="520">
        <f t="shared" si="14"/>
        <v>7076183.5199999996</v>
      </c>
      <c r="I47" s="520">
        <f t="shared" si="14"/>
        <v>0</v>
      </c>
      <c r="J47" s="520">
        <f t="shared" si="14"/>
        <v>1382542.4</v>
      </c>
      <c r="K47" s="523">
        <f t="shared" si="14"/>
        <v>13332233.460000001</v>
      </c>
      <c r="L47" s="521">
        <f t="shared" si="14"/>
        <v>47300000</v>
      </c>
      <c r="M47" s="522">
        <f t="shared" si="14"/>
        <v>0</v>
      </c>
      <c r="N47" s="524">
        <f t="shared" si="14"/>
        <v>12800000</v>
      </c>
      <c r="O47" s="522">
        <f t="shared" si="14"/>
        <v>12500000</v>
      </c>
      <c r="P47" s="523">
        <f t="shared" si="14"/>
        <v>22000000</v>
      </c>
      <c r="Q47" s="525">
        <f>+D47+E47+L47</f>
        <v>73365137.539999992</v>
      </c>
    </row>
    <row r="48" spans="1:17" ht="14.25" thickBot="1" x14ac:dyDescent="0.3">
      <c r="A48" s="526" t="s">
        <v>391</v>
      </c>
      <c r="B48" s="446"/>
      <c r="C48" s="527">
        <f>+C6-'Výdaje kapitol celkem'!S44</f>
        <v>-224697.1400000006</v>
      </c>
      <c r="D48" s="527"/>
      <c r="E48" s="527"/>
      <c r="F48" s="528">
        <f>+C5-'Výdaje kapitol celkem'!S75</f>
        <v>258927.53999999911</v>
      </c>
      <c r="G48" s="529"/>
      <c r="H48" s="527"/>
      <c r="I48" s="527"/>
      <c r="J48" s="527"/>
      <c r="K48" s="527"/>
      <c r="L48" s="527"/>
      <c r="M48" s="527"/>
      <c r="N48" s="527"/>
      <c r="O48" s="530"/>
      <c r="P48" s="530"/>
      <c r="Q48" s="447"/>
    </row>
    <row r="49" spans="1:17" s="541" customFormat="1" ht="30.95" customHeight="1" x14ac:dyDescent="0.25">
      <c r="A49" s="462">
        <v>5011</v>
      </c>
      <c r="B49" s="531" t="s">
        <v>91</v>
      </c>
      <c r="C49" s="532">
        <f>+E49+L49+D49</f>
        <v>12705800</v>
      </c>
      <c r="D49" s="1750">
        <v>1756500</v>
      </c>
      <c r="E49" s="533">
        <f>SUM(F49:K49)</f>
        <v>8362640</v>
      </c>
      <c r="F49" s="534">
        <v>786780</v>
      </c>
      <c r="G49" s="534">
        <v>334080</v>
      </c>
      <c r="H49" s="535">
        <v>1458720</v>
      </c>
      <c r="I49" s="536"/>
      <c r="J49" s="535">
        <v>522000</v>
      </c>
      <c r="K49" s="537">
        <v>5261060</v>
      </c>
      <c r="L49" s="533">
        <f t="shared" ref="L49:L57" si="15">SUM(M49:P49)</f>
        <v>2586660</v>
      </c>
      <c r="M49" s="538"/>
      <c r="N49" s="537">
        <v>1595322</v>
      </c>
      <c r="O49" s="539">
        <v>881982</v>
      </c>
      <c r="P49" s="540">
        <v>109356</v>
      </c>
      <c r="Q49" s="447"/>
    </row>
    <row r="50" spans="1:17" s="541" customFormat="1" x14ac:dyDescent="0.25">
      <c r="A50" s="500">
        <v>5021</v>
      </c>
      <c r="B50" s="542" t="s">
        <v>92</v>
      </c>
      <c r="C50" s="504">
        <f t="shared" ref="C50:C57" si="16">+E50+L50+D50</f>
        <v>822000</v>
      </c>
      <c r="D50" s="1751">
        <v>84000</v>
      </c>
      <c r="E50" s="506">
        <f t="shared" ref="E50:E57" si="17">SUM(F50:K50)</f>
        <v>399600</v>
      </c>
      <c r="F50" s="544">
        <v>36000</v>
      </c>
      <c r="G50" s="544">
        <f>List1!W36</f>
        <v>0</v>
      </c>
      <c r="H50" s="492">
        <f>List1!T36</f>
        <v>0</v>
      </c>
      <c r="I50" s="545">
        <f>List1!AC36</f>
        <v>0</v>
      </c>
      <c r="J50" s="492">
        <f>List1!Z36</f>
        <v>0</v>
      </c>
      <c r="K50" s="546">
        <v>363600</v>
      </c>
      <c r="L50" s="506">
        <f t="shared" si="15"/>
        <v>338400</v>
      </c>
      <c r="M50" s="547"/>
      <c r="N50" s="546">
        <v>338400</v>
      </c>
      <c r="O50" s="548"/>
      <c r="P50" s="549">
        <f>List1!AU36</f>
        <v>0</v>
      </c>
      <c r="Q50" s="447"/>
    </row>
    <row r="51" spans="1:17" s="541" customFormat="1" x14ac:dyDescent="0.25">
      <c r="A51" s="500">
        <v>5024</v>
      </c>
      <c r="B51" s="542" t="s">
        <v>300</v>
      </c>
      <c r="C51" s="504">
        <f t="shared" si="16"/>
        <v>0</v>
      </c>
      <c r="D51" s="1751">
        <v>0</v>
      </c>
      <c r="E51" s="506">
        <f t="shared" si="17"/>
        <v>0</v>
      </c>
      <c r="F51" s="544">
        <v>0</v>
      </c>
      <c r="G51" s="544">
        <v>0</v>
      </c>
      <c r="H51" s="492">
        <v>0</v>
      </c>
      <c r="I51" s="545"/>
      <c r="J51" s="492"/>
      <c r="K51" s="546">
        <v>0</v>
      </c>
      <c r="L51" s="506">
        <f t="shared" si="15"/>
        <v>0</v>
      </c>
      <c r="M51" s="547"/>
      <c r="N51" s="546">
        <v>0</v>
      </c>
      <c r="O51" s="548">
        <v>0</v>
      </c>
      <c r="P51" s="549">
        <v>0</v>
      </c>
      <c r="Q51" s="447"/>
    </row>
    <row r="52" spans="1:17" s="541" customFormat="1" x14ac:dyDescent="0.25">
      <c r="A52" s="500">
        <v>5027</v>
      </c>
      <c r="B52" s="542" t="s">
        <v>949</v>
      </c>
      <c r="C52" s="504">
        <f>+E52+L52+D52</f>
        <v>520829</v>
      </c>
      <c r="D52" s="1751">
        <f>List1!K39</f>
        <v>66264</v>
      </c>
      <c r="E52" s="506">
        <f t="shared" si="17"/>
        <v>404867</v>
      </c>
      <c r="F52" s="544">
        <f>List1!Q39</f>
        <v>33132</v>
      </c>
      <c r="G52" s="544">
        <f>List1!W39</f>
        <v>16566</v>
      </c>
      <c r="H52" s="492">
        <v>91113</v>
      </c>
      <c r="I52" s="545"/>
      <c r="J52" s="492">
        <v>32132</v>
      </c>
      <c r="K52" s="546">
        <v>231924</v>
      </c>
      <c r="L52" s="506">
        <f t="shared" si="15"/>
        <v>49698</v>
      </c>
      <c r="M52" s="547"/>
      <c r="N52" s="546">
        <f>List1!AO39</f>
        <v>33132</v>
      </c>
      <c r="O52" s="548">
        <f>List1!AR39</f>
        <v>16566</v>
      </c>
      <c r="P52" s="549">
        <f>List1!AU39</f>
        <v>0</v>
      </c>
      <c r="Q52" s="447"/>
    </row>
    <row r="53" spans="1:17" s="541" customFormat="1" x14ac:dyDescent="0.25">
      <c r="A53" s="500">
        <v>5029</v>
      </c>
      <c r="B53" s="542" t="s">
        <v>95</v>
      </c>
      <c r="C53" s="504">
        <f t="shared" si="16"/>
        <v>0</v>
      </c>
      <c r="D53" s="1751">
        <v>0</v>
      </c>
      <c r="E53" s="506">
        <f t="shared" si="17"/>
        <v>0</v>
      </c>
      <c r="F53" s="544"/>
      <c r="G53" s="544"/>
      <c r="H53" s="492"/>
      <c r="I53" s="545"/>
      <c r="J53" s="492"/>
      <c r="K53" s="546"/>
      <c r="L53" s="506">
        <f t="shared" si="15"/>
        <v>0</v>
      </c>
      <c r="M53" s="547"/>
      <c r="N53" s="546">
        <v>0</v>
      </c>
      <c r="O53" s="548">
        <v>0</v>
      </c>
      <c r="P53" s="549">
        <v>0</v>
      </c>
      <c r="Q53" s="447"/>
    </row>
    <row r="54" spans="1:17" s="541" customFormat="1" x14ac:dyDescent="0.25">
      <c r="A54" s="500">
        <v>5031</v>
      </c>
      <c r="B54" s="542" t="s">
        <v>96</v>
      </c>
      <c r="C54" s="504">
        <f t="shared" si="16"/>
        <v>3176450</v>
      </c>
      <c r="D54" s="1751">
        <f>+(D49)*0.25</f>
        <v>439125</v>
      </c>
      <c r="E54" s="506">
        <f t="shared" si="17"/>
        <v>2090660</v>
      </c>
      <c r="F54" s="544">
        <f>+(F49)*0.25</f>
        <v>196695</v>
      </c>
      <c r="G54" s="544">
        <f t="shared" ref="G54:K54" si="18">+(G49)*0.25</f>
        <v>83520</v>
      </c>
      <c r="H54" s="492">
        <f t="shared" si="18"/>
        <v>364680</v>
      </c>
      <c r="I54" s="545">
        <f t="shared" si="18"/>
        <v>0</v>
      </c>
      <c r="J54" s="492">
        <f t="shared" si="18"/>
        <v>130500</v>
      </c>
      <c r="K54" s="546">
        <f t="shared" si="18"/>
        <v>1315265</v>
      </c>
      <c r="L54" s="506">
        <f t="shared" si="15"/>
        <v>646665</v>
      </c>
      <c r="M54" s="547"/>
      <c r="N54" s="546">
        <f t="shared" ref="N54:P54" si="19">+(N49)*0.25</f>
        <v>398830.5</v>
      </c>
      <c r="O54" s="548">
        <f t="shared" si="19"/>
        <v>220495.5</v>
      </c>
      <c r="P54" s="549">
        <f t="shared" si="19"/>
        <v>27339</v>
      </c>
      <c r="Q54" s="447"/>
    </row>
    <row r="55" spans="1:17" s="541" customFormat="1" x14ac:dyDescent="0.25">
      <c r="A55" s="500">
        <v>5032</v>
      </c>
      <c r="B55" s="542" t="s">
        <v>97</v>
      </c>
      <c r="C55" s="504">
        <f t="shared" si="16"/>
        <v>1143522</v>
      </c>
      <c r="D55" s="1751">
        <f>+(D49)*0.09</f>
        <v>158085</v>
      </c>
      <c r="E55" s="506">
        <f t="shared" si="17"/>
        <v>752637.59999999986</v>
      </c>
      <c r="F55" s="544">
        <f>+(F49)*0.09</f>
        <v>70810.2</v>
      </c>
      <c r="G55" s="544">
        <f t="shared" ref="G55:K55" si="20">+(G49)*0.09</f>
        <v>30067.199999999997</v>
      </c>
      <c r="H55" s="492">
        <f t="shared" si="20"/>
        <v>131284.79999999999</v>
      </c>
      <c r="I55" s="545">
        <f t="shared" si="20"/>
        <v>0</v>
      </c>
      <c r="J55" s="492">
        <f t="shared" si="20"/>
        <v>46980</v>
      </c>
      <c r="K55" s="546">
        <f t="shared" si="20"/>
        <v>473495.39999999997</v>
      </c>
      <c r="L55" s="506">
        <f t="shared" si="15"/>
        <v>232799.4</v>
      </c>
      <c r="M55" s="547"/>
      <c r="N55" s="546">
        <f t="shared" ref="N55:P55" si="21">+(N49)*0.09</f>
        <v>143578.97999999998</v>
      </c>
      <c r="O55" s="548">
        <f t="shared" si="21"/>
        <v>79378.37999999999</v>
      </c>
      <c r="P55" s="549">
        <f t="shared" si="21"/>
        <v>9842.0399999999991</v>
      </c>
      <c r="Q55" s="447"/>
    </row>
    <row r="56" spans="1:17" s="518" customFormat="1" x14ac:dyDescent="0.25">
      <c r="A56" s="1776"/>
      <c r="B56" s="934" t="s">
        <v>1698</v>
      </c>
      <c r="C56" s="510">
        <f t="shared" si="16"/>
        <v>356955.44000000006</v>
      </c>
      <c r="D56" s="1777">
        <f>+(D49+D50+D54+D55)*0.02</f>
        <v>48754.200000000004</v>
      </c>
      <c r="E56" s="512">
        <f t="shared" si="17"/>
        <v>232110.75200000004</v>
      </c>
      <c r="F56" s="1778">
        <f>+(F49+F50+F54+F55)*0.02</f>
        <v>21805.703999999998</v>
      </c>
      <c r="G56" s="1778">
        <f t="shared" ref="G56:K56" si="22">+(G49+G50+G54+G55)*0.02</f>
        <v>8953.344000000001</v>
      </c>
      <c r="H56" s="916">
        <f t="shared" si="22"/>
        <v>39093.696000000004</v>
      </c>
      <c r="I56" s="1779">
        <f t="shared" si="22"/>
        <v>0</v>
      </c>
      <c r="J56" s="916">
        <f t="shared" si="22"/>
        <v>13989.6</v>
      </c>
      <c r="K56" s="578">
        <f t="shared" si="22"/>
        <v>148268.40800000002</v>
      </c>
      <c r="L56" s="512">
        <f t="shared" si="15"/>
        <v>76090.487999999998</v>
      </c>
      <c r="M56" s="1780"/>
      <c r="N56" s="578">
        <f t="shared" ref="N56:P56" si="23">+(N49+N50+N54+N55)*0.02</f>
        <v>49522.6296</v>
      </c>
      <c r="O56" s="917">
        <f t="shared" si="23"/>
        <v>23637.117599999998</v>
      </c>
      <c r="P56" s="1781">
        <f t="shared" si="23"/>
        <v>2930.7408</v>
      </c>
      <c r="Q56" s="517"/>
    </row>
    <row r="57" spans="1:17" s="541" customFormat="1" x14ac:dyDescent="0.25">
      <c r="A57" s="500">
        <v>5038</v>
      </c>
      <c r="B57" s="542" t="s">
        <v>98</v>
      </c>
      <c r="C57" s="504">
        <f t="shared" si="16"/>
        <v>49706.26</v>
      </c>
      <c r="D57" s="1751">
        <v>7377</v>
      </c>
      <c r="E57" s="506">
        <f t="shared" si="17"/>
        <v>34175.46</v>
      </c>
      <c r="F57" s="544">
        <v>3293.98</v>
      </c>
      <c r="G57" s="544">
        <v>1403.14</v>
      </c>
      <c r="H57" s="492">
        <v>6277.82</v>
      </c>
      <c r="I57" s="545"/>
      <c r="J57" s="492">
        <v>2192</v>
      </c>
      <c r="K57" s="546">
        <f>20817+191.52</f>
        <v>21008.52</v>
      </c>
      <c r="L57" s="506">
        <f t="shared" si="15"/>
        <v>8153.8</v>
      </c>
      <c r="M57" s="547"/>
      <c r="N57" s="546">
        <v>6054.8</v>
      </c>
      <c r="O57" s="548">
        <v>1612</v>
      </c>
      <c r="P57" s="549">
        <v>487</v>
      </c>
      <c r="Q57" s="447"/>
    </row>
    <row r="58" spans="1:17" ht="14.25" thickBot="1" x14ac:dyDescent="0.3">
      <c r="A58" s="550" t="s">
        <v>99</v>
      </c>
      <c r="B58" s="551" t="s">
        <v>151</v>
      </c>
      <c r="C58" s="520">
        <f>SUM(C49:C57)</f>
        <v>18775262.700000003</v>
      </c>
      <c r="D58" s="552">
        <f t="shared" ref="D58:P58" si="24">SUM(D49:D57)</f>
        <v>2560105.2000000002</v>
      </c>
      <c r="E58" s="521">
        <f t="shared" si="24"/>
        <v>12276690.812000001</v>
      </c>
      <c r="F58" s="553">
        <f>SUM(F49:F57)</f>
        <v>1148516.8839999998</v>
      </c>
      <c r="G58" s="553">
        <f t="shared" si="24"/>
        <v>474589.68400000001</v>
      </c>
      <c r="H58" s="554">
        <f t="shared" si="24"/>
        <v>2091169.3160000001</v>
      </c>
      <c r="I58" s="554">
        <f t="shared" si="24"/>
        <v>0</v>
      </c>
      <c r="J58" s="554">
        <f t="shared" si="24"/>
        <v>747793.6</v>
      </c>
      <c r="K58" s="555">
        <f t="shared" si="24"/>
        <v>7814621.3279999997</v>
      </c>
      <c r="L58" s="521">
        <f t="shared" si="24"/>
        <v>3938466.6879999996</v>
      </c>
      <c r="M58" s="556">
        <f t="shared" si="24"/>
        <v>0</v>
      </c>
      <c r="N58" s="555">
        <f t="shared" si="24"/>
        <v>2564840.9095999999</v>
      </c>
      <c r="O58" s="557">
        <f t="shared" si="24"/>
        <v>1223670.9975999999</v>
      </c>
      <c r="P58" s="558">
        <f t="shared" si="24"/>
        <v>149954.78080000001</v>
      </c>
      <c r="Q58" s="525"/>
    </row>
    <row r="59" spans="1:17" x14ac:dyDescent="0.25">
      <c r="A59" s="559">
        <v>5178</v>
      </c>
      <c r="B59" s="542" t="s">
        <v>687</v>
      </c>
      <c r="C59" s="560">
        <f t="shared" ref="C59:K59" si="25">SUM(C60:C65)</f>
        <v>2930000</v>
      </c>
      <c r="D59" s="561">
        <f t="shared" si="25"/>
        <v>0</v>
      </c>
      <c r="E59" s="562">
        <f>SUM(E60:E65)</f>
        <v>2930000</v>
      </c>
      <c r="F59" s="563">
        <f t="shared" si="25"/>
        <v>0</v>
      </c>
      <c r="G59" s="563">
        <f t="shared" si="25"/>
        <v>0</v>
      </c>
      <c r="H59" s="564">
        <f t="shared" si="25"/>
        <v>950000</v>
      </c>
      <c r="I59" s="564">
        <f t="shared" si="25"/>
        <v>0</v>
      </c>
      <c r="J59" s="564">
        <f t="shared" si="25"/>
        <v>770000</v>
      </c>
      <c r="K59" s="565">
        <f t="shared" si="25"/>
        <v>1210000</v>
      </c>
      <c r="L59" s="562">
        <f>SUM(N59:P59)</f>
        <v>0</v>
      </c>
      <c r="M59" s="566">
        <f>SUM(M60:M65)</f>
        <v>0</v>
      </c>
      <c r="N59" s="565">
        <f>SUM(N60:N65)</f>
        <v>0</v>
      </c>
      <c r="O59" s="567">
        <f>SUM(O60:O65)</f>
        <v>0</v>
      </c>
      <c r="P59" s="568">
        <f>SUM(P60:P65)</f>
        <v>0</v>
      </c>
      <c r="Q59" s="447"/>
    </row>
    <row r="60" spans="1:17" outlineLevel="1" x14ac:dyDescent="0.25">
      <c r="A60" s="569"/>
      <c r="B60" s="570" t="s">
        <v>1613</v>
      </c>
      <c r="C60" s="504">
        <f t="shared" ref="C60:C69" si="26">+E60+L60+D60</f>
        <v>770000</v>
      </c>
      <c r="D60" s="543"/>
      <c r="E60" s="506">
        <f t="shared" ref="E60:E69" si="27">SUM(F60:K60)</f>
        <v>770000</v>
      </c>
      <c r="F60" s="544">
        <v>0</v>
      </c>
      <c r="G60" s="544">
        <v>0</v>
      </c>
      <c r="H60" s="544">
        <v>0</v>
      </c>
      <c r="I60" s="544">
        <v>0</v>
      </c>
      <c r="J60" s="544">
        <v>770000</v>
      </c>
      <c r="K60" s="544">
        <v>0</v>
      </c>
      <c r="L60" s="506">
        <f t="shared" ref="L60:L123" si="28">SUM(N60:P60)</f>
        <v>0</v>
      </c>
      <c r="M60" s="571"/>
      <c r="N60" s="546"/>
      <c r="O60" s="548"/>
      <c r="P60" s="549"/>
      <c r="Q60" s="447"/>
    </row>
    <row r="61" spans="1:17" outlineLevel="1" x14ac:dyDescent="0.25">
      <c r="A61" s="569"/>
      <c r="B61" s="570" t="s">
        <v>318</v>
      </c>
      <c r="C61" s="504">
        <f t="shared" si="26"/>
        <v>950000</v>
      </c>
      <c r="D61" s="543"/>
      <c r="E61" s="506">
        <f t="shared" si="27"/>
        <v>950000</v>
      </c>
      <c r="F61" s="544">
        <v>0</v>
      </c>
      <c r="G61" s="544">
        <v>0</v>
      </c>
      <c r="H61" s="492">
        <v>950000</v>
      </c>
      <c r="I61" s="492">
        <v>0</v>
      </c>
      <c r="J61" s="492">
        <v>0</v>
      </c>
      <c r="K61" s="546">
        <v>0</v>
      </c>
      <c r="L61" s="506">
        <f t="shared" si="28"/>
        <v>0</v>
      </c>
      <c r="M61" s="571"/>
      <c r="N61" s="546"/>
      <c r="O61" s="548"/>
      <c r="P61" s="549"/>
      <c r="Q61" s="447"/>
    </row>
    <row r="62" spans="1:17" outlineLevel="1" x14ac:dyDescent="0.25">
      <c r="A62" s="569"/>
      <c r="B62" s="570" t="s">
        <v>1696</v>
      </c>
      <c r="C62" s="504">
        <f t="shared" si="26"/>
        <v>0</v>
      </c>
      <c r="D62" s="543"/>
      <c r="E62" s="506">
        <f t="shared" si="27"/>
        <v>0</v>
      </c>
      <c r="F62" s="544">
        <v>0</v>
      </c>
      <c r="G62" s="544">
        <v>0</v>
      </c>
      <c r="H62" s="492"/>
      <c r="I62" s="492">
        <v>0</v>
      </c>
      <c r="J62" s="492">
        <v>0</v>
      </c>
      <c r="K62" s="546">
        <v>0</v>
      </c>
      <c r="L62" s="506">
        <f t="shared" si="28"/>
        <v>0</v>
      </c>
      <c r="M62" s="571"/>
      <c r="N62" s="546"/>
      <c r="O62" s="548"/>
      <c r="P62" s="549"/>
      <c r="Q62" s="447"/>
    </row>
    <row r="63" spans="1:17" outlineLevel="1" x14ac:dyDescent="0.25">
      <c r="A63" s="569"/>
      <c r="B63" s="570" t="s">
        <v>1388</v>
      </c>
      <c r="C63" s="504">
        <f t="shared" si="26"/>
        <v>400000</v>
      </c>
      <c r="D63" s="543"/>
      <c r="E63" s="506">
        <f t="shared" si="27"/>
        <v>400000</v>
      </c>
      <c r="F63" s="544">
        <v>0</v>
      </c>
      <c r="G63" s="544">
        <v>0</v>
      </c>
      <c r="H63" s="492">
        <v>0</v>
      </c>
      <c r="I63" s="492">
        <v>0</v>
      </c>
      <c r="J63" s="492">
        <v>0</v>
      </c>
      <c r="K63" s="546">
        <v>400000</v>
      </c>
      <c r="L63" s="506">
        <f t="shared" si="28"/>
        <v>0</v>
      </c>
      <c r="M63" s="571"/>
      <c r="N63" s="546"/>
      <c r="O63" s="548"/>
      <c r="P63" s="549"/>
      <c r="Q63" s="447"/>
    </row>
    <row r="64" spans="1:17" outlineLevel="1" x14ac:dyDescent="0.25">
      <c r="A64" s="569"/>
      <c r="B64" s="570" t="s">
        <v>1615</v>
      </c>
      <c r="C64" s="504">
        <f t="shared" si="26"/>
        <v>0</v>
      </c>
      <c r="D64" s="543"/>
      <c r="E64" s="506">
        <f t="shared" si="27"/>
        <v>0</v>
      </c>
      <c r="F64" s="544">
        <v>0</v>
      </c>
      <c r="G64" s="544">
        <v>0</v>
      </c>
      <c r="H64" s="492">
        <v>0</v>
      </c>
      <c r="I64" s="492"/>
      <c r="J64" s="492"/>
      <c r="K64" s="546">
        <v>0</v>
      </c>
      <c r="L64" s="506">
        <f t="shared" si="28"/>
        <v>0</v>
      </c>
      <c r="M64" s="571"/>
      <c r="N64" s="546"/>
      <c r="O64" s="548"/>
      <c r="P64" s="549"/>
      <c r="Q64" s="447"/>
    </row>
    <row r="65" spans="1:17" outlineLevel="1" x14ac:dyDescent="0.25">
      <c r="A65" s="569"/>
      <c r="B65" s="570" t="s">
        <v>1389</v>
      </c>
      <c r="C65" s="504">
        <f t="shared" si="26"/>
        <v>810000</v>
      </c>
      <c r="D65" s="543"/>
      <c r="E65" s="506">
        <f t="shared" si="27"/>
        <v>810000</v>
      </c>
      <c r="F65" s="544">
        <v>0</v>
      </c>
      <c r="G65" s="544">
        <v>0</v>
      </c>
      <c r="H65" s="492">
        <v>0</v>
      </c>
      <c r="I65" s="492">
        <v>0</v>
      </c>
      <c r="J65" s="492">
        <v>0</v>
      </c>
      <c r="K65" s="546">
        <v>810000</v>
      </c>
      <c r="L65" s="506">
        <f t="shared" si="28"/>
        <v>0</v>
      </c>
      <c r="M65" s="571"/>
      <c r="N65" s="546"/>
      <c r="O65" s="548"/>
      <c r="P65" s="549"/>
      <c r="Q65" s="447"/>
    </row>
    <row r="66" spans="1:17" x14ac:dyDescent="0.25">
      <c r="A66" s="559">
        <v>5132</v>
      </c>
      <c r="B66" s="542" t="s">
        <v>101</v>
      </c>
      <c r="C66" s="560">
        <f t="shared" si="26"/>
        <v>59000</v>
      </c>
      <c r="D66" s="561">
        <v>1000</v>
      </c>
      <c r="E66" s="562">
        <f t="shared" si="27"/>
        <v>46000</v>
      </c>
      <c r="F66" s="563">
        <v>4000</v>
      </c>
      <c r="G66" s="572">
        <v>2000</v>
      </c>
      <c r="H66" s="564">
        <v>6000</v>
      </c>
      <c r="I66" s="564"/>
      <c r="J66" s="564">
        <v>4000</v>
      </c>
      <c r="K66" s="565">
        <v>30000</v>
      </c>
      <c r="L66" s="562">
        <f t="shared" si="28"/>
        <v>12000</v>
      </c>
      <c r="M66" s="566"/>
      <c r="N66" s="565">
        <v>9000</v>
      </c>
      <c r="O66" s="567">
        <v>3000</v>
      </c>
      <c r="P66" s="568">
        <v>0</v>
      </c>
      <c r="Q66" s="447"/>
    </row>
    <row r="67" spans="1:17" x14ac:dyDescent="0.25">
      <c r="A67" s="559">
        <v>5134</v>
      </c>
      <c r="B67" s="542" t="s">
        <v>102</v>
      </c>
      <c r="C67" s="560">
        <f t="shared" si="26"/>
        <v>158000</v>
      </c>
      <c r="D67" s="561">
        <v>2000</v>
      </c>
      <c r="E67" s="562">
        <f t="shared" si="27"/>
        <v>135000</v>
      </c>
      <c r="F67" s="563">
        <v>10000</v>
      </c>
      <c r="G67" s="563">
        <v>5000</v>
      </c>
      <c r="H67" s="573">
        <v>15000</v>
      </c>
      <c r="I67" s="573"/>
      <c r="J67" s="564">
        <v>15000</v>
      </c>
      <c r="K67" s="574">
        <v>90000</v>
      </c>
      <c r="L67" s="562">
        <f t="shared" si="28"/>
        <v>21000</v>
      </c>
      <c r="M67" s="566"/>
      <c r="N67" s="565">
        <v>14000</v>
      </c>
      <c r="O67" s="567">
        <v>7000</v>
      </c>
      <c r="P67" s="568">
        <v>0</v>
      </c>
      <c r="Q67" s="447"/>
    </row>
    <row r="68" spans="1:17" x14ac:dyDescent="0.25">
      <c r="A68" s="559">
        <v>5136</v>
      </c>
      <c r="B68" s="542" t="s">
        <v>103</v>
      </c>
      <c r="C68" s="560">
        <f t="shared" si="26"/>
        <v>0</v>
      </c>
      <c r="D68" s="561">
        <v>0</v>
      </c>
      <c r="E68" s="562">
        <f t="shared" si="27"/>
        <v>0</v>
      </c>
      <c r="F68" s="563"/>
      <c r="G68" s="563"/>
      <c r="H68" s="564"/>
      <c r="I68" s="564"/>
      <c r="J68" s="564"/>
      <c r="K68" s="565"/>
      <c r="L68" s="562">
        <f t="shared" si="28"/>
        <v>0</v>
      </c>
      <c r="M68" s="566"/>
      <c r="N68" s="565">
        <v>0</v>
      </c>
      <c r="O68" s="567">
        <v>0</v>
      </c>
      <c r="P68" s="568">
        <v>0</v>
      </c>
      <c r="Q68" s="447"/>
    </row>
    <row r="69" spans="1:17" x14ac:dyDescent="0.25">
      <c r="A69" s="559">
        <v>5137</v>
      </c>
      <c r="B69" s="542" t="s">
        <v>104</v>
      </c>
      <c r="C69" s="560">
        <f t="shared" si="26"/>
        <v>580000</v>
      </c>
      <c r="D69" s="561">
        <v>20000</v>
      </c>
      <c r="E69" s="562">
        <f t="shared" si="27"/>
        <v>390000</v>
      </c>
      <c r="F69" s="563">
        <v>20000</v>
      </c>
      <c r="G69" s="563"/>
      <c r="H69" s="564">
        <v>20000</v>
      </c>
      <c r="I69" s="564"/>
      <c r="J69" s="564">
        <v>250000</v>
      </c>
      <c r="K69" s="565">
        <v>100000</v>
      </c>
      <c r="L69" s="562">
        <f t="shared" si="28"/>
        <v>170000</v>
      </c>
      <c r="M69" s="566"/>
      <c r="N69" s="565">
        <v>150000</v>
      </c>
      <c r="O69" s="567">
        <v>20000</v>
      </c>
      <c r="P69" s="568">
        <v>0</v>
      </c>
      <c r="Q69" s="447"/>
    </row>
    <row r="70" spans="1:17" s="472" customFormat="1" x14ac:dyDescent="0.25">
      <c r="A70" s="575">
        <v>5139</v>
      </c>
      <c r="B70" s="519" t="s">
        <v>105</v>
      </c>
      <c r="C70" s="495">
        <f t="shared" ref="C70:K70" si="29">SUM(C71:C93)</f>
        <v>1812500</v>
      </c>
      <c r="D70" s="475">
        <f t="shared" si="29"/>
        <v>80000</v>
      </c>
      <c r="E70" s="476">
        <f>SUM(E71:E93)</f>
        <v>871000</v>
      </c>
      <c r="F70" s="477">
        <f t="shared" si="29"/>
        <v>137000</v>
      </c>
      <c r="G70" s="477">
        <f t="shared" si="29"/>
        <v>17000</v>
      </c>
      <c r="H70" s="478">
        <f t="shared" si="29"/>
        <v>113000</v>
      </c>
      <c r="I70" s="478">
        <f t="shared" si="29"/>
        <v>0</v>
      </c>
      <c r="J70" s="478">
        <f t="shared" si="29"/>
        <v>48000</v>
      </c>
      <c r="K70" s="480">
        <f t="shared" si="29"/>
        <v>556000</v>
      </c>
      <c r="L70" s="476">
        <f t="shared" si="28"/>
        <v>861500</v>
      </c>
      <c r="M70" s="576">
        <f>SUM(M71:M93)</f>
        <v>0</v>
      </c>
      <c r="N70" s="480">
        <f>SUM(N71:N93)</f>
        <v>627000</v>
      </c>
      <c r="O70" s="577">
        <f>SUM(O71:O93)</f>
        <v>199500</v>
      </c>
      <c r="P70" s="479">
        <f>SUM(P71:P93)</f>
        <v>35000</v>
      </c>
      <c r="Q70" s="496"/>
    </row>
    <row r="71" spans="1:17" outlineLevel="1" x14ac:dyDescent="0.25">
      <c r="A71" s="569"/>
      <c r="B71" s="570" t="s">
        <v>394</v>
      </c>
      <c r="C71" s="504">
        <f t="shared" ref="C71:C105" si="30">+E71+L71+D71</f>
        <v>32500</v>
      </c>
      <c r="D71" s="543">
        <v>10000</v>
      </c>
      <c r="E71" s="506">
        <f t="shared" ref="E71:E105" si="31">SUM(F71:K71)</f>
        <v>18000</v>
      </c>
      <c r="F71" s="544">
        <v>0</v>
      </c>
      <c r="G71" s="544">
        <v>0</v>
      </c>
      <c r="H71" s="492">
        <v>0</v>
      </c>
      <c r="I71" s="492"/>
      <c r="J71" s="492">
        <v>5000</v>
      </c>
      <c r="K71" s="546">
        <v>13000</v>
      </c>
      <c r="L71" s="506">
        <f t="shared" si="28"/>
        <v>4500</v>
      </c>
      <c r="M71" s="571"/>
      <c r="N71" s="546">
        <v>3000</v>
      </c>
      <c r="O71" s="548">
        <v>1500</v>
      </c>
      <c r="P71" s="549">
        <v>0</v>
      </c>
      <c r="Q71" s="447"/>
    </row>
    <row r="72" spans="1:17" outlineLevel="1" x14ac:dyDescent="0.25">
      <c r="A72" s="569"/>
      <c r="B72" s="570" t="s">
        <v>395</v>
      </c>
      <c r="C72" s="504">
        <f t="shared" si="30"/>
        <v>100000</v>
      </c>
      <c r="D72" s="543">
        <v>0</v>
      </c>
      <c r="E72" s="506">
        <f t="shared" si="31"/>
        <v>0</v>
      </c>
      <c r="F72" s="544"/>
      <c r="G72" s="544"/>
      <c r="H72" s="492"/>
      <c r="I72" s="492"/>
      <c r="J72" s="492"/>
      <c r="K72" s="546"/>
      <c r="L72" s="506">
        <f t="shared" si="28"/>
        <v>100000</v>
      </c>
      <c r="M72" s="571"/>
      <c r="N72" s="546">
        <v>0</v>
      </c>
      <c r="O72" s="548">
        <v>100000</v>
      </c>
      <c r="P72" s="549">
        <v>0</v>
      </c>
      <c r="Q72" s="447"/>
    </row>
    <row r="73" spans="1:17" outlineLevel="1" x14ac:dyDescent="0.25">
      <c r="A73" s="569"/>
      <c r="B73" s="570" t="s">
        <v>1626</v>
      </c>
      <c r="C73" s="504">
        <f t="shared" si="30"/>
        <v>50000</v>
      </c>
      <c r="D73" s="543">
        <v>0</v>
      </c>
      <c r="E73" s="506">
        <f t="shared" si="31"/>
        <v>0</v>
      </c>
      <c r="F73" s="544"/>
      <c r="G73" s="544"/>
      <c r="H73" s="492"/>
      <c r="I73" s="492"/>
      <c r="J73" s="492"/>
      <c r="K73" s="546"/>
      <c r="L73" s="506">
        <f t="shared" si="28"/>
        <v>50000</v>
      </c>
      <c r="M73" s="571"/>
      <c r="N73" s="546">
        <v>0</v>
      </c>
      <c r="O73" s="548">
        <v>50000</v>
      </c>
      <c r="P73" s="549">
        <v>0</v>
      </c>
      <c r="Q73" s="447"/>
    </row>
    <row r="74" spans="1:17" outlineLevel="1" x14ac:dyDescent="0.25">
      <c r="A74" s="569"/>
      <c r="B74" s="570" t="s">
        <v>396</v>
      </c>
      <c r="C74" s="504">
        <f t="shared" si="30"/>
        <v>10000</v>
      </c>
      <c r="D74" s="543">
        <v>0</v>
      </c>
      <c r="E74" s="506">
        <f t="shared" si="31"/>
        <v>0</v>
      </c>
      <c r="F74" s="544"/>
      <c r="G74" s="544"/>
      <c r="H74" s="492"/>
      <c r="I74" s="492"/>
      <c r="J74" s="492"/>
      <c r="K74" s="546"/>
      <c r="L74" s="506">
        <f t="shared" si="28"/>
        <v>10000</v>
      </c>
      <c r="M74" s="571"/>
      <c r="N74" s="546">
        <v>10000</v>
      </c>
      <c r="O74" s="548">
        <v>0</v>
      </c>
      <c r="P74" s="549">
        <v>0</v>
      </c>
      <c r="Q74" s="447"/>
    </row>
    <row r="75" spans="1:17" ht="12.75" customHeight="1" outlineLevel="1" x14ac:dyDescent="0.25">
      <c r="A75" s="569"/>
      <c r="B75" s="570" t="s">
        <v>397</v>
      </c>
      <c r="C75" s="504">
        <f t="shared" si="30"/>
        <v>200000</v>
      </c>
      <c r="D75" s="543">
        <v>0</v>
      </c>
      <c r="E75" s="506">
        <f t="shared" si="31"/>
        <v>0</v>
      </c>
      <c r="F75" s="544"/>
      <c r="G75" s="544"/>
      <c r="H75" s="492"/>
      <c r="I75" s="492"/>
      <c r="J75" s="492"/>
      <c r="K75" s="546"/>
      <c r="L75" s="506">
        <f t="shared" si="28"/>
        <v>200000</v>
      </c>
      <c r="M75" s="571"/>
      <c r="N75" s="546">
        <v>200000</v>
      </c>
      <c r="O75" s="548">
        <v>0</v>
      </c>
      <c r="P75" s="549">
        <v>0</v>
      </c>
      <c r="Q75" s="447"/>
    </row>
    <row r="76" spans="1:17" outlineLevel="1" x14ac:dyDescent="0.25">
      <c r="A76" s="569"/>
      <c r="B76" s="570" t="s">
        <v>587</v>
      </c>
      <c r="C76" s="504">
        <f t="shared" si="30"/>
        <v>87000</v>
      </c>
      <c r="D76" s="543">
        <v>45000</v>
      </c>
      <c r="E76" s="506">
        <f t="shared" si="31"/>
        <v>20000</v>
      </c>
      <c r="F76" s="544">
        <v>3000</v>
      </c>
      <c r="G76" s="544">
        <v>0</v>
      </c>
      <c r="H76" s="492">
        <v>2000</v>
      </c>
      <c r="I76" s="492"/>
      <c r="J76" s="492">
        <v>5000</v>
      </c>
      <c r="K76" s="546">
        <v>10000</v>
      </c>
      <c r="L76" s="506">
        <f t="shared" si="28"/>
        <v>22000</v>
      </c>
      <c r="M76" s="571"/>
      <c r="N76" s="546">
        <v>16000</v>
      </c>
      <c r="O76" s="548">
        <v>6000</v>
      </c>
      <c r="P76" s="549">
        <v>0</v>
      </c>
      <c r="Q76" s="447"/>
    </row>
    <row r="77" spans="1:17" outlineLevel="1" x14ac:dyDescent="0.25">
      <c r="A77" s="569"/>
      <c r="B77" s="570" t="s">
        <v>656</v>
      </c>
      <c r="C77" s="504">
        <f t="shared" si="30"/>
        <v>0</v>
      </c>
      <c r="D77" s="543">
        <v>0</v>
      </c>
      <c r="E77" s="506">
        <f t="shared" si="31"/>
        <v>0</v>
      </c>
      <c r="F77" s="544"/>
      <c r="G77" s="544"/>
      <c r="H77" s="492"/>
      <c r="I77" s="492"/>
      <c r="J77" s="492">
        <v>0</v>
      </c>
      <c r="K77" s="546">
        <v>0</v>
      </c>
      <c r="L77" s="506">
        <f t="shared" si="28"/>
        <v>0</v>
      </c>
      <c r="M77" s="571"/>
      <c r="N77" s="546">
        <v>0</v>
      </c>
      <c r="O77" s="548">
        <v>0</v>
      </c>
      <c r="P77" s="549">
        <v>0</v>
      </c>
      <c r="Q77" s="447"/>
    </row>
    <row r="78" spans="1:17" outlineLevel="1" x14ac:dyDescent="0.25">
      <c r="A78" s="569"/>
      <c r="B78" s="570" t="s">
        <v>398</v>
      </c>
      <c r="C78" s="504">
        <f t="shared" si="30"/>
        <v>176000</v>
      </c>
      <c r="D78" s="543">
        <v>0</v>
      </c>
      <c r="E78" s="506">
        <f t="shared" si="31"/>
        <v>176000</v>
      </c>
      <c r="F78" s="544">
        <v>20000</v>
      </c>
      <c r="G78" s="544">
        <v>6000</v>
      </c>
      <c r="H78" s="492"/>
      <c r="I78" s="492"/>
      <c r="J78" s="492"/>
      <c r="K78" s="578">
        <v>150000</v>
      </c>
      <c r="L78" s="506">
        <f t="shared" si="28"/>
        <v>0</v>
      </c>
      <c r="M78" s="571"/>
      <c r="N78" s="546">
        <v>0</v>
      </c>
      <c r="O78" s="548">
        <v>0</v>
      </c>
      <c r="P78" s="549">
        <v>0</v>
      </c>
      <c r="Q78" s="447"/>
    </row>
    <row r="79" spans="1:17" outlineLevel="1" x14ac:dyDescent="0.25">
      <c r="A79" s="569"/>
      <c r="B79" s="570" t="s">
        <v>657</v>
      </c>
      <c r="C79" s="504">
        <f t="shared" si="30"/>
        <v>5000</v>
      </c>
      <c r="D79" s="543">
        <v>0</v>
      </c>
      <c r="E79" s="506">
        <f t="shared" si="31"/>
        <v>5000</v>
      </c>
      <c r="F79" s="544"/>
      <c r="G79" s="544"/>
      <c r="H79" s="492"/>
      <c r="I79" s="492"/>
      <c r="J79" s="492"/>
      <c r="K79" s="546">
        <v>5000</v>
      </c>
      <c r="L79" s="506">
        <f t="shared" si="28"/>
        <v>0</v>
      </c>
      <c r="M79" s="571"/>
      <c r="N79" s="546">
        <v>0</v>
      </c>
      <c r="O79" s="548">
        <v>0</v>
      </c>
      <c r="P79" s="549">
        <v>0</v>
      </c>
      <c r="Q79" s="447"/>
    </row>
    <row r="80" spans="1:17" outlineLevel="1" x14ac:dyDescent="0.25">
      <c r="A80" s="569"/>
      <c r="B80" s="570" t="s">
        <v>658</v>
      </c>
      <c r="C80" s="504">
        <f t="shared" si="30"/>
        <v>0</v>
      </c>
      <c r="D80" s="543">
        <v>0</v>
      </c>
      <c r="E80" s="506">
        <f t="shared" si="31"/>
        <v>0</v>
      </c>
      <c r="F80" s="544"/>
      <c r="G80" s="544"/>
      <c r="H80" s="492"/>
      <c r="I80" s="492"/>
      <c r="J80" s="492"/>
      <c r="K80" s="546"/>
      <c r="L80" s="506">
        <f t="shared" si="28"/>
        <v>0</v>
      </c>
      <c r="M80" s="571"/>
      <c r="N80" s="546">
        <v>0</v>
      </c>
      <c r="O80" s="548">
        <v>0</v>
      </c>
      <c r="P80" s="549">
        <v>0</v>
      </c>
      <c r="Q80" s="447"/>
    </row>
    <row r="81" spans="1:17" outlineLevel="1" x14ac:dyDescent="0.25">
      <c r="A81" s="569"/>
      <c r="B81" s="570" t="s">
        <v>659</v>
      </c>
      <c r="C81" s="504">
        <f t="shared" si="30"/>
        <v>0</v>
      </c>
      <c r="D81" s="543">
        <v>0</v>
      </c>
      <c r="E81" s="506">
        <f t="shared" si="31"/>
        <v>0</v>
      </c>
      <c r="F81" s="544"/>
      <c r="G81" s="544"/>
      <c r="H81" s="492"/>
      <c r="I81" s="492"/>
      <c r="J81" s="492"/>
      <c r="K81" s="546"/>
      <c r="L81" s="506">
        <f t="shared" si="28"/>
        <v>0</v>
      </c>
      <c r="M81" s="571"/>
      <c r="N81" s="546">
        <v>0</v>
      </c>
      <c r="O81" s="548">
        <v>0</v>
      </c>
      <c r="P81" s="549">
        <v>0</v>
      </c>
      <c r="Q81" s="447"/>
    </row>
    <row r="82" spans="1:17" outlineLevel="1" x14ac:dyDescent="0.25">
      <c r="A82" s="569"/>
      <c r="B82" s="570" t="s">
        <v>1418</v>
      </c>
      <c r="C82" s="504">
        <f t="shared" si="30"/>
        <v>106000</v>
      </c>
      <c r="D82" s="543">
        <v>2000</v>
      </c>
      <c r="E82" s="506">
        <f t="shared" si="31"/>
        <v>89000</v>
      </c>
      <c r="F82" s="544">
        <v>50000</v>
      </c>
      <c r="G82" s="544">
        <v>2000</v>
      </c>
      <c r="H82" s="492">
        <v>2000</v>
      </c>
      <c r="I82" s="492">
        <v>0</v>
      </c>
      <c r="J82" s="492">
        <v>5000</v>
      </c>
      <c r="K82" s="546">
        <v>30000</v>
      </c>
      <c r="L82" s="506">
        <f t="shared" si="28"/>
        <v>15000</v>
      </c>
      <c r="M82" s="571"/>
      <c r="N82" s="546">
        <v>10000</v>
      </c>
      <c r="O82" s="548">
        <v>5000</v>
      </c>
      <c r="P82" s="549"/>
      <c r="Q82" s="447"/>
    </row>
    <row r="83" spans="1:17" outlineLevel="1" x14ac:dyDescent="0.25">
      <c r="A83" s="569"/>
      <c r="B83" s="570" t="s">
        <v>1420</v>
      </c>
      <c r="C83" s="504">
        <f t="shared" si="30"/>
        <v>30000</v>
      </c>
      <c r="D83" s="543"/>
      <c r="E83" s="506">
        <f t="shared" si="31"/>
        <v>25000</v>
      </c>
      <c r="F83" s="544">
        <v>0</v>
      </c>
      <c r="G83" s="544"/>
      <c r="H83" s="492"/>
      <c r="I83" s="492"/>
      <c r="J83" s="492">
        <v>5000</v>
      </c>
      <c r="K83" s="546">
        <v>20000</v>
      </c>
      <c r="L83" s="506">
        <f t="shared" si="28"/>
        <v>5000</v>
      </c>
      <c r="M83" s="571"/>
      <c r="N83" s="546">
        <v>3000</v>
      </c>
      <c r="O83" s="548">
        <v>2000</v>
      </c>
      <c r="P83" s="549"/>
      <c r="Q83" s="447"/>
    </row>
    <row r="84" spans="1:17" outlineLevel="1" x14ac:dyDescent="0.25">
      <c r="A84" s="569"/>
      <c r="B84" s="570" t="s">
        <v>1422</v>
      </c>
      <c r="C84" s="504">
        <f t="shared" si="30"/>
        <v>105000</v>
      </c>
      <c r="D84" s="543">
        <v>5000</v>
      </c>
      <c r="E84" s="506">
        <f t="shared" si="31"/>
        <v>55000</v>
      </c>
      <c r="F84" s="544">
        <v>0</v>
      </c>
      <c r="G84" s="544">
        <v>5000</v>
      </c>
      <c r="H84" s="492">
        <v>5000</v>
      </c>
      <c r="I84" s="492"/>
      <c r="J84" s="492">
        <v>5000</v>
      </c>
      <c r="K84" s="546">
        <v>40000</v>
      </c>
      <c r="L84" s="506">
        <f t="shared" si="28"/>
        <v>45000</v>
      </c>
      <c r="M84" s="571"/>
      <c r="N84" s="546">
        <v>20000</v>
      </c>
      <c r="O84" s="548">
        <v>10000</v>
      </c>
      <c r="P84" s="549">
        <v>15000</v>
      </c>
      <c r="Q84" s="447"/>
    </row>
    <row r="85" spans="1:17" outlineLevel="1" x14ac:dyDescent="0.25">
      <c r="A85" s="569"/>
      <c r="B85" s="570" t="s">
        <v>1424</v>
      </c>
      <c r="C85" s="504">
        <f t="shared" si="30"/>
        <v>80000</v>
      </c>
      <c r="D85" s="543"/>
      <c r="E85" s="506">
        <f t="shared" si="31"/>
        <v>80000</v>
      </c>
      <c r="F85" s="544"/>
      <c r="G85" s="544"/>
      <c r="H85" s="492">
        <v>70000</v>
      </c>
      <c r="I85" s="492"/>
      <c r="J85" s="492">
        <v>10000</v>
      </c>
      <c r="K85" s="546"/>
      <c r="L85" s="506">
        <f t="shared" si="28"/>
        <v>0</v>
      </c>
      <c r="M85" s="571"/>
      <c r="N85" s="546"/>
      <c r="O85" s="548"/>
      <c r="P85" s="549"/>
      <c r="Q85" s="447"/>
    </row>
    <row r="86" spans="1:17" outlineLevel="1" x14ac:dyDescent="0.25">
      <c r="A86" s="569"/>
      <c r="B86" s="570" t="s">
        <v>1426</v>
      </c>
      <c r="C86" s="504">
        <f t="shared" si="30"/>
        <v>45000</v>
      </c>
      <c r="D86" s="543">
        <v>2000</v>
      </c>
      <c r="E86" s="506">
        <f t="shared" si="31"/>
        <v>33000</v>
      </c>
      <c r="F86" s="544">
        <v>4000</v>
      </c>
      <c r="G86" s="544">
        <v>4000</v>
      </c>
      <c r="H86" s="492">
        <v>4000</v>
      </c>
      <c r="I86" s="492"/>
      <c r="J86" s="492">
        <v>3000</v>
      </c>
      <c r="K86" s="546">
        <v>18000</v>
      </c>
      <c r="L86" s="506">
        <f t="shared" si="28"/>
        <v>10000</v>
      </c>
      <c r="M86" s="571"/>
      <c r="N86" s="546">
        <v>5000</v>
      </c>
      <c r="O86" s="548">
        <v>5000</v>
      </c>
      <c r="P86" s="549"/>
      <c r="Q86" s="447"/>
    </row>
    <row r="87" spans="1:17" outlineLevel="1" x14ac:dyDescent="0.25">
      <c r="A87" s="569"/>
      <c r="B87" s="570" t="s">
        <v>1428</v>
      </c>
      <c r="C87" s="504">
        <f t="shared" si="30"/>
        <v>90000</v>
      </c>
      <c r="D87" s="543">
        <v>15000</v>
      </c>
      <c r="E87" s="506">
        <f t="shared" si="31"/>
        <v>55000</v>
      </c>
      <c r="F87" s="544">
        <v>10000</v>
      </c>
      <c r="G87" s="544"/>
      <c r="H87" s="492">
        <v>10000</v>
      </c>
      <c r="I87" s="492"/>
      <c r="J87" s="492">
        <v>10000</v>
      </c>
      <c r="K87" s="546">
        <v>25000</v>
      </c>
      <c r="L87" s="506">
        <f t="shared" si="28"/>
        <v>20000</v>
      </c>
      <c r="M87" s="571"/>
      <c r="N87" s="546">
        <v>10000</v>
      </c>
      <c r="O87" s="548">
        <v>10000</v>
      </c>
      <c r="P87" s="549"/>
      <c r="Q87" s="447"/>
    </row>
    <row r="88" spans="1:17" outlineLevel="1" x14ac:dyDescent="0.25">
      <c r="A88" s="569"/>
      <c r="B88" s="570" t="s">
        <v>1430</v>
      </c>
      <c r="C88" s="504">
        <f t="shared" si="30"/>
        <v>430000</v>
      </c>
      <c r="D88" s="543"/>
      <c r="E88" s="506">
        <f t="shared" si="31"/>
        <v>50000</v>
      </c>
      <c r="F88" s="544"/>
      <c r="G88" s="544"/>
      <c r="H88" s="492"/>
      <c r="I88" s="492"/>
      <c r="J88" s="492"/>
      <c r="K88" s="546">
        <v>50000</v>
      </c>
      <c r="L88" s="506">
        <f t="shared" si="28"/>
        <v>380000</v>
      </c>
      <c r="M88" s="571"/>
      <c r="N88" s="546">
        <v>350000</v>
      </c>
      <c r="O88" s="548">
        <v>10000</v>
      </c>
      <c r="P88" s="549">
        <v>20000</v>
      </c>
      <c r="Q88" s="447"/>
    </row>
    <row r="89" spans="1:17" outlineLevel="1" x14ac:dyDescent="0.25">
      <c r="A89" s="569"/>
      <c r="B89" s="570" t="s">
        <v>1432</v>
      </c>
      <c r="C89" s="504">
        <f t="shared" si="30"/>
        <v>71000</v>
      </c>
      <c r="D89" s="543">
        <v>1000</v>
      </c>
      <c r="E89" s="506">
        <f t="shared" si="31"/>
        <v>70000</v>
      </c>
      <c r="F89" s="544">
        <v>20000</v>
      </c>
      <c r="G89" s="544"/>
      <c r="H89" s="492"/>
      <c r="I89" s="492"/>
      <c r="J89" s="492"/>
      <c r="K89" s="546">
        <v>50000</v>
      </c>
      <c r="L89" s="506">
        <f t="shared" si="28"/>
        <v>0</v>
      </c>
      <c r="M89" s="571"/>
      <c r="N89" s="546"/>
      <c r="O89" s="548"/>
      <c r="P89" s="549"/>
      <c r="Q89" s="447"/>
    </row>
    <row r="90" spans="1:17" outlineLevel="1" x14ac:dyDescent="0.25">
      <c r="A90" s="569"/>
      <c r="B90" s="570" t="s">
        <v>1434</v>
      </c>
      <c r="C90" s="504">
        <f t="shared" si="30"/>
        <v>100000</v>
      </c>
      <c r="D90" s="543"/>
      <c r="E90" s="506">
        <f t="shared" si="31"/>
        <v>100000</v>
      </c>
      <c r="F90" s="544"/>
      <c r="G90" s="544"/>
      <c r="H90" s="492">
        <v>20000</v>
      </c>
      <c r="I90" s="492"/>
      <c r="J90" s="492"/>
      <c r="K90" s="546">
        <v>80000</v>
      </c>
      <c r="L90" s="506">
        <f t="shared" si="28"/>
        <v>0</v>
      </c>
      <c r="M90" s="571"/>
      <c r="N90" s="546"/>
      <c r="O90" s="548"/>
      <c r="P90" s="549"/>
      <c r="Q90" s="447"/>
    </row>
    <row r="91" spans="1:17" outlineLevel="1" x14ac:dyDescent="0.25">
      <c r="A91" s="569"/>
      <c r="B91" s="570" t="s">
        <v>1436</v>
      </c>
      <c r="C91" s="504">
        <f t="shared" si="30"/>
        <v>80000</v>
      </c>
      <c r="D91" s="543"/>
      <c r="E91" s="506">
        <f t="shared" si="31"/>
        <v>80000</v>
      </c>
      <c r="F91" s="544">
        <v>30000</v>
      </c>
      <c r="G91" s="544"/>
      <c r="H91" s="492"/>
      <c r="I91" s="492"/>
      <c r="J91" s="492"/>
      <c r="K91" s="546">
        <v>50000</v>
      </c>
      <c r="L91" s="506">
        <f t="shared" si="28"/>
        <v>0</v>
      </c>
      <c r="M91" s="571"/>
      <c r="N91" s="546"/>
      <c r="O91" s="548"/>
      <c r="P91" s="549"/>
      <c r="Q91" s="447"/>
    </row>
    <row r="92" spans="1:17" outlineLevel="1" x14ac:dyDescent="0.25">
      <c r="A92" s="569"/>
      <c r="B92" s="570" t="s">
        <v>1438</v>
      </c>
      <c r="C92" s="504">
        <f t="shared" si="30"/>
        <v>15000</v>
      </c>
      <c r="D92" s="543"/>
      <c r="E92" s="506">
        <f t="shared" si="31"/>
        <v>15000</v>
      </c>
      <c r="F92" s="544"/>
      <c r="G92" s="544"/>
      <c r="H92" s="492"/>
      <c r="I92" s="492"/>
      <c r="J92" s="492"/>
      <c r="K92" s="546">
        <v>15000</v>
      </c>
      <c r="L92" s="506">
        <f t="shared" si="28"/>
        <v>0</v>
      </c>
      <c r="M92" s="571"/>
      <c r="N92" s="546"/>
      <c r="O92" s="548"/>
      <c r="P92" s="549"/>
      <c r="Q92" s="447"/>
    </row>
    <row r="93" spans="1:17" ht="12" customHeight="1" outlineLevel="1" x14ac:dyDescent="0.25">
      <c r="A93" s="569"/>
      <c r="B93" s="570"/>
      <c r="C93" s="504">
        <f t="shared" si="30"/>
        <v>0</v>
      </c>
      <c r="D93" s="543"/>
      <c r="E93" s="506">
        <f t="shared" si="31"/>
        <v>0</v>
      </c>
      <c r="F93" s="544"/>
      <c r="G93" s="544"/>
      <c r="H93" s="492"/>
      <c r="I93" s="492"/>
      <c r="J93" s="492"/>
      <c r="K93" s="546"/>
      <c r="L93" s="506">
        <f t="shared" si="28"/>
        <v>0</v>
      </c>
      <c r="M93" s="571"/>
      <c r="N93" s="546"/>
      <c r="O93" s="548"/>
      <c r="P93" s="549"/>
      <c r="Q93" s="447"/>
    </row>
    <row r="94" spans="1:17" x14ac:dyDescent="0.25">
      <c r="A94" s="559">
        <v>5151</v>
      </c>
      <c r="B94" s="542" t="s">
        <v>1440</v>
      </c>
      <c r="C94" s="560">
        <f t="shared" si="30"/>
        <v>12000</v>
      </c>
      <c r="D94" s="561">
        <v>5000</v>
      </c>
      <c r="E94" s="562">
        <f t="shared" si="31"/>
        <v>7000</v>
      </c>
      <c r="F94" s="563">
        <v>0</v>
      </c>
      <c r="G94" s="563">
        <v>0</v>
      </c>
      <c r="H94" s="564">
        <v>0</v>
      </c>
      <c r="I94" s="564"/>
      <c r="J94" s="564">
        <v>2000</v>
      </c>
      <c r="K94" s="565">
        <v>5000</v>
      </c>
      <c r="L94" s="562">
        <f t="shared" si="28"/>
        <v>0</v>
      </c>
      <c r="M94" s="566"/>
      <c r="N94" s="565">
        <v>0</v>
      </c>
      <c r="O94" s="567">
        <v>0</v>
      </c>
      <c r="P94" s="568">
        <v>0</v>
      </c>
      <c r="Q94" s="447"/>
    </row>
    <row r="95" spans="1:17" ht="27" x14ac:dyDescent="0.25">
      <c r="A95" s="559">
        <v>5151</v>
      </c>
      <c r="B95" s="542" t="s">
        <v>1441</v>
      </c>
      <c r="C95" s="560">
        <f t="shared" si="30"/>
        <v>26000000</v>
      </c>
      <c r="D95" s="561"/>
      <c r="E95" s="562">
        <f t="shared" si="31"/>
        <v>0</v>
      </c>
      <c r="F95" s="563"/>
      <c r="G95" s="563"/>
      <c r="H95" s="564"/>
      <c r="I95" s="564"/>
      <c r="J95" s="564"/>
      <c r="K95" s="565"/>
      <c r="L95" s="562">
        <f t="shared" si="28"/>
        <v>26000000</v>
      </c>
      <c r="M95" s="566"/>
      <c r="N95" s="565">
        <v>7000000</v>
      </c>
      <c r="O95" s="567"/>
      <c r="P95" s="568">
        <v>19000000</v>
      </c>
      <c r="Q95" s="447"/>
    </row>
    <row r="96" spans="1:17" x14ac:dyDescent="0.25">
      <c r="A96" s="559">
        <v>5153</v>
      </c>
      <c r="B96" s="542" t="s">
        <v>107</v>
      </c>
      <c r="C96" s="560">
        <f t="shared" si="30"/>
        <v>290000</v>
      </c>
      <c r="D96" s="561">
        <v>40000</v>
      </c>
      <c r="E96" s="562">
        <f t="shared" si="31"/>
        <v>120000</v>
      </c>
      <c r="F96" s="563"/>
      <c r="G96" s="563"/>
      <c r="H96" s="564"/>
      <c r="I96" s="564"/>
      <c r="J96" s="564"/>
      <c r="K96" s="565">
        <v>120000</v>
      </c>
      <c r="L96" s="562">
        <f t="shared" si="28"/>
        <v>130000</v>
      </c>
      <c r="M96" s="566"/>
      <c r="N96" s="565"/>
      <c r="O96" s="567">
        <v>130000</v>
      </c>
      <c r="P96" s="568"/>
      <c r="Q96" s="447"/>
    </row>
    <row r="97" spans="1:17" x14ac:dyDescent="0.25">
      <c r="A97" s="559">
        <v>5154</v>
      </c>
      <c r="B97" s="542" t="s">
        <v>108</v>
      </c>
      <c r="C97" s="560">
        <f t="shared" si="30"/>
        <v>1870000</v>
      </c>
      <c r="D97" s="561">
        <v>80000</v>
      </c>
      <c r="E97" s="562">
        <f t="shared" si="31"/>
        <v>60000</v>
      </c>
      <c r="F97" s="563"/>
      <c r="G97" s="563"/>
      <c r="H97" s="564"/>
      <c r="I97" s="564"/>
      <c r="J97" s="564">
        <v>30000</v>
      </c>
      <c r="K97" s="565">
        <v>30000</v>
      </c>
      <c r="L97" s="562">
        <f t="shared" si="28"/>
        <v>1730000</v>
      </c>
      <c r="M97" s="566"/>
      <c r="N97" s="565">
        <v>180000</v>
      </c>
      <c r="O97" s="567">
        <v>950000</v>
      </c>
      <c r="P97" s="568">
        <v>600000</v>
      </c>
      <c r="Q97" s="447"/>
    </row>
    <row r="98" spans="1:17" x14ac:dyDescent="0.25">
      <c r="A98" s="559">
        <v>5156</v>
      </c>
      <c r="B98" s="542" t="s">
        <v>1447</v>
      </c>
      <c r="C98" s="560">
        <f t="shared" si="30"/>
        <v>1305000</v>
      </c>
      <c r="D98" s="561">
        <v>10000</v>
      </c>
      <c r="E98" s="562">
        <f t="shared" si="31"/>
        <v>1165000</v>
      </c>
      <c r="F98" s="563">
        <v>90000</v>
      </c>
      <c r="G98" s="563"/>
      <c r="H98" s="564">
        <v>550000</v>
      </c>
      <c r="I98" s="564"/>
      <c r="J98" s="564">
        <v>85000</v>
      </c>
      <c r="K98" s="565">
        <v>440000</v>
      </c>
      <c r="L98" s="562">
        <f t="shared" si="28"/>
        <v>130000</v>
      </c>
      <c r="M98" s="566"/>
      <c r="N98" s="565">
        <v>110000</v>
      </c>
      <c r="O98" s="567"/>
      <c r="P98" s="568">
        <v>20000</v>
      </c>
      <c r="Q98" s="447"/>
    </row>
    <row r="99" spans="1:17" x14ac:dyDescent="0.25">
      <c r="A99" s="559">
        <v>5161</v>
      </c>
      <c r="B99" s="542" t="s">
        <v>110</v>
      </c>
      <c r="C99" s="560">
        <f t="shared" si="30"/>
        <v>55000</v>
      </c>
      <c r="D99" s="561">
        <v>7000</v>
      </c>
      <c r="E99" s="562">
        <f t="shared" si="31"/>
        <v>3000</v>
      </c>
      <c r="F99" s="563"/>
      <c r="G99" s="563"/>
      <c r="H99" s="564"/>
      <c r="I99" s="564"/>
      <c r="J99" s="564"/>
      <c r="K99" s="565">
        <v>3000</v>
      </c>
      <c r="L99" s="562">
        <f t="shared" si="28"/>
        <v>45000</v>
      </c>
      <c r="M99" s="566"/>
      <c r="N99" s="565">
        <v>45000</v>
      </c>
      <c r="O99" s="567"/>
      <c r="P99" s="568"/>
      <c r="Q99" s="447"/>
    </row>
    <row r="100" spans="1:17" x14ac:dyDescent="0.25">
      <c r="A100" s="559">
        <v>5162</v>
      </c>
      <c r="B100" s="542" t="s">
        <v>111</v>
      </c>
      <c r="C100" s="560">
        <f t="shared" si="30"/>
        <v>104800</v>
      </c>
      <c r="D100" s="561">
        <v>15000</v>
      </c>
      <c r="E100" s="562">
        <f t="shared" si="31"/>
        <v>63800</v>
      </c>
      <c r="F100" s="563">
        <v>3000</v>
      </c>
      <c r="G100" s="563">
        <v>1800</v>
      </c>
      <c r="H100" s="564">
        <v>10000</v>
      </c>
      <c r="I100" s="564"/>
      <c r="J100" s="564">
        <v>9000</v>
      </c>
      <c r="K100" s="565">
        <v>40000</v>
      </c>
      <c r="L100" s="562">
        <f t="shared" si="28"/>
        <v>26000</v>
      </c>
      <c r="M100" s="566"/>
      <c r="N100" s="565">
        <v>14000</v>
      </c>
      <c r="O100" s="567">
        <v>10000</v>
      </c>
      <c r="P100" s="568">
        <v>2000</v>
      </c>
      <c r="Q100" s="447"/>
    </row>
    <row r="101" spans="1:17" x14ac:dyDescent="0.25">
      <c r="A101" s="559">
        <v>5163</v>
      </c>
      <c r="B101" s="542" t="s">
        <v>1453</v>
      </c>
      <c r="C101" s="560">
        <f t="shared" si="30"/>
        <v>290000</v>
      </c>
      <c r="D101" s="561">
        <v>35000</v>
      </c>
      <c r="E101" s="562">
        <f t="shared" si="31"/>
        <v>255000</v>
      </c>
      <c r="F101" s="563">
        <v>20000</v>
      </c>
      <c r="G101" s="563"/>
      <c r="H101" s="564">
        <v>160000</v>
      </c>
      <c r="I101" s="564"/>
      <c r="J101" s="564">
        <v>25000</v>
      </c>
      <c r="K101" s="565">
        <v>50000</v>
      </c>
      <c r="L101" s="562">
        <f t="shared" si="28"/>
        <v>0</v>
      </c>
      <c r="M101" s="566"/>
      <c r="N101" s="565"/>
      <c r="O101" s="567"/>
      <c r="P101" s="568"/>
      <c r="Q101" s="447"/>
    </row>
    <row r="102" spans="1:17" x14ac:dyDescent="0.25">
      <c r="A102" s="559">
        <v>5164</v>
      </c>
      <c r="B102" s="542" t="s">
        <v>113</v>
      </c>
      <c r="C102" s="560">
        <f t="shared" si="30"/>
        <v>9411000</v>
      </c>
      <c r="D102" s="561"/>
      <c r="E102" s="562">
        <f t="shared" si="31"/>
        <v>100000</v>
      </c>
      <c r="F102" s="563">
        <v>40000</v>
      </c>
      <c r="G102" s="563"/>
      <c r="H102" s="564">
        <v>30000</v>
      </c>
      <c r="I102" s="564"/>
      <c r="J102" s="564">
        <v>30000</v>
      </c>
      <c r="K102" s="565"/>
      <c r="L102" s="579">
        <f t="shared" si="28"/>
        <v>9311000</v>
      </c>
      <c r="M102" s="580"/>
      <c r="N102" s="581">
        <v>3075000</v>
      </c>
      <c r="O102" s="574">
        <v>6016000</v>
      </c>
      <c r="P102" s="582">
        <v>220000</v>
      </c>
      <c r="Q102" s="447"/>
    </row>
    <row r="103" spans="1:17" x14ac:dyDescent="0.25">
      <c r="A103" s="559">
        <v>5166</v>
      </c>
      <c r="B103" s="542" t="s">
        <v>114</v>
      </c>
      <c r="C103" s="560">
        <f t="shared" si="30"/>
        <v>100000</v>
      </c>
      <c r="D103" s="561">
        <v>10000</v>
      </c>
      <c r="E103" s="562">
        <f t="shared" si="31"/>
        <v>0</v>
      </c>
      <c r="F103" s="563"/>
      <c r="G103" s="563"/>
      <c r="H103" s="564">
        <v>0</v>
      </c>
      <c r="I103" s="564"/>
      <c r="J103" s="564">
        <v>0</v>
      </c>
      <c r="K103" s="565">
        <v>0</v>
      </c>
      <c r="L103" s="562">
        <f t="shared" si="28"/>
        <v>90000</v>
      </c>
      <c r="M103" s="566"/>
      <c r="N103" s="565">
        <v>80000</v>
      </c>
      <c r="O103" s="567">
        <v>10000</v>
      </c>
      <c r="P103" s="568">
        <v>0</v>
      </c>
      <c r="Q103" s="447"/>
    </row>
    <row r="104" spans="1:17" x14ac:dyDescent="0.25">
      <c r="A104" s="559">
        <v>5167</v>
      </c>
      <c r="B104" s="542" t="s">
        <v>115</v>
      </c>
      <c r="C104" s="560">
        <f t="shared" si="30"/>
        <v>49000</v>
      </c>
      <c r="D104" s="561">
        <v>10000</v>
      </c>
      <c r="E104" s="562">
        <f t="shared" si="31"/>
        <v>24000</v>
      </c>
      <c r="F104" s="563">
        <v>2000</v>
      </c>
      <c r="G104" s="563"/>
      <c r="H104" s="564">
        <v>2000</v>
      </c>
      <c r="I104" s="564"/>
      <c r="J104" s="564">
        <v>5000</v>
      </c>
      <c r="K104" s="565">
        <v>15000</v>
      </c>
      <c r="L104" s="562">
        <f t="shared" si="28"/>
        <v>15000</v>
      </c>
      <c r="M104" s="566"/>
      <c r="N104" s="565">
        <v>10000</v>
      </c>
      <c r="O104" s="567">
        <v>5000</v>
      </c>
      <c r="P104" s="568"/>
      <c r="Q104" s="447"/>
    </row>
    <row r="105" spans="1:17" x14ac:dyDescent="0.25">
      <c r="A105" s="559">
        <v>5168</v>
      </c>
      <c r="B105" s="542" t="s">
        <v>1678</v>
      </c>
      <c r="C105" s="560">
        <f t="shared" si="30"/>
        <v>165000</v>
      </c>
      <c r="D105" s="561">
        <v>42000</v>
      </c>
      <c r="E105" s="562">
        <f t="shared" si="31"/>
        <v>59000</v>
      </c>
      <c r="F105" s="563"/>
      <c r="G105" s="563"/>
      <c r="H105" s="564">
        <v>27000</v>
      </c>
      <c r="I105" s="564"/>
      <c r="J105" s="564">
        <v>2000</v>
      </c>
      <c r="K105" s="565">
        <v>30000</v>
      </c>
      <c r="L105" s="562">
        <f t="shared" si="28"/>
        <v>64000</v>
      </c>
      <c r="M105" s="566"/>
      <c r="N105" s="565">
        <v>30000</v>
      </c>
      <c r="O105" s="567">
        <v>20000</v>
      </c>
      <c r="P105" s="568">
        <v>14000</v>
      </c>
      <c r="Q105" s="447"/>
    </row>
    <row r="106" spans="1:17" s="472" customFormat="1" x14ac:dyDescent="0.25">
      <c r="A106" s="575">
        <v>5169</v>
      </c>
      <c r="B106" s="519" t="s">
        <v>117</v>
      </c>
      <c r="C106" s="495">
        <f t="shared" ref="C106:K106" si="32">SUM(C107:C123)</f>
        <v>5917650</v>
      </c>
      <c r="D106" s="475">
        <f t="shared" si="32"/>
        <v>174000</v>
      </c>
      <c r="E106" s="476">
        <f>SUM(E107:E123)</f>
        <v>3729150</v>
      </c>
      <c r="F106" s="477">
        <f t="shared" si="32"/>
        <v>132000</v>
      </c>
      <c r="G106" s="477">
        <f t="shared" si="32"/>
        <v>10500</v>
      </c>
      <c r="H106" s="478">
        <f t="shared" si="32"/>
        <v>2236650</v>
      </c>
      <c r="I106" s="478">
        <f t="shared" si="32"/>
        <v>0</v>
      </c>
      <c r="J106" s="478">
        <f t="shared" si="32"/>
        <v>39000</v>
      </c>
      <c r="K106" s="480">
        <f t="shared" si="32"/>
        <v>1311000</v>
      </c>
      <c r="L106" s="476">
        <f t="shared" si="28"/>
        <v>2014500</v>
      </c>
      <c r="M106" s="576">
        <f>SUM(M107:M123)</f>
        <v>0</v>
      </c>
      <c r="N106" s="480">
        <f>SUM(N107:N123)</f>
        <v>251000</v>
      </c>
      <c r="O106" s="577">
        <f>SUM(O107:O123)</f>
        <v>1743500</v>
      </c>
      <c r="P106" s="479">
        <f>SUM(P107:P123)</f>
        <v>20000</v>
      </c>
      <c r="Q106" s="496"/>
    </row>
    <row r="107" spans="1:17" outlineLevel="1" x14ac:dyDescent="0.25">
      <c r="A107" s="569"/>
      <c r="B107" s="570" t="s">
        <v>1464</v>
      </c>
      <c r="C107" s="504">
        <f t="shared" ref="C107:C123" si="33">+E107+L107+D107</f>
        <v>500000</v>
      </c>
      <c r="D107" s="543">
        <f>List1!K91</f>
        <v>0</v>
      </c>
      <c r="E107" s="506">
        <f t="shared" ref="E107:E123" si="34">SUM(F107:K107)</f>
        <v>0</v>
      </c>
      <c r="F107" s="544">
        <f>List1!Q91</f>
        <v>0</v>
      </c>
      <c r="G107" s="544">
        <f>+List1!W91</f>
        <v>0</v>
      </c>
      <c r="H107" s="492">
        <f>+List1!T91</f>
        <v>0</v>
      </c>
      <c r="I107" s="492"/>
      <c r="J107" s="492">
        <f>+List1!Z91</f>
        <v>0</v>
      </c>
      <c r="K107" s="546">
        <f>+List1!AF91</f>
        <v>0</v>
      </c>
      <c r="L107" s="506">
        <f t="shared" si="28"/>
        <v>500000</v>
      </c>
      <c r="M107" s="571">
        <f>+List1!AL91</f>
        <v>0</v>
      </c>
      <c r="N107" s="546">
        <f>+List1!AO91</f>
        <v>0</v>
      </c>
      <c r="O107" s="548">
        <f>+List1!AR91</f>
        <v>500000</v>
      </c>
      <c r="P107" s="549">
        <f>+List1!AU91</f>
        <v>0</v>
      </c>
      <c r="Q107" s="447"/>
    </row>
    <row r="108" spans="1:17" ht="27" outlineLevel="1" x14ac:dyDescent="0.25">
      <c r="A108" s="569"/>
      <c r="B108" s="570" t="s">
        <v>1628</v>
      </c>
      <c r="C108" s="504">
        <f t="shared" si="33"/>
        <v>850000</v>
      </c>
      <c r="D108" s="543">
        <f>List1!K92</f>
        <v>0</v>
      </c>
      <c r="E108" s="506">
        <f t="shared" si="34"/>
        <v>0</v>
      </c>
      <c r="F108" s="544">
        <f>List1!Q92</f>
        <v>0</v>
      </c>
      <c r="G108" s="544">
        <f>+List1!W92</f>
        <v>0</v>
      </c>
      <c r="H108" s="492">
        <f>+List1!T92</f>
        <v>0</v>
      </c>
      <c r="I108" s="492">
        <f>+List1!AC92</f>
        <v>0</v>
      </c>
      <c r="J108" s="492">
        <f>+List1!Z92</f>
        <v>0</v>
      </c>
      <c r="K108" s="546">
        <v>0</v>
      </c>
      <c r="L108" s="506">
        <f t="shared" si="28"/>
        <v>850000</v>
      </c>
      <c r="M108" s="571">
        <f>+List1!AL92</f>
        <v>0</v>
      </c>
      <c r="N108" s="546">
        <v>50000</v>
      </c>
      <c r="O108" s="548">
        <v>800000</v>
      </c>
      <c r="P108" s="549">
        <f>+List1!AU92</f>
        <v>0</v>
      </c>
      <c r="Q108" s="447"/>
    </row>
    <row r="109" spans="1:17" ht="14.25" customHeight="1" outlineLevel="1" x14ac:dyDescent="0.25">
      <c r="A109" s="569"/>
      <c r="B109" s="570" t="s">
        <v>1468</v>
      </c>
      <c r="C109" s="504">
        <f t="shared" si="33"/>
        <v>345000</v>
      </c>
      <c r="D109" s="543">
        <f>List1!K93</f>
        <v>50000</v>
      </c>
      <c r="E109" s="506">
        <f t="shared" si="34"/>
        <v>230000</v>
      </c>
      <c r="F109" s="544">
        <v>100000</v>
      </c>
      <c r="G109" s="544">
        <v>0</v>
      </c>
      <c r="H109" s="492">
        <v>0</v>
      </c>
      <c r="I109" s="492"/>
      <c r="J109" s="492">
        <v>0</v>
      </c>
      <c r="K109" s="546">
        <v>130000</v>
      </c>
      <c r="L109" s="506">
        <f t="shared" si="28"/>
        <v>65000</v>
      </c>
      <c r="M109" s="583">
        <f>+List1!AL93</f>
        <v>0</v>
      </c>
      <c r="N109" s="498">
        <v>25000</v>
      </c>
      <c r="O109" s="584">
        <f>+List1!AR93</f>
        <v>20000</v>
      </c>
      <c r="P109" s="499">
        <f>+List1!AU93</f>
        <v>20000</v>
      </c>
      <c r="Q109" s="447"/>
    </row>
    <row r="110" spans="1:17" outlineLevel="1" x14ac:dyDescent="0.25">
      <c r="A110" s="569"/>
      <c r="B110" s="570" t="s">
        <v>1470</v>
      </c>
      <c r="C110" s="504">
        <f t="shared" si="33"/>
        <v>170000</v>
      </c>
      <c r="D110" s="543">
        <f>List1!K94</f>
        <v>0</v>
      </c>
      <c r="E110" s="506">
        <f t="shared" si="34"/>
        <v>0</v>
      </c>
      <c r="F110" s="544">
        <f>List1!Q94</f>
        <v>0</v>
      </c>
      <c r="G110" s="544">
        <f>+List1!W94</f>
        <v>0</v>
      </c>
      <c r="H110" s="492">
        <f>+List1!T94</f>
        <v>0</v>
      </c>
      <c r="I110" s="492"/>
      <c r="J110" s="492">
        <f>+List1!Z94</f>
        <v>0</v>
      </c>
      <c r="K110" s="546">
        <f>+List1!AF94</f>
        <v>0</v>
      </c>
      <c r="L110" s="506">
        <f t="shared" si="28"/>
        <v>170000</v>
      </c>
      <c r="M110" s="571">
        <f>+List1!AL94</f>
        <v>0</v>
      </c>
      <c r="N110" s="546">
        <f>+List1!AO94</f>
        <v>80000</v>
      </c>
      <c r="O110" s="548">
        <f>+List1!AR94</f>
        <v>90000</v>
      </c>
      <c r="P110" s="549">
        <f>+List1!AU94</f>
        <v>0</v>
      </c>
      <c r="Q110" s="447"/>
    </row>
    <row r="111" spans="1:17" outlineLevel="1" x14ac:dyDescent="0.25">
      <c r="A111" s="569"/>
      <c r="B111" s="570" t="s">
        <v>1472</v>
      </c>
      <c r="C111" s="504">
        <f t="shared" si="33"/>
        <v>40000</v>
      </c>
      <c r="D111" s="543">
        <f>List1!K95</f>
        <v>0</v>
      </c>
      <c r="E111" s="506">
        <f t="shared" si="34"/>
        <v>0</v>
      </c>
      <c r="F111" s="544">
        <f>List1!Q95</f>
        <v>0</v>
      </c>
      <c r="G111" s="544">
        <f>+List1!W95</f>
        <v>0</v>
      </c>
      <c r="H111" s="492">
        <f>+List1!T95</f>
        <v>0</v>
      </c>
      <c r="I111" s="492">
        <f>+List1!AC95</f>
        <v>0</v>
      </c>
      <c r="J111" s="492">
        <f>+List1!Z95</f>
        <v>0</v>
      </c>
      <c r="K111" s="546">
        <f>+List1!AF95</f>
        <v>0</v>
      </c>
      <c r="L111" s="506">
        <f t="shared" si="28"/>
        <v>40000</v>
      </c>
      <c r="M111" s="571">
        <f>+List1!AL95</f>
        <v>0</v>
      </c>
      <c r="N111" s="546">
        <f>+List1!AO95</f>
        <v>0</v>
      </c>
      <c r="O111" s="548">
        <f>+List1!AR95</f>
        <v>40000</v>
      </c>
      <c r="P111" s="549">
        <f>+List1!AU95</f>
        <v>0</v>
      </c>
      <c r="Q111" s="447"/>
    </row>
    <row r="112" spans="1:17" ht="27" outlineLevel="1" x14ac:dyDescent="0.25">
      <c r="A112" s="569"/>
      <c r="B112" s="570" t="s">
        <v>1474</v>
      </c>
      <c r="C112" s="504">
        <f t="shared" si="33"/>
        <v>26500</v>
      </c>
      <c r="D112" s="543">
        <f>List1!K96</f>
        <v>2000</v>
      </c>
      <c r="E112" s="506">
        <f t="shared" si="34"/>
        <v>15500</v>
      </c>
      <c r="F112" s="544">
        <f>List1!Q96</f>
        <v>1000</v>
      </c>
      <c r="G112" s="544">
        <f>+List1!W96</f>
        <v>500</v>
      </c>
      <c r="H112" s="492">
        <v>3000</v>
      </c>
      <c r="I112" s="492"/>
      <c r="J112" s="492">
        <f>+List1!Z96</f>
        <v>5000</v>
      </c>
      <c r="K112" s="546">
        <v>6000</v>
      </c>
      <c r="L112" s="506">
        <f t="shared" si="28"/>
        <v>9000</v>
      </c>
      <c r="M112" s="571">
        <f>+List1!AL96</f>
        <v>0</v>
      </c>
      <c r="N112" s="546">
        <f>+List1!AO96</f>
        <v>6000</v>
      </c>
      <c r="O112" s="548">
        <f>+List1!AR96</f>
        <v>3000</v>
      </c>
      <c r="P112" s="549">
        <f>+List1!AU96</f>
        <v>0</v>
      </c>
      <c r="Q112" s="447"/>
    </row>
    <row r="113" spans="1:17" outlineLevel="1" x14ac:dyDescent="0.25">
      <c r="A113" s="569"/>
      <c r="B113" s="570" t="s">
        <v>1476</v>
      </c>
      <c r="C113" s="504">
        <f t="shared" si="33"/>
        <v>0</v>
      </c>
      <c r="D113" s="543">
        <f>List1!K97</f>
        <v>0</v>
      </c>
      <c r="E113" s="506">
        <f t="shared" si="34"/>
        <v>0</v>
      </c>
      <c r="F113" s="544">
        <f>List1!Q97</f>
        <v>0</v>
      </c>
      <c r="G113" s="544">
        <f>+List1!W97</f>
        <v>0</v>
      </c>
      <c r="H113" s="492"/>
      <c r="I113" s="492">
        <f>+List1!AC97</f>
        <v>0</v>
      </c>
      <c r="J113" s="492">
        <f>+List1!Z97</f>
        <v>0</v>
      </c>
      <c r="K113" s="546"/>
      <c r="L113" s="506">
        <f t="shared" si="28"/>
        <v>0</v>
      </c>
      <c r="M113" s="571">
        <f>+List1!AL97</f>
        <v>0</v>
      </c>
      <c r="N113" s="546">
        <f>+List1!AO97</f>
        <v>0</v>
      </c>
      <c r="O113" s="548"/>
      <c r="P113" s="549">
        <f>+List1!AU97</f>
        <v>0</v>
      </c>
      <c r="Q113" s="447"/>
    </row>
    <row r="114" spans="1:17" outlineLevel="1" x14ac:dyDescent="0.25">
      <c r="A114" s="569"/>
      <c r="B114" s="570" t="s">
        <v>1478</v>
      </c>
      <c r="C114" s="504">
        <f t="shared" si="33"/>
        <v>0</v>
      </c>
      <c r="D114" s="543">
        <f>List1!K98</f>
        <v>0</v>
      </c>
      <c r="E114" s="506">
        <f t="shared" si="34"/>
        <v>0</v>
      </c>
      <c r="F114" s="544">
        <f>List1!Q98</f>
        <v>0</v>
      </c>
      <c r="G114" s="544">
        <f>+List1!W98</f>
        <v>0</v>
      </c>
      <c r="H114" s="492">
        <f>+List1!T98</f>
        <v>0</v>
      </c>
      <c r="I114" s="492">
        <f>+List1!AC98</f>
        <v>0</v>
      </c>
      <c r="J114" s="492">
        <f>+List1!Z98</f>
        <v>0</v>
      </c>
      <c r="K114" s="546">
        <v>0</v>
      </c>
      <c r="L114" s="506">
        <f t="shared" si="28"/>
        <v>0</v>
      </c>
      <c r="M114" s="571">
        <f>+List1!AL98</f>
        <v>0</v>
      </c>
      <c r="N114" s="546">
        <f>+List1!AO98</f>
        <v>0</v>
      </c>
      <c r="O114" s="548">
        <f>+List1!AR98</f>
        <v>0</v>
      </c>
      <c r="P114" s="549">
        <f>+List1!AU98</f>
        <v>0</v>
      </c>
      <c r="Q114" s="447"/>
    </row>
    <row r="115" spans="1:17" outlineLevel="1" x14ac:dyDescent="0.25">
      <c r="A115" s="569"/>
      <c r="B115" s="570" t="s">
        <v>1480</v>
      </c>
      <c r="C115" s="504">
        <f t="shared" si="33"/>
        <v>2034050</v>
      </c>
      <c r="D115" s="543">
        <f>List1!K99</f>
        <v>0</v>
      </c>
      <c r="E115" s="506">
        <f t="shared" si="34"/>
        <v>2034050</v>
      </c>
      <c r="F115" s="544">
        <v>0</v>
      </c>
      <c r="G115" s="544">
        <v>0</v>
      </c>
      <c r="H115" s="492">
        <v>2034050</v>
      </c>
      <c r="I115" s="492">
        <v>0</v>
      </c>
      <c r="J115" s="492">
        <v>0</v>
      </c>
      <c r="K115" s="546">
        <v>0</v>
      </c>
      <c r="L115" s="506">
        <f t="shared" si="28"/>
        <v>0</v>
      </c>
      <c r="M115" s="571">
        <f>+List1!AL99</f>
        <v>0</v>
      </c>
      <c r="N115" s="546">
        <f>+List1!AO99</f>
        <v>0</v>
      </c>
      <c r="O115" s="548">
        <f>+List1!AR99</f>
        <v>0</v>
      </c>
      <c r="P115" s="549">
        <f>+List1!AU99</f>
        <v>0</v>
      </c>
      <c r="Q115" s="447"/>
    </row>
    <row r="116" spans="1:17" outlineLevel="1" x14ac:dyDescent="0.25">
      <c r="A116" s="569"/>
      <c r="B116" s="570" t="s">
        <v>1482</v>
      </c>
      <c r="C116" s="504">
        <f t="shared" si="33"/>
        <v>187600</v>
      </c>
      <c r="D116" s="543">
        <f>List1!K100</f>
        <v>0</v>
      </c>
      <c r="E116" s="506">
        <f t="shared" si="34"/>
        <v>187600</v>
      </c>
      <c r="F116" s="544">
        <f>List1!Q100</f>
        <v>0</v>
      </c>
      <c r="G116" s="544">
        <f>+List1!W100</f>
        <v>0</v>
      </c>
      <c r="H116" s="492">
        <f>+List1!T100</f>
        <v>187600</v>
      </c>
      <c r="I116" s="492">
        <f>+List1!AC100</f>
        <v>0</v>
      </c>
      <c r="J116" s="492">
        <f>+List1!Z100</f>
        <v>0</v>
      </c>
      <c r="K116" s="546">
        <f>+List1!AF100</f>
        <v>0</v>
      </c>
      <c r="L116" s="506">
        <f t="shared" si="28"/>
        <v>0</v>
      </c>
      <c r="M116" s="571">
        <f>+List1!AL100</f>
        <v>0</v>
      </c>
      <c r="N116" s="546">
        <f>+List1!AO100</f>
        <v>0</v>
      </c>
      <c r="O116" s="548">
        <f>+List1!AR100</f>
        <v>0</v>
      </c>
      <c r="P116" s="549">
        <f>+List1!AU100</f>
        <v>0</v>
      </c>
      <c r="Q116" s="447"/>
    </row>
    <row r="117" spans="1:17" outlineLevel="1" x14ac:dyDescent="0.25">
      <c r="A117" s="569"/>
      <c r="B117" s="570" t="s">
        <v>1484</v>
      </c>
      <c r="C117" s="504">
        <f t="shared" si="33"/>
        <v>70000</v>
      </c>
      <c r="D117" s="543">
        <f>List1!K101</f>
        <v>0</v>
      </c>
      <c r="E117" s="506">
        <f t="shared" si="34"/>
        <v>70000</v>
      </c>
      <c r="F117" s="544">
        <v>0</v>
      </c>
      <c r="G117" s="544">
        <v>0</v>
      </c>
      <c r="H117" s="492">
        <v>0</v>
      </c>
      <c r="I117" s="492">
        <v>0</v>
      </c>
      <c r="J117" s="492">
        <v>0</v>
      </c>
      <c r="K117" s="546">
        <v>70000</v>
      </c>
      <c r="L117" s="506">
        <f t="shared" si="28"/>
        <v>0</v>
      </c>
      <c r="M117" s="571">
        <f>+List1!AL101</f>
        <v>0</v>
      </c>
      <c r="N117" s="546">
        <f>+List1!AO101</f>
        <v>0</v>
      </c>
      <c r="O117" s="548">
        <f>+List1!AR101</f>
        <v>0</v>
      </c>
      <c r="P117" s="549">
        <f>+List1!AU101</f>
        <v>0</v>
      </c>
      <c r="Q117" s="447"/>
    </row>
    <row r="118" spans="1:17" ht="27" outlineLevel="1" x14ac:dyDescent="0.25">
      <c r="A118" s="569"/>
      <c r="B118" s="570" t="s">
        <v>1486</v>
      </c>
      <c r="C118" s="504">
        <f t="shared" si="33"/>
        <v>18500</v>
      </c>
      <c r="D118" s="543">
        <f>List1!K102</f>
        <v>10000</v>
      </c>
      <c r="E118" s="506">
        <f t="shared" si="34"/>
        <v>8000</v>
      </c>
      <c r="F118" s="544">
        <f>List1!Q102</f>
        <v>1000</v>
      </c>
      <c r="G118" s="544">
        <f>+List1!W102</f>
        <v>0</v>
      </c>
      <c r="H118" s="492">
        <f>+List1!T102</f>
        <v>2000</v>
      </c>
      <c r="I118" s="492">
        <f>+List1!AC102</f>
        <v>0</v>
      </c>
      <c r="J118" s="492">
        <f>+List1!Z102</f>
        <v>0</v>
      </c>
      <c r="K118" s="546">
        <f>+List1!AF102</f>
        <v>5000</v>
      </c>
      <c r="L118" s="506">
        <f t="shared" si="28"/>
        <v>500</v>
      </c>
      <c r="M118" s="571">
        <f>+List1!AL102</f>
        <v>0</v>
      </c>
      <c r="N118" s="546">
        <f>+List1!AO102</f>
        <v>0</v>
      </c>
      <c r="O118" s="548">
        <f>+List1!AR102</f>
        <v>500</v>
      </c>
      <c r="P118" s="549">
        <f>+List1!AU102</f>
        <v>0</v>
      </c>
      <c r="Q118" s="447"/>
    </row>
    <row r="119" spans="1:17" ht="27" outlineLevel="1" x14ac:dyDescent="0.25">
      <c r="A119" s="569"/>
      <c r="B119" s="570" t="s">
        <v>1488</v>
      </c>
      <c r="C119" s="504">
        <f t="shared" si="33"/>
        <v>8000</v>
      </c>
      <c r="D119" s="543">
        <v>8000</v>
      </c>
      <c r="E119" s="506">
        <f t="shared" si="34"/>
        <v>0</v>
      </c>
      <c r="F119" s="544">
        <f>List1!Q103</f>
        <v>0</v>
      </c>
      <c r="G119" s="544">
        <f>+List1!W103</f>
        <v>0</v>
      </c>
      <c r="H119" s="492">
        <f>+List1!T103</f>
        <v>0</v>
      </c>
      <c r="I119" s="492">
        <f>+List1!AC103</f>
        <v>0</v>
      </c>
      <c r="J119" s="492">
        <f>+List1!Z103</f>
        <v>0</v>
      </c>
      <c r="K119" s="546">
        <f>+List1!AF103</f>
        <v>0</v>
      </c>
      <c r="L119" s="506">
        <f t="shared" si="28"/>
        <v>0</v>
      </c>
      <c r="M119" s="571">
        <f>+List1!AL103</f>
        <v>0</v>
      </c>
      <c r="N119" s="546">
        <f>+List1!AO103</f>
        <v>0</v>
      </c>
      <c r="O119" s="548">
        <f>+List1!AR103</f>
        <v>0</v>
      </c>
      <c r="P119" s="549">
        <f>+List1!AU103</f>
        <v>0</v>
      </c>
      <c r="Q119" s="447"/>
    </row>
    <row r="120" spans="1:17" outlineLevel="1" x14ac:dyDescent="0.25">
      <c r="A120" s="569"/>
      <c r="B120" s="570" t="s">
        <v>1490</v>
      </c>
      <c r="C120" s="504">
        <f t="shared" si="33"/>
        <v>725000</v>
      </c>
      <c r="D120" s="543">
        <v>90000</v>
      </c>
      <c r="E120" s="506">
        <f t="shared" si="34"/>
        <v>305000</v>
      </c>
      <c r="F120" s="544">
        <v>30000</v>
      </c>
      <c r="G120" s="544">
        <v>10000</v>
      </c>
      <c r="H120" s="492">
        <v>10000</v>
      </c>
      <c r="I120" s="492"/>
      <c r="J120" s="492">
        <v>25000</v>
      </c>
      <c r="K120" s="578">
        <f>150000+80000</f>
        <v>230000</v>
      </c>
      <c r="L120" s="506">
        <f t="shared" si="28"/>
        <v>330000</v>
      </c>
      <c r="M120" s="571">
        <f>+List1!AL104</f>
        <v>0</v>
      </c>
      <c r="N120" s="546">
        <f>+List1!AO104</f>
        <v>60000</v>
      </c>
      <c r="O120" s="548">
        <v>270000</v>
      </c>
      <c r="P120" s="549">
        <f>+List1!AU104</f>
        <v>0</v>
      </c>
      <c r="Q120" s="447"/>
    </row>
    <row r="121" spans="1:17" outlineLevel="1" x14ac:dyDescent="0.25">
      <c r="A121" s="569"/>
      <c r="B121" s="570" t="s">
        <v>1492</v>
      </c>
      <c r="C121" s="504">
        <f t="shared" si="33"/>
        <v>35000</v>
      </c>
      <c r="D121" s="543">
        <f>List1!K105</f>
        <v>0</v>
      </c>
      <c r="E121" s="506">
        <f t="shared" si="34"/>
        <v>0</v>
      </c>
      <c r="F121" s="544">
        <f>List1!Q105</f>
        <v>0</v>
      </c>
      <c r="G121" s="544">
        <f>+List1!W105</f>
        <v>0</v>
      </c>
      <c r="H121" s="492">
        <f>+List1!T105</f>
        <v>0</v>
      </c>
      <c r="I121" s="492">
        <f>+List1!AC105</f>
        <v>0</v>
      </c>
      <c r="J121" s="492">
        <f>+List1!Z105</f>
        <v>0</v>
      </c>
      <c r="K121" s="546">
        <f>+List1!AF105</f>
        <v>0</v>
      </c>
      <c r="L121" s="506">
        <f t="shared" si="28"/>
        <v>35000</v>
      </c>
      <c r="M121" s="571">
        <f>+List1!AL105</f>
        <v>0</v>
      </c>
      <c r="N121" s="546">
        <f>+List1!AO105</f>
        <v>25000</v>
      </c>
      <c r="O121" s="548">
        <v>10000</v>
      </c>
      <c r="P121" s="549">
        <f>+List1!AU105</f>
        <v>0</v>
      </c>
      <c r="Q121" s="447"/>
    </row>
    <row r="122" spans="1:17" outlineLevel="1" x14ac:dyDescent="0.25">
      <c r="A122" s="569"/>
      <c r="B122" s="570" t="s">
        <v>1494</v>
      </c>
      <c r="C122" s="504">
        <f t="shared" si="33"/>
        <v>53000</v>
      </c>
      <c r="D122" s="543">
        <f>List1!K106</f>
        <v>14000</v>
      </c>
      <c r="E122" s="506">
        <f t="shared" si="34"/>
        <v>24000</v>
      </c>
      <c r="F122" s="544">
        <f>List1!Q106</f>
        <v>0</v>
      </c>
      <c r="G122" s="544">
        <f>+List1!W106</f>
        <v>0</v>
      </c>
      <c r="H122" s="492">
        <f>+List1!T106</f>
        <v>0</v>
      </c>
      <c r="I122" s="492">
        <f>+List1!AC106</f>
        <v>0</v>
      </c>
      <c r="J122" s="492">
        <f>+List1!Z106</f>
        <v>9000</v>
      </c>
      <c r="K122" s="546">
        <f>+List1!AF106</f>
        <v>15000</v>
      </c>
      <c r="L122" s="506">
        <f t="shared" si="28"/>
        <v>15000</v>
      </c>
      <c r="M122" s="571">
        <f>+List1!AL106</f>
        <v>0</v>
      </c>
      <c r="N122" s="546">
        <f>+List1!AO106</f>
        <v>5000</v>
      </c>
      <c r="O122" s="548">
        <f>+List1!AR106</f>
        <v>10000</v>
      </c>
      <c r="P122" s="549">
        <f>+List1!AU106</f>
        <v>0</v>
      </c>
      <c r="Q122" s="447"/>
    </row>
    <row r="123" spans="1:17" outlineLevel="1" x14ac:dyDescent="0.25">
      <c r="A123" s="569"/>
      <c r="B123" s="570" t="s">
        <v>1496</v>
      </c>
      <c r="C123" s="504">
        <f t="shared" si="33"/>
        <v>855000</v>
      </c>
      <c r="D123" s="543">
        <f>List1!K107</f>
        <v>0</v>
      </c>
      <c r="E123" s="506">
        <f t="shared" si="34"/>
        <v>855000</v>
      </c>
      <c r="F123" s="544">
        <f>List1!Q107</f>
        <v>0</v>
      </c>
      <c r="G123" s="544">
        <f>+List1!W107</f>
        <v>0</v>
      </c>
      <c r="H123" s="492">
        <f>+List1!T107</f>
        <v>0</v>
      </c>
      <c r="I123" s="492">
        <f>+List1!AC107</f>
        <v>0</v>
      </c>
      <c r="J123" s="492">
        <f>+List1!Z107</f>
        <v>0</v>
      </c>
      <c r="K123" s="546">
        <v>855000</v>
      </c>
      <c r="L123" s="506">
        <f t="shared" si="28"/>
        <v>0</v>
      </c>
      <c r="M123" s="571">
        <f>+List1!AL107</f>
        <v>0</v>
      </c>
      <c r="N123" s="546">
        <f>+List1!AO107</f>
        <v>0</v>
      </c>
      <c r="O123" s="548">
        <f>+List1!AR107</f>
        <v>0</v>
      </c>
      <c r="P123" s="549">
        <f>+List1!AU107</f>
        <v>0</v>
      </c>
      <c r="Q123" s="447"/>
    </row>
    <row r="124" spans="1:17" s="472" customFormat="1" x14ac:dyDescent="0.25">
      <c r="A124" s="575">
        <v>5171</v>
      </c>
      <c r="B124" s="519" t="s">
        <v>118</v>
      </c>
      <c r="C124" s="495">
        <f>SUM(C125:C128)</f>
        <v>1866000</v>
      </c>
      <c r="D124" s="475">
        <f t="shared" ref="D124:K124" si="35">SUM(D125:D128)</f>
        <v>65000</v>
      </c>
      <c r="E124" s="476">
        <f>SUM(E125:E128)</f>
        <v>411000</v>
      </c>
      <c r="F124" s="477">
        <f t="shared" si="35"/>
        <v>42500</v>
      </c>
      <c r="G124" s="477">
        <f t="shared" si="35"/>
        <v>0</v>
      </c>
      <c r="H124" s="478">
        <f t="shared" si="35"/>
        <v>102500</v>
      </c>
      <c r="I124" s="478">
        <f t="shared" si="35"/>
        <v>0</v>
      </c>
      <c r="J124" s="478">
        <f t="shared" si="35"/>
        <v>70000</v>
      </c>
      <c r="K124" s="480">
        <f t="shared" si="35"/>
        <v>196000</v>
      </c>
      <c r="L124" s="476">
        <f t="shared" ref="L124:L139" si="36">SUM(N124:P124)</f>
        <v>1390000</v>
      </c>
      <c r="M124" s="576">
        <f>SUM(M125:M128)</f>
        <v>0</v>
      </c>
      <c r="N124" s="480">
        <f>SUM(N125:N128)</f>
        <v>800000</v>
      </c>
      <c r="O124" s="577">
        <f>SUM(O125:O128)</f>
        <v>360000</v>
      </c>
      <c r="P124" s="479">
        <f>SUM(P125:P128)</f>
        <v>230000</v>
      </c>
      <c r="Q124" s="496"/>
    </row>
    <row r="125" spans="1:17" outlineLevel="1" x14ac:dyDescent="0.25">
      <c r="A125" s="569"/>
      <c r="B125" s="570" t="s">
        <v>1499</v>
      </c>
      <c r="C125" s="504">
        <f t="shared" ref="C125:C137" si="37">+E125+L125+D125</f>
        <v>450000</v>
      </c>
      <c r="D125" s="543">
        <f>List1!K109</f>
        <v>10000</v>
      </c>
      <c r="E125" s="506">
        <f t="shared" ref="E125:E137" si="38">SUM(F125:K125)</f>
        <v>290000</v>
      </c>
      <c r="F125" s="544">
        <v>40000</v>
      </c>
      <c r="G125" s="544">
        <v>0</v>
      </c>
      <c r="H125" s="492">
        <v>100000</v>
      </c>
      <c r="I125" s="492"/>
      <c r="J125" s="492">
        <v>50000</v>
      </c>
      <c r="K125" s="546">
        <v>100000</v>
      </c>
      <c r="L125" s="506">
        <f t="shared" si="36"/>
        <v>150000</v>
      </c>
      <c r="M125" s="583">
        <f>List1!AL109</f>
        <v>0</v>
      </c>
      <c r="N125" s="498">
        <v>100000</v>
      </c>
      <c r="O125" s="584">
        <f>List1!AR109</f>
        <v>0</v>
      </c>
      <c r="P125" s="499">
        <v>50000</v>
      </c>
      <c r="Q125" s="447"/>
    </row>
    <row r="126" spans="1:17" ht="27" outlineLevel="1" x14ac:dyDescent="0.25">
      <c r="A126" s="569"/>
      <c r="B126" s="570" t="s">
        <v>1501</v>
      </c>
      <c r="C126" s="504">
        <f t="shared" si="37"/>
        <v>166000</v>
      </c>
      <c r="D126" s="543">
        <v>5000</v>
      </c>
      <c r="E126" s="506">
        <f t="shared" si="38"/>
        <v>51000</v>
      </c>
      <c r="F126" s="544">
        <v>2500</v>
      </c>
      <c r="G126" s="544">
        <v>0</v>
      </c>
      <c r="H126" s="492">
        <v>2500</v>
      </c>
      <c r="I126" s="492"/>
      <c r="J126" s="492">
        <v>20000</v>
      </c>
      <c r="K126" s="546">
        <v>26000</v>
      </c>
      <c r="L126" s="506">
        <f t="shared" si="36"/>
        <v>110000</v>
      </c>
      <c r="M126" s="571">
        <f>List1!AL110</f>
        <v>0</v>
      </c>
      <c r="N126" s="546">
        <v>0</v>
      </c>
      <c r="O126" s="548">
        <v>10000</v>
      </c>
      <c r="P126" s="549">
        <v>100000</v>
      </c>
      <c r="Q126" s="447"/>
    </row>
    <row r="127" spans="1:17" outlineLevel="1" x14ac:dyDescent="0.25">
      <c r="A127" s="569"/>
      <c r="B127" s="570" t="s">
        <v>1503</v>
      </c>
      <c r="C127" s="504">
        <f t="shared" si="37"/>
        <v>495000</v>
      </c>
      <c r="D127" s="543">
        <f>List1!K111</f>
        <v>50000</v>
      </c>
      <c r="E127" s="506">
        <f t="shared" si="38"/>
        <v>70000</v>
      </c>
      <c r="F127" s="544">
        <v>0</v>
      </c>
      <c r="G127" s="544">
        <v>0</v>
      </c>
      <c r="H127" s="492">
        <v>0</v>
      </c>
      <c r="I127" s="492">
        <v>0</v>
      </c>
      <c r="J127" s="492">
        <v>0</v>
      </c>
      <c r="K127" s="546">
        <v>70000</v>
      </c>
      <c r="L127" s="506">
        <f t="shared" si="36"/>
        <v>375000</v>
      </c>
      <c r="M127" s="571">
        <f>List1!AL111</f>
        <v>0</v>
      </c>
      <c r="N127" s="546">
        <v>100000</v>
      </c>
      <c r="O127" s="548">
        <v>200000</v>
      </c>
      <c r="P127" s="549">
        <v>75000</v>
      </c>
      <c r="Q127" s="447"/>
    </row>
    <row r="128" spans="1:17" outlineLevel="1" x14ac:dyDescent="0.25">
      <c r="A128" s="569"/>
      <c r="B128" s="570" t="s">
        <v>1505</v>
      </c>
      <c r="C128" s="504">
        <f t="shared" si="37"/>
        <v>755000</v>
      </c>
      <c r="D128" s="543">
        <f>List1!K112</f>
        <v>0</v>
      </c>
      <c r="E128" s="506">
        <f t="shared" si="38"/>
        <v>0</v>
      </c>
      <c r="F128" s="544">
        <f>List1!Q112</f>
        <v>0</v>
      </c>
      <c r="G128" s="544">
        <f>+List1!W112</f>
        <v>0</v>
      </c>
      <c r="H128" s="492">
        <f>+List1!T112</f>
        <v>0</v>
      </c>
      <c r="I128" s="492">
        <f>+List1!AC112</f>
        <v>0</v>
      </c>
      <c r="J128" s="492">
        <f>+List1!Z112</f>
        <v>0</v>
      </c>
      <c r="K128" s="546">
        <f>+List1!AF112</f>
        <v>0</v>
      </c>
      <c r="L128" s="506">
        <f t="shared" si="36"/>
        <v>755000</v>
      </c>
      <c r="M128" s="571">
        <f>List1!AL112</f>
        <v>0</v>
      </c>
      <c r="N128" s="546">
        <v>600000</v>
      </c>
      <c r="O128" s="548">
        <v>150000</v>
      </c>
      <c r="P128" s="549">
        <v>5000</v>
      </c>
      <c r="Q128" s="447"/>
    </row>
    <row r="129" spans="1:17" x14ac:dyDescent="0.25">
      <c r="A129" s="559" t="s">
        <v>1506</v>
      </c>
      <c r="B129" s="542" t="s">
        <v>120</v>
      </c>
      <c r="C129" s="560">
        <f t="shared" si="37"/>
        <v>10000</v>
      </c>
      <c r="D129" s="561">
        <v>10000</v>
      </c>
      <c r="E129" s="562">
        <f t="shared" si="38"/>
        <v>0</v>
      </c>
      <c r="F129" s="563">
        <f>List1!Q113</f>
        <v>0</v>
      </c>
      <c r="G129" s="563">
        <f>List1!W113</f>
        <v>0</v>
      </c>
      <c r="H129" s="564">
        <f>List1!T113</f>
        <v>0</v>
      </c>
      <c r="I129" s="564">
        <f>List1!AC113</f>
        <v>0</v>
      </c>
      <c r="J129" s="564">
        <f>+List1!Z113</f>
        <v>0</v>
      </c>
      <c r="K129" s="565">
        <f>List1!AF113</f>
        <v>0</v>
      </c>
      <c r="L129" s="562">
        <f t="shared" si="36"/>
        <v>0</v>
      </c>
      <c r="M129" s="566">
        <f>+List1!AL113</f>
        <v>0</v>
      </c>
      <c r="N129" s="565">
        <f>+List1!AO113</f>
        <v>0</v>
      </c>
      <c r="O129" s="567">
        <f>+List1!AR113</f>
        <v>0</v>
      </c>
      <c r="P129" s="568">
        <f>+List1!AU113</f>
        <v>0</v>
      </c>
      <c r="Q129" s="447"/>
    </row>
    <row r="130" spans="1:17" x14ac:dyDescent="0.25">
      <c r="A130" s="559" t="s">
        <v>1507</v>
      </c>
      <c r="B130" s="542" t="s">
        <v>1508</v>
      </c>
      <c r="C130" s="560">
        <f t="shared" si="37"/>
        <v>15000</v>
      </c>
      <c r="D130" s="561">
        <v>15000</v>
      </c>
      <c r="E130" s="562">
        <f t="shared" si="38"/>
        <v>0</v>
      </c>
      <c r="F130" s="563">
        <f>List1!Q114</f>
        <v>0</v>
      </c>
      <c r="G130" s="563">
        <f>List1!W114</f>
        <v>0</v>
      </c>
      <c r="H130" s="564">
        <f>List1!T114</f>
        <v>0</v>
      </c>
      <c r="I130" s="564">
        <f>List1!AC114</f>
        <v>0</v>
      </c>
      <c r="J130" s="564">
        <f>+List1!Z114</f>
        <v>0</v>
      </c>
      <c r="K130" s="565">
        <f>List1!AF114</f>
        <v>0</v>
      </c>
      <c r="L130" s="562">
        <f t="shared" si="36"/>
        <v>0</v>
      </c>
      <c r="M130" s="566">
        <f>+List1!AL114</f>
        <v>0</v>
      </c>
      <c r="N130" s="565">
        <f>+List1!AO114</f>
        <v>0</v>
      </c>
      <c r="O130" s="567">
        <f>+List1!AR114</f>
        <v>0</v>
      </c>
      <c r="P130" s="568">
        <f>+List1!AU114</f>
        <v>0</v>
      </c>
      <c r="Q130" s="447"/>
    </row>
    <row r="131" spans="1:17" ht="27" x14ac:dyDescent="0.25">
      <c r="A131" s="559" t="s">
        <v>1509</v>
      </c>
      <c r="B131" s="542" t="s">
        <v>1510</v>
      </c>
      <c r="C131" s="560">
        <f t="shared" si="37"/>
        <v>0</v>
      </c>
      <c r="D131" s="561">
        <f>List1!K115</f>
        <v>0</v>
      </c>
      <c r="E131" s="562">
        <f t="shared" si="38"/>
        <v>0</v>
      </c>
      <c r="F131" s="563">
        <f>List1!Q115</f>
        <v>0</v>
      </c>
      <c r="G131" s="563">
        <f>List1!W115</f>
        <v>0</v>
      </c>
      <c r="H131" s="564">
        <f>List1!T115</f>
        <v>0</v>
      </c>
      <c r="I131" s="564">
        <f>List1!AC115</f>
        <v>0</v>
      </c>
      <c r="J131" s="564">
        <f>+List1!Z115</f>
        <v>0</v>
      </c>
      <c r="K131" s="565">
        <f>List1!AF115</f>
        <v>0</v>
      </c>
      <c r="L131" s="562">
        <f t="shared" si="36"/>
        <v>0</v>
      </c>
      <c r="M131" s="566">
        <f>+List1!AL115</f>
        <v>0</v>
      </c>
      <c r="N131" s="565">
        <f>+List1!AO115</f>
        <v>0</v>
      </c>
      <c r="O131" s="567">
        <f>+List1!AR115</f>
        <v>0</v>
      </c>
      <c r="P131" s="568">
        <f>+List1!AU115</f>
        <v>0</v>
      </c>
      <c r="Q131" s="447"/>
    </row>
    <row r="132" spans="1:17" x14ac:dyDescent="0.25">
      <c r="A132" s="559" t="s">
        <v>1511</v>
      </c>
      <c r="B132" s="542" t="s">
        <v>1512</v>
      </c>
      <c r="C132" s="560">
        <f t="shared" si="37"/>
        <v>2371000</v>
      </c>
      <c r="D132" s="561">
        <v>160000</v>
      </c>
      <c r="E132" s="562">
        <f t="shared" si="38"/>
        <v>1864000</v>
      </c>
      <c r="F132" s="563">
        <v>214000</v>
      </c>
      <c r="G132" s="563">
        <v>0</v>
      </c>
      <c r="H132" s="564">
        <v>750000</v>
      </c>
      <c r="I132" s="564"/>
      <c r="J132" s="564">
        <v>70000</v>
      </c>
      <c r="K132" s="565">
        <v>830000</v>
      </c>
      <c r="L132" s="562">
        <f t="shared" si="36"/>
        <v>347000</v>
      </c>
      <c r="M132" s="566">
        <f>+List1!AL116</f>
        <v>0</v>
      </c>
      <c r="N132" s="565">
        <v>203000</v>
      </c>
      <c r="O132" s="567">
        <v>132000</v>
      </c>
      <c r="P132" s="568">
        <v>12000</v>
      </c>
      <c r="Q132" s="447"/>
    </row>
    <row r="133" spans="1:17" x14ac:dyDescent="0.25">
      <c r="A133" s="559" t="s">
        <v>1513</v>
      </c>
      <c r="B133" s="542" t="s">
        <v>1514</v>
      </c>
      <c r="C133" s="560">
        <f t="shared" si="37"/>
        <v>0</v>
      </c>
      <c r="D133" s="561">
        <f>List1!K117</f>
        <v>0</v>
      </c>
      <c r="E133" s="562">
        <f t="shared" si="38"/>
        <v>0</v>
      </c>
      <c r="F133" s="563">
        <f>List1!Q117</f>
        <v>0</v>
      </c>
      <c r="G133" s="563">
        <f>List1!W117</f>
        <v>0</v>
      </c>
      <c r="H133" s="564">
        <f>List1!T117</f>
        <v>0</v>
      </c>
      <c r="I133" s="564">
        <f>List1!AC117</f>
        <v>0</v>
      </c>
      <c r="J133" s="564">
        <f>+List1!Z117</f>
        <v>0</v>
      </c>
      <c r="K133" s="565">
        <f>List1!AF117</f>
        <v>0</v>
      </c>
      <c r="L133" s="562">
        <f t="shared" si="36"/>
        <v>0</v>
      </c>
      <c r="M133" s="566">
        <f>+List1!AL117</f>
        <v>0</v>
      </c>
      <c r="N133" s="565">
        <f>+List1!AO117</f>
        <v>0</v>
      </c>
      <c r="O133" s="567">
        <f>+List1!AR117</f>
        <v>0</v>
      </c>
      <c r="P133" s="568">
        <f>+List1!AU117</f>
        <v>0</v>
      </c>
      <c r="Q133" s="447"/>
    </row>
    <row r="134" spans="1:17" x14ac:dyDescent="0.25">
      <c r="A134" s="559" t="s">
        <v>1515</v>
      </c>
      <c r="B134" s="542" t="s">
        <v>1516</v>
      </c>
      <c r="C134" s="560">
        <f t="shared" si="37"/>
        <v>39000</v>
      </c>
      <c r="D134" s="561">
        <f>List1!K118</f>
        <v>4000</v>
      </c>
      <c r="E134" s="562">
        <f t="shared" si="38"/>
        <v>25000</v>
      </c>
      <c r="F134" s="563">
        <f>List1!Q118</f>
        <v>10000</v>
      </c>
      <c r="G134" s="563">
        <f>List1!W118</f>
        <v>0</v>
      </c>
      <c r="H134" s="564">
        <v>5000</v>
      </c>
      <c r="I134" s="564">
        <f>List1!AC118</f>
        <v>0</v>
      </c>
      <c r="J134" s="564">
        <v>5000</v>
      </c>
      <c r="K134" s="565">
        <v>5000</v>
      </c>
      <c r="L134" s="562">
        <f t="shared" si="36"/>
        <v>10000</v>
      </c>
      <c r="M134" s="566">
        <f>+List1!AL118</f>
        <v>0</v>
      </c>
      <c r="N134" s="565">
        <v>10000</v>
      </c>
      <c r="O134" s="567">
        <f>+List1!AR118</f>
        <v>0</v>
      </c>
      <c r="P134" s="568">
        <f>+List1!AU118</f>
        <v>0</v>
      </c>
      <c r="Q134" s="447"/>
    </row>
    <row r="135" spans="1:17" x14ac:dyDescent="0.25">
      <c r="A135" s="559" t="s">
        <v>1517</v>
      </c>
      <c r="B135" s="542" t="s">
        <v>1518</v>
      </c>
      <c r="C135" s="560">
        <f t="shared" si="37"/>
        <v>97000</v>
      </c>
      <c r="D135" s="561">
        <v>5000</v>
      </c>
      <c r="E135" s="562">
        <f t="shared" si="38"/>
        <v>46000</v>
      </c>
      <c r="F135" s="563">
        <f>List1!Q119</f>
        <v>0</v>
      </c>
      <c r="G135" s="563">
        <f>List1!W119</f>
        <v>0</v>
      </c>
      <c r="H135" s="564">
        <f>List1!T119</f>
        <v>0</v>
      </c>
      <c r="I135" s="564">
        <f>List1!AC119</f>
        <v>0</v>
      </c>
      <c r="J135" s="564">
        <f>+List1!Z119</f>
        <v>0</v>
      </c>
      <c r="K135" s="565">
        <v>46000</v>
      </c>
      <c r="L135" s="562">
        <f t="shared" si="36"/>
        <v>46000</v>
      </c>
      <c r="M135" s="566">
        <f>+List1!AL119</f>
        <v>0</v>
      </c>
      <c r="N135" s="565">
        <f>+List1!AO119</f>
        <v>0</v>
      </c>
      <c r="O135" s="567">
        <v>46000</v>
      </c>
      <c r="P135" s="568">
        <f>+List1!AU119</f>
        <v>0</v>
      </c>
      <c r="Q135" s="447"/>
    </row>
    <row r="136" spans="1:17" x14ac:dyDescent="0.25">
      <c r="A136" s="559" t="s">
        <v>1519</v>
      </c>
      <c r="B136" s="542" t="s">
        <v>1520</v>
      </c>
      <c r="C136" s="560">
        <f t="shared" si="37"/>
        <v>0</v>
      </c>
      <c r="D136" s="561">
        <f>List1!K120</f>
        <v>0</v>
      </c>
      <c r="E136" s="562">
        <f t="shared" si="38"/>
        <v>0</v>
      </c>
      <c r="F136" s="563">
        <f>List1!Q120</f>
        <v>0</v>
      </c>
      <c r="G136" s="563">
        <f>List1!W120</f>
        <v>0</v>
      </c>
      <c r="H136" s="564">
        <f>List1!T120</f>
        <v>0</v>
      </c>
      <c r="I136" s="564">
        <f>List1!AC120</f>
        <v>0</v>
      </c>
      <c r="J136" s="564">
        <f>+List1!Z120</f>
        <v>0</v>
      </c>
      <c r="K136" s="565">
        <f>List1!AF120</f>
        <v>0</v>
      </c>
      <c r="L136" s="562">
        <f t="shared" si="36"/>
        <v>0</v>
      </c>
      <c r="M136" s="566">
        <f>+List1!AL120</f>
        <v>0</v>
      </c>
      <c r="N136" s="565">
        <f>+List1!AO120</f>
        <v>0</v>
      </c>
      <c r="O136" s="567">
        <f>+List1!AR120</f>
        <v>0</v>
      </c>
      <c r="P136" s="568">
        <f>+List1!AU120</f>
        <v>0</v>
      </c>
      <c r="Q136" s="447"/>
    </row>
    <row r="137" spans="1:17" x14ac:dyDescent="0.25">
      <c r="A137" s="559" t="s">
        <v>1522</v>
      </c>
      <c r="B137" s="542" t="s">
        <v>1523</v>
      </c>
      <c r="C137" s="560">
        <f t="shared" si="37"/>
        <v>20000</v>
      </c>
      <c r="D137" s="561">
        <v>20000</v>
      </c>
      <c r="E137" s="562">
        <f t="shared" si="38"/>
        <v>0</v>
      </c>
      <c r="F137" s="563"/>
      <c r="G137" s="563"/>
      <c r="H137" s="564"/>
      <c r="I137" s="564"/>
      <c r="J137" s="564"/>
      <c r="K137" s="565"/>
      <c r="L137" s="562">
        <f t="shared" si="36"/>
        <v>0</v>
      </c>
      <c r="M137" s="566"/>
      <c r="N137" s="565"/>
      <c r="O137" s="567"/>
      <c r="P137" s="568"/>
      <c r="Q137" s="447"/>
    </row>
    <row r="138" spans="1:17" ht="14.25" thickBot="1" x14ac:dyDescent="0.3">
      <c r="A138" s="1911" t="s">
        <v>401</v>
      </c>
      <c r="B138" s="551"/>
      <c r="C138" s="520">
        <f>SUM(C129:C137)+C124+C106+SUM(C94:C105)+C70+SUM(C66:C69)+C59</f>
        <v>55526950</v>
      </c>
      <c r="D138" s="552">
        <f t="shared" ref="D138:K138" si="39">SUM(D129:D137)+D124+D106+SUM(D94:D105)+D70+SUM(D66:D69)+D59</f>
        <v>810000</v>
      </c>
      <c r="E138" s="521">
        <f t="shared" si="39"/>
        <v>12303950</v>
      </c>
      <c r="F138" s="553">
        <f t="shared" si="39"/>
        <v>724500</v>
      </c>
      <c r="G138" s="553">
        <f t="shared" si="39"/>
        <v>36300</v>
      </c>
      <c r="H138" s="554">
        <f t="shared" si="39"/>
        <v>4977150</v>
      </c>
      <c r="I138" s="554">
        <f t="shared" si="39"/>
        <v>0</v>
      </c>
      <c r="J138" s="554">
        <f t="shared" si="39"/>
        <v>1459000</v>
      </c>
      <c r="K138" s="555">
        <f t="shared" si="39"/>
        <v>5107000</v>
      </c>
      <c r="L138" s="521">
        <f t="shared" ref="L138:P138" si="40">SUM(L129:L137)+L124+L106+SUM(L94:L105)+L70+SUM(L66:L69)+L59</f>
        <v>42413000</v>
      </c>
      <c r="M138" s="556">
        <f t="shared" si="40"/>
        <v>0</v>
      </c>
      <c r="N138" s="555">
        <f t="shared" si="40"/>
        <v>12608000</v>
      </c>
      <c r="O138" s="557">
        <f t="shared" si="40"/>
        <v>9652000</v>
      </c>
      <c r="P138" s="558">
        <f t="shared" si="40"/>
        <v>20153000</v>
      </c>
      <c r="Q138" s="447"/>
    </row>
    <row r="139" spans="1:17" x14ac:dyDescent="0.25">
      <c r="A139" s="559">
        <v>5141</v>
      </c>
      <c r="B139" s="542" t="s">
        <v>7</v>
      </c>
      <c r="C139" s="585">
        <f>+E139+L139+D139</f>
        <v>138000</v>
      </c>
      <c r="D139" s="586">
        <f>List1!K121</f>
        <v>0</v>
      </c>
      <c r="E139" s="587">
        <f t="shared" ref="E139" si="41">SUM(F139:K139)</f>
        <v>138000</v>
      </c>
      <c r="F139" s="588">
        <v>3000</v>
      </c>
      <c r="G139" s="588"/>
      <c r="H139" s="589">
        <v>35000</v>
      </c>
      <c r="I139" s="535"/>
      <c r="J139" s="535"/>
      <c r="K139" s="589">
        <v>100000</v>
      </c>
      <c r="L139" s="590">
        <f t="shared" si="36"/>
        <v>0</v>
      </c>
      <c r="M139" s="591"/>
      <c r="N139" s="589"/>
      <c r="O139" s="592"/>
      <c r="P139" s="593"/>
      <c r="Q139" s="447"/>
    </row>
    <row r="140" spans="1:17" ht="14.25" thickBot="1" x14ac:dyDescent="0.3">
      <c r="A140" s="550" t="s">
        <v>133</v>
      </c>
      <c r="B140" s="551" t="s">
        <v>134</v>
      </c>
      <c r="C140" s="520">
        <f>+C138+C139+C58</f>
        <v>74440212.700000003</v>
      </c>
      <c r="D140" s="552">
        <f t="shared" ref="D140:P140" si="42">+D138+D139+D58</f>
        <v>3370105.2</v>
      </c>
      <c r="E140" s="521">
        <f t="shared" si="42"/>
        <v>24718640.811999999</v>
      </c>
      <c r="F140" s="553">
        <f t="shared" si="42"/>
        <v>1876016.8839999998</v>
      </c>
      <c r="G140" s="553">
        <f t="shared" si="42"/>
        <v>510889.68400000001</v>
      </c>
      <c r="H140" s="554">
        <f t="shared" si="42"/>
        <v>7103319.3159999996</v>
      </c>
      <c r="I140" s="554">
        <f t="shared" si="42"/>
        <v>0</v>
      </c>
      <c r="J140" s="554">
        <f t="shared" si="42"/>
        <v>2206793.6</v>
      </c>
      <c r="K140" s="555">
        <f t="shared" si="42"/>
        <v>13021621.328</v>
      </c>
      <c r="L140" s="521">
        <f t="shared" si="42"/>
        <v>46351466.688000001</v>
      </c>
      <c r="M140" s="556">
        <f t="shared" si="42"/>
        <v>0</v>
      </c>
      <c r="N140" s="555">
        <f t="shared" si="42"/>
        <v>15172840.909600001</v>
      </c>
      <c r="O140" s="557">
        <f t="shared" si="42"/>
        <v>10875670.9976</v>
      </c>
      <c r="P140" s="558">
        <f t="shared" si="42"/>
        <v>20302954.7808</v>
      </c>
      <c r="Q140" s="447"/>
    </row>
    <row r="141" spans="1:17" ht="14.25" thickBot="1" x14ac:dyDescent="0.3">
      <c r="A141" s="559"/>
      <c r="B141" s="542"/>
      <c r="C141" s="594"/>
      <c r="D141" s="595"/>
      <c r="E141" s="595"/>
      <c r="F141" s="595"/>
      <c r="G141" s="595"/>
      <c r="H141" s="595"/>
      <c r="I141" s="595"/>
      <c r="J141" s="595"/>
      <c r="K141" s="595"/>
      <c r="L141" s="595"/>
      <c r="M141" s="595"/>
      <c r="N141" s="595"/>
      <c r="O141" s="595"/>
      <c r="P141" s="595"/>
      <c r="Q141" s="447"/>
    </row>
    <row r="142" spans="1:17" ht="14.25" thickBot="1" x14ac:dyDescent="0.3">
      <c r="A142" s="2208" t="s">
        <v>690</v>
      </c>
      <c r="B142" s="2209"/>
      <c r="C142" s="596">
        <f>+C140</f>
        <v>74440212.700000003</v>
      </c>
      <c r="D142" s="597">
        <f t="shared" ref="D142:P142" si="43">+D140</f>
        <v>3370105.2</v>
      </c>
      <c r="E142" s="598">
        <f t="shared" si="43"/>
        <v>24718640.811999999</v>
      </c>
      <c r="F142" s="599">
        <f t="shared" si="43"/>
        <v>1876016.8839999998</v>
      </c>
      <c r="G142" s="599">
        <f t="shared" si="43"/>
        <v>510889.68400000001</v>
      </c>
      <c r="H142" s="600">
        <f t="shared" si="43"/>
        <v>7103319.3159999996</v>
      </c>
      <c r="I142" s="600">
        <f t="shared" si="43"/>
        <v>0</v>
      </c>
      <c r="J142" s="600">
        <f t="shared" si="43"/>
        <v>2206793.6</v>
      </c>
      <c r="K142" s="601">
        <f t="shared" si="43"/>
        <v>13021621.328</v>
      </c>
      <c r="L142" s="598">
        <f t="shared" si="43"/>
        <v>46351466.688000001</v>
      </c>
      <c r="M142" s="602">
        <f t="shared" si="43"/>
        <v>0</v>
      </c>
      <c r="N142" s="601">
        <f t="shared" si="43"/>
        <v>15172840.909600001</v>
      </c>
      <c r="O142" s="603">
        <f t="shared" si="43"/>
        <v>10875670.9976</v>
      </c>
      <c r="P142" s="604">
        <f t="shared" si="43"/>
        <v>20302954.7808</v>
      </c>
      <c r="Q142" s="447"/>
    </row>
    <row r="143" spans="1:17" ht="14.25" thickBot="1" x14ac:dyDescent="0.3">
      <c r="A143" s="2208" t="s">
        <v>159</v>
      </c>
      <c r="B143" s="2209"/>
      <c r="C143" s="596">
        <f>C47-C142</f>
        <v>-625075.16000001132</v>
      </c>
      <c r="D143" s="597">
        <f t="shared" ref="D143:P143" si="44">D47-D142</f>
        <v>-1510148.2000000004</v>
      </c>
      <c r="E143" s="598">
        <f t="shared" si="44"/>
        <v>-513460.27199999988</v>
      </c>
      <c r="F143" s="599">
        <f t="shared" si="44"/>
        <v>9067.6200000001118</v>
      </c>
      <c r="G143" s="599">
        <f t="shared" si="44"/>
        <v>18246.971999999951</v>
      </c>
      <c r="H143" s="600">
        <f t="shared" si="44"/>
        <v>-27135.796000000089</v>
      </c>
      <c r="I143" s="600">
        <f t="shared" si="44"/>
        <v>0</v>
      </c>
      <c r="J143" s="600">
        <f t="shared" si="44"/>
        <v>-824251.20000000019</v>
      </c>
      <c r="K143" s="601">
        <f t="shared" si="44"/>
        <v>310612.13200000115</v>
      </c>
      <c r="L143" s="598">
        <f t="shared" si="44"/>
        <v>948533.31199999899</v>
      </c>
      <c r="M143" s="602">
        <f t="shared" si="44"/>
        <v>0</v>
      </c>
      <c r="N143" s="601">
        <f t="shared" si="44"/>
        <v>-2372840.9096000008</v>
      </c>
      <c r="O143" s="603">
        <f t="shared" si="44"/>
        <v>1624329.0023999996</v>
      </c>
      <c r="P143" s="604">
        <f t="shared" si="44"/>
        <v>1697045.2192000002</v>
      </c>
      <c r="Q143" s="447"/>
    </row>
    <row r="144" spans="1:17" x14ac:dyDescent="0.25">
      <c r="A144" s="605"/>
      <c r="B144" s="446"/>
      <c r="C144" s="656"/>
      <c r="D144" s="446"/>
      <c r="E144" s="527"/>
      <c r="F144" s="446"/>
      <c r="G144" s="446"/>
      <c r="H144" s="446"/>
      <c r="I144" s="446"/>
      <c r="J144" s="446"/>
      <c r="K144" s="527"/>
      <c r="L144" s="446"/>
      <c r="M144" s="446"/>
      <c r="N144" s="446"/>
      <c r="O144" s="446"/>
      <c r="P144" s="446"/>
      <c r="Q144" s="447"/>
    </row>
    <row r="145" spans="1:11" x14ac:dyDescent="0.25">
      <c r="K145" s="481"/>
    </row>
    <row r="146" spans="1:11" x14ac:dyDescent="0.25">
      <c r="A146" s="605" t="s">
        <v>650</v>
      </c>
      <c r="B146" s="446"/>
    </row>
  </sheetData>
  <sheetProtection algorithmName="SHA-512" hashValue="yZpC5TTabsGEstZ0cIKr3abIVJXk+1/PWu/YJhtcxjsEsDGBUiBRGHDfOi80G4ZP9dkHfvFFBb7a0pqhRyo7VQ==" saltValue="krlSWrPiA6YZlz/D+m9pOA==" spinCount="100000" sheet="1" objects="1" scenarios="1"/>
  <mergeCells count="4">
    <mergeCell ref="A6:A28"/>
    <mergeCell ref="A47:B47"/>
    <mergeCell ref="A142:B142"/>
    <mergeCell ref="A143:B143"/>
  </mergeCells>
  <pageMargins left="0.31496062992125984" right="0.31496062992125984" top="0.19685039370078741" bottom="0.19685039370078741" header="0.31496062992125984" footer="0.31496062992125984"/>
  <pageSetup paperSize="8" scale="4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65"/>
  <sheetViews>
    <sheetView topLeftCell="A31" zoomScale="78" zoomScaleNormal="78" workbookViewId="0">
      <pane xSplit="2" topLeftCell="G1" activePane="topRight" state="frozen"/>
      <selection pane="topRight" activeCell="C53" sqref="C53:N58"/>
    </sheetView>
  </sheetViews>
  <sheetFormatPr defaultColWidth="9.140625" defaultRowHeight="13.5" x14ac:dyDescent="0.25"/>
  <cols>
    <col min="1" max="1" width="9.42578125" style="605" bestFit="1" customWidth="1"/>
    <col min="2" max="2" width="25.5703125" style="446" bestFit="1" customWidth="1"/>
    <col min="3" max="3" width="12.7109375" style="446" bestFit="1" customWidth="1"/>
    <col min="4" max="4" width="14.140625" style="446" bestFit="1" customWidth="1"/>
    <col min="5" max="5" width="13.7109375" style="446" bestFit="1" customWidth="1"/>
    <col min="6" max="6" width="14.140625" style="527" bestFit="1" customWidth="1"/>
    <col min="7" max="7" width="12.5703125" style="446" bestFit="1" customWidth="1"/>
    <col min="8" max="8" width="14.5703125" style="446" customWidth="1"/>
    <col min="9" max="9" width="13.7109375" style="446" customWidth="1"/>
    <col min="10" max="10" width="14.7109375" style="527" customWidth="1"/>
    <col min="11" max="11" width="12.42578125" style="446" bestFit="1" customWidth="1"/>
    <col min="12" max="12" width="13.7109375" style="446" bestFit="1" customWidth="1"/>
    <col min="13" max="13" width="12.85546875" style="446" customWidth="1"/>
    <col min="14" max="14" width="13" style="446" customWidth="1"/>
    <col min="15" max="15" width="17.28515625" style="605" customWidth="1"/>
    <col min="16" max="16" width="14.140625" style="860" bestFit="1" customWidth="1"/>
    <col min="17" max="17" width="14.5703125" style="527" bestFit="1" customWidth="1"/>
    <col min="18" max="18" width="11.28515625" style="446" bestFit="1" customWidth="1"/>
    <col min="19" max="19" width="14.140625" style="527" bestFit="1" customWidth="1"/>
    <col min="20" max="16384" width="9.140625" style="446"/>
  </cols>
  <sheetData>
    <row r="2" spans="1:19" ht="18.75" x14ac:dyDescent="0.3">
      <c r="A2" s="1737" t="s">
        <v>1264</v>
      </c>
      <c r="B2" s="1738"/>
      <c r="C2" s="1738"/>
      <c r="D2" s="1739"/>
      <c r="E2" s="1739"/>
      <c r="F2" s="1740"/>
      <c r="G2" s="1739"/>
      <c r="H2" s="1739"/>
      <c r="I2" s="1739"/>
      <c r="J2" s="1740"/>
      <c r="K2" s="1739"/>
      <c r="L2" s="1739"/>
      <c r="M2" s="1739"/>
      <c r="N2" s="1739"/>
      <c r="O2" s="1741"/>
      <c r="P2" s="860" t="s">
        <v>1276</v>
      </c>
    </row>
    <row r="3" spans="1:19" x14ac:dyDescent="0.25">
      <c r="A3" s="859"/>
      <c r="B3" s="857"/>
      <c r="C3" s="857"/>
      <c r="D3" s="857"/>
      <c r="E3" s="857"/>
      <c r="F3" s="858"/>
      <c r="G3" s="857"/>
      <c r="H3" s="857"/>
      <c r="I3" s="857"/>
      <c r="J3" s="858"/>
      <c r="K3" s="857"/>
      <c r="L3" s="857"/>
      <c r="M3" s="857"/>
      <c r="N3" s="857"/>
      <c r="O3" s="859"/>
    </row>
    <row r="4" spans="1:19" x14ac:dyDescent="0.25">
      <c r="A4" s="859"/>
      <c r="B4" s="857"/>
      <c r="C4" s="857">
        <v>1</v>
      </c>
      <c r="D4" s="857">
        <v>2</v>
      </c>
      <c r="E4" s="857">
        <v>3</v>
      </c>
      <c r="F4" s="858">
        <v>4</v>
      </c>
      <c r="G4" s="857">
        <v>5</v>
      </c>
      <c r="H4" s="857">
        <v>6</v>
      </c>
      <c r="I4" s="857">
        <v>7</v>
      </c>
      <c r="J4" s="858">
        <v>8</v>
      </c>
      <c r="K4" s="857">
        <v>9</v>
      </c>
      <c r="L4" s="857">
        <v>10</v>
      </c>
      <c r="M4" s="857">
        <v>11</v>
      </c>
      <c r="N4" s="857">
        <v>12</v>
      </c>
      <c r="O4" s="859" t="s">
        <v>712</v>
      </c>
    </row>
    <row r="5" spans="1:19" x14ac:dyDescent="0.25">
      <c r="A5" s="859">
        <v>1111</v>
      </c>
      <c r="B5" s="857" t="s">
        <v>1265</v>
      </c>
      <c r="C5" s="858">
        <v>1591973.52</v>
      </c>
      <c r="D5" s="858">
        <v>1388172.89</v>
      </c>
      <c r="E5" s="858">
        <v>1204634.68</v>
      </c>
      <c r="F5" s="858">
        <v>888886.56</v>
      </c>
      <c r="G5" s="858">
        <v>1159538.94</v>
      </c>
      <c r="H5" s="858">
        <v>1465101.48</v>
      </c>
      <c r="I5" s="858">
        <v>1370316.36</v>
      </c>
      <c r="J5" s="858">
        <v>1403711.47</v>
      </c>
      <c r="K5" s="858">
        <v>1619208.44</v>
      </c>
      <c r="L5" s="858">
        <v>1397238.72</v>
      </c>
      <c r="M5" s="858">
        <v>1562251.76</v>
      </c>
      <c r="N5" s="858">
        <v>1880460.08</v>
      </c>
      <c r="O5" s="861">
        <f t="shared" ref="O5:O11" si="0">SUM(C5:N5)</f>
        <v>16931494.899999999</v>
      </c>
    </row>
    <row r="6" spans="1:19" x14ac:dyDescent="0.25">
      <c r="A6" s="859">
        <v>1112</v>
      </c>
      <c r="B6" s="857" t="s">
        <v>1265</v>
      </c>
      <c r="C6" s="858">
        <v>122982.94</v>
      </c>
      <c r="D6" s="858">
        <v>0</v>
      </c>
      <c r="E6" s="858">
        <v>0</v>
      </c>
      <c r="F6" s="858">
        <v>21124.75</v>
      </c>
      <c r="G6" s="858">
        <v>0</v>
      </c>
      <c r="H6" s="858">
        <v>60618.63</v>
      </c>
      <c r="I6" s="858">
        <v>170162.62</v>
      </c>
      <c r="J6" s="858">
        <v>104415.87</v>
      </c>
      <c r="K6" s="858">
        <v>530807.64</v>
      </c>
      <c r="L6" s="858">
        <v>100397.04</v>
      </c>
      <c r="M6" s="858">
        <v>85554.97</v>
      </c>
      <c r="N6" s="858">
        <v>988044.91</v>
      </c>
      <c r="O6" s="861">
        <f t="shared" si="0"/>
        <v>2184109.37</v>
      </c>
    </row>
    <row r="7" spans="1:19" ht="15.75" x14ac:dyDescent="0.25">
      <c r="A7" s="859">
        <v>1113</v>
      </c>
      <c r="B7" s="857" t="s">
        <v>1265</v>
      </c>
      <c r="C7" s="858">
        <v>0</v>
      </c>
      <c r="D7" s="862">
        <v>189531.42</v>
      </c>
      <c r="E7" s="858">
        <v>97195</v>
      </c>
      <c r="F7" s="858">
        <v>241947.47</v>
      </c>
      <c r="G7" s="858">
        <v>111299.71</v>
      </c>
      <c r="H7" s="858">
        <v>74476.289999999994</v>
      </c>
      <c r="I7" s="858">
        <v>0</v>
      </c>
      <c r="J7" s="858">
        <v>60882.59</v>
      </c>
      <c r="K7" s="858">
        <v>217585.85</v>
      </c>
      <c r="L7" s="858">
        <v>94901.95</v>
      </c>
      <c r="M7" s="858">
        <v>62044.31</v>
      </c>
      <c r="N7" s="858">
        <v>54914.79</v>
      </c>
      <c r="O7" s="861">
        <f t="shared" si="0"/>
        <v>1204779.3800000001</v>
      </c>
    </row>
    <row r="8" spans="1:19" x14ac:dyDescent="0.25">
      <c r="A8" s="859">
        <v>1121</v>
      </c>
      <c r="B8" s="857" t="s">
        <v>1266</v>
      </c>
      <c r="C8" s="858">
        <v>577223.49</v>
      </c>
      <c r="D8" s="858">
        <v>129111.67999999999</v>
      </c>
      <c r="E8" s="858">
        <v>3929344.62</v>
      </c>
      <c r="F8" s="858">
        <v>953034.83</v>
      </c>
      <c r="G8" s="858">
        <v>32479.77</v>
      </c>
      <c r="H8" s="858">
        <v>2981359.98</v>
      </c>
      <c r="I8" s="858">
        <v>3417029.22</v>
      </c>
      <c r="J8" s="858">
        <v>0</v>
      </c>
      <c r="K8" s="858">
        <v>2918198.5</v>
      </c>
      <c r="L8" s="858">
        <v>900921.37</v>
      </c>
      <c r="M8" s="858">
        <v>113518.63</v>
      </c>
      <c r="N8" s="858">
        <v>3138736.76</v>
      </c>
      <c r="O8" s="861">
        <f t="shared" si="0"/>
        <v>19090958.850000001</v>
      </c>
    </row>
    <row r="9" spans="1:19" x14ac:dyDescent="0.25">
      <c r="A9" s="859">
        <v>1211</v>
      </c>
      <c r="B9" s="857" t="s">
        <v>1267</v>
      </c>
      <c r="C9" s="858">
        <v>2675134.29</v>
      </c>
      <c r="D9" s="858">
        <v>3683518.98</v>
      </c>
      <c r="E9" s="858">
        <v>1180811.78</v>
      </c>
      <c r="F9" s="858">
        <v>2223444.0499999998</v>
      </c>
      <c r="G9" s="858">
        <v>3139389.11</v>
      </c>
      <c r="H9" s="858">
        <v>2218744.1</v>
      </c>
      <c r="I9" s="858">
        <v>2432168.4300000002</v>
      </c>
      <c r="J9" s="858">
        <v>3632832.3</v>
      </c>
      <c r="K9" s="858">
        <v>2323232.9300000002</v>
      </c>
      <c r="L9" s="858">
        <v>2785012.24</v>
      </c>
      <c r="M9" s="858">
        <v>3751724.71</v>
      </c>
      <c r="N9" s="858">
        <v>2825026.03</v>
      </c>
      <c r="O9" s="861">
        <f t="shared" si="0"/>
        <v>32871038.950000003</v>
      </c>
    </row>
    <row r="10" spans="1:19" x14ac:dyDescent="0.25">
      <c r="A10" s="859">
        <v>1511</v>
      </c>
      <c r="B10" s="857" t="s">
        <v>1268</v>
      </c>
      <c r="C10" s="858">
        <v>49662.720000000001</v>
      </c>
      <c r="D10" s="858">
        <v>4221.21</v>
      </c>
      <c r="E10" s="858">
        <v>1074.99</v>
      </c>
      <c r="F10" s="858">
        <v>44488.31</v>
      </c>
      <c r="G10" s="858">
        <v>2123.1</v>
      </c>
      <c r="H10" s="858">
        <v>4941035.25</v>
      </c>
      <c r="I10" s="858">
        <v>563771.05000000005</v>
      </c>
      <c r="J10" s="858">
        <v>69386.34</v>
      </c>
      <c r="K10" s="858">
        <v>35258.92</v>
      </c>
      <c r="L10" s="858">
        <v>33905.56</v>
      </c>
      <c r="M10" s="858">
        <v>5677.74</v>
      </c>
      <c r="N10" s="858">
        <v>1387678.5</v>
      </c>
      <c r="O10" s="861">
        <f t="shared" si="0"/>
        <v>7138283.6899999995</v>
      </c>
    </row>
    <row r="11" spans="1:19" s="526" customFormat="1" x14ac:dyDescent="0.25">
      <c r="A11" s="863"/>
      <c r="B11" s="864" t="s">
        <v>1269</v>
      </c>
      <c r="C11" s="695">
        <f t="shared" ref="C11:N11" si="1">SUM(C5:C10)</f>
        <v>5016976.96</v>
      </c>
      <c r="D11" s="695">
        <f t="shared" si="1"/>
        <v>5394556.1799999997</v>
      </c>
      <c r="E11" s="695">
        <f t="shared" si="1"/>
        <v>6413061.0700000003</v>
      </c>
      <c r="F11" s="695">
        <f t="shared" si="1"/>
        <v>4372925.97</v>
      </c>
      <c r="G11" s="695">
        <f t="shared" si="1"/>
        <v>4444830.629999999</v>
      </c>
      <c r="H11" s="695">
        <f t="shared" si="1"/>
        <v>11741335.73</v>
      </c>
      <c r="I11" s="695">
        <f t="shared" si="1"/>
        <v>7953447.6800000006</v>
      </c>
      <c r="J11" s="695">
        <f t="shared" si="1"/>
        <v>5271228.5699999994</v>
      </c>
      <c r="K11" s="695">
        <f t="shared" si="1"/>
        <v>7644292.2799999993</v>
      </c>
      <c r="L11" s="695">
        <f t="shared" si="1"/>
        <v>5312376.88</v>
      </c>
      <c r="M11" s="695">
        <f t="shared" si="1"/>
        <v>5580772.1200000001</v>
      </c>
      <c r="N11" s="695">
        <f t="shared" si="1"/>
        <v>10274861.07</v>
      </c>
      <c r="O11" s="865">
        <f t="shared" si="0"/>
        <v>79420665.140000015</v>
      </c>
      <c r="P11" s="450"/>
      <c r="Q11" s="726">
        <f>SUM(C11:G11)</f>
        <v>25642350.809999999</v>
      </c>
      <c r="S11" s="726"/>
    </row>
    <row r="14" spans="1:19" ht="18.75" x14ac:dyDescent="0.3">
      <c r="A14" s="1737" t="s">
        <v>1270</v>
      </c>
      <c r="B14" s="1738"/>
      <c r="C14" s="1738"/>
      <c r="D14" s="1739"/>
      <c r="E14" s="1739"/>
      <c r="F14" s="1740"/>
      <c r="G14" s="1739"/>
      <c r="H14" s="1739"/>
      <c r="I14" s="1739"/>
      <c r="J14" s="1740"/>
      <c r="K14" s="1739"/>
      <c r="L14" s="1739"/>
      <c r="M14" s="1739"/>
      <c r="N14" s="1739"/>
      <c r="O14" s="1741"/>
    </row>
    <row r="15" spans="1:19" x14ac:dyDescent="0.25">
      <c r="A15" s="859"/>
      <c r="B15" s="857"/>
      <c r="C15" s="857"/>
      <c r="D15" s="857"/>
      <c r="E15" s="857"/>
      <c r="F15" s="858"/>
      <c r="G15" s="857"/>
      <c r="H15" s="857"/>
      <c r="I15" s="857"/>
      <c r="J15" s="858"/>
      <c r="K15" s="857"/>
      <c r="L15" s="857"/>
      <c r="M15" s="857"/>
      <c r="N15" s="857"/>
      <c r="O15" s="859"/>
    </row>
    <row r="16" spans="1:19" x14ac:dyDescent="0.25">
      <c r="A16" s="859"/>
      <c r="B16" s="857"/>
      <c r="C16" s="857">
        <v>1</v>
      </c>
      <c r="D16" s="857">
        <v>2</v>
      </c>
      <c r="E16" s="857">
        <v>3</v>
      </c>
      <c r="F16" s="858">
        <v>4</v>
      </c>
      <c r="G16" s="857">
        <v>5</v>
      </c>
      <c r="H16" s="857">
        <v>6</v>
      </c>
      <c r="I16" s="857">
        <v>7</v>
      </c>
      <c r="J16" s="858">
        <v>8</v>
      </c>
      <c r="K16" s="857">
        <v>9</v>
      </c>
      <c r="L16" s="857">
        <v>10</v>
      </c>
      <c r="M16" s="857">
        <v>11</v>
      </c>
      <c r="N16" s="857">
        <v>12</v>
      </c>
      <c r="O16" s="859" t="s">
        <v>712</v>
      </c>
    </row>
    <row r="17" spans="1:19" x14ac:dyDescent="0.25">
      <c r="A17" s="859">
        <v>1111</v>
      </c>
      <c r="B17" s="857" t="s">
        <v>1265</v>
      </c>
      <c r="C17" s="858">
        <v>1595317.86</v>
      </c>
      <c r="D17" s="858">
        <v>1618140.2</v>
      </c>
      <c r="E17" s="858">
        <v>1308358.03</v>
      </c>
      <c r="F17" s="858">
        <v>1153036.8799999999</v>
      </c>
      <c r="G17" s="858">
        <v>1424911.3600000001</v>
      </c>
      <c r="H17" s="858">
        <v>1690711.15</v>
      </c>
      <c r="I17" s="858">
        <v>1642781.83</v>
      </c>
      <c r="J17" s="858">
        <v>1673546</v>
      </c>
      <c r="K17" s="858">
        <v>1677915</v>
      </c>
      <c r="L17" s="858">
        <v>1501382</v>
      </c>
      <c r="M17" s="858">
        <v>1783042</v>
      </c>
      <c r="N17" s="858">
        <v>1967463</v>
      </c>
      <c r="O17" s="861">
        <f t="shared" ref="O17:O23" si="2">SUM(C17:N17)</f>
        <v>19036605.310000002</v>
      </c>
    </row>
    <row r="18" spans="1:19" x14ac:dyDescent="0.25">
      <c r="A18" s="859">
        <v>1112</v>
      </c>
      <c r="B18" s="857" t="s">
        <v>1265</v>
      </c>
      <c r="C18" s="858">
        <v>49333.16</v>
      </c>
      <c r="D18" s="858">
        <v>20069.939999999999</v>
      </c>
      <c r="E18" s="858">
        <v>49786.54</v>
      </c>
      <c r="F18" s="858">
        <v>0</v>
      </c>
      <c r="G18" s="858">
        <v>0</v>
      </c>
      <c r="H18" s="858">
        <v>0</v>
      </c>
      <c r="I18" s="858">
        <v>84463.33</v>
      </c>
      <c r="J18" s="858">
        <v>0</v>
      </c>
      <c r="K18" s="858">
        <v>73533</v>
      </c>
      <c r="L18" s="858">
        <v>33631</v>
      </c>
      <c r="M18" s="858">
        <v>23891</v>
      </c>
      <c r="N18" s="858">
        <v>166831</v>
      </c>
      <c r="O18" s="861">
        <f t="shared" si="2"/>
        <v>501538.97000000003</v>
      </c>
    </row>
    <row r="19" spans="1:19" x14ac:dyDescent="0.25">
      <c r="A19" s="859">
        <v>1113</v>
      </c>
      <c r="B19" s="857" t="s">
        <v>1265</v>
      </c>
      <c r="C19" s="858">
        <v>131768.54999999999</v>
      </c>
      <c r="D19" s="858">
        <v>169263.99</v>
      </c>
      <c r="E19" s="858">
        <v>90505.47</v>
      </c>
      <c r="F19" s="858">
        <v>104757.35</v>
      </c>
      <c r="G19" s="858">
        <v>120861.15</v>
      </c>
      <c r="H19" s="858">
        <v>150228.47</v>
      </c>
      <c r="I19" s="858">
        <v>169161.35</v>
      </c>
      <c r="J19" s="858">
        <v>173670</v>
      </c>
      <c r="K19" s="858">
        <v>196330</v>
      </c>
      <c r="L19" s="858">
        <v>155041</v>
      </c>
      <c r="M19" s="858">
        <v>143777</v>
      </c>
      <c r="N19" s="858">
        <v>127811</v>
      </c>
      <c r="O19" s="861">
        <f t="shared" si="2"/>
        <v>1733175.33</v>
      </c>
    </row>
    <row r="20" spans="1:19" x14ac:dyDescent="0.25">
      <c r="A20" s="859">
        <v>1121</v>
      </c>
      <c r="B20" s="857" t="s">
        <v>1266</v>
      </c>
      <c r="C20" s="858">
        <v>449044.62</v>
      </c>
      <c r="D20" s="858">
        <v>160582.79999999999</v>
      </c>
      <c r="E20" s="858">
        <v>3967985.88</v>
      </c>
      <c r="F20" s="858">
        <v>1007607.03</v>
      </c>
      <c r="G20" s="858">
        <v>10926.26</v>
      </c>
      <c r="H20" s="858">
        <v>3336568.47</v>
      </c>
      <c r="I20" s="858">
        <v>3381127.06</v>
      </c>
      <c r="J20" s="858">
        <v>0</v>
      </c>
      <c r="K20" s="858">
        <v>2605416</v>
      </c>
      <c r="L20" s="858">
        <v>926622</v>
      </c>
      <c r="M20" s="858">
        <v>191178</v>
      </c>
      <c r="N20" s="858">
        <v>3294143</v>
      </c>
      <c r="O20" s="861">
        <f t="shared" si="2"/>
        <v>19331201.120000001</v>
      </c>
    </row>
    <row r="21" spans="1:19" x14ac:dyDescent="0.25">
      <c r="A21" s="859">
        <v>1211</v>
      </c>
      <c r="B21" s="857" t="s">
        <v>1267</v>
      </c>
      <c r="C21" s="858">
        <v>3211312.81</v>
      </c>
      <c r="D21" s="858">
        <v>4054190.36</v>
      </c>
      <c r="E21" s="858">
        <v>1771359.41</v>
      </c>
      <c r="F21" s="858">
        <v>2169593.98</v>
      </c>
      <c r="G21" s="858">
        <v>4094007.18</v>
      </c>
      <c r="H21" s="858">
        <v>2396601.79</v>
      </c>
      <c r="I21" s="858">
        <v>3164409.58</v>
      </c>
      <c r="J21" s="858">
        <v>3976303</v>
      </c>
      <c r="K21" s="858">
        <v>2106576</v>
      </c>
      <c r="L21" s="858">
        <v>3142075</v>
      </c>
      <c r="M21" s="858">
        <v>4043377</v>
      </c>
      <c r="N21" s="858">
        <v>3285197</v>
      </c>
      <c r="O21" s="861">
        <f t="shared" si="2"/>
        <v>37415003.109999999</v>
      </c>
    </row>
    <row r="22" spans="1:19" x14ac:dyDescent="0.25">
      <c r="A22" s="859">
        <v>1511</v>
      </c>
      <c r="B22" s="857" t="s">
        <v>1268</v>
      </c>
      <c r="C22" s="858">
        <v>54410.9</v>
      </c>
      <c r="D22" s="858">
        <v>5407.04</v>
      </c>
      <c r="E22" s="858">
        <v>2640.7</v>
      </c>
      <c r="F22" s="858">
        <v>9896</v>
      </c>
      <c r="G22" s="858">
        <v>17053.3</v>
      </c>
      <c r="H22" s="858">
        <v>5164884.5599999996</v>
      </c>
      <c r="I22" s="858">
        <v>267076.09999999998</v>
      </c>
      <c r="J22" s="858">
        <v>144951</v>
      </c>
      <c r="K22" s="866">
        <v>0</v>
      </c>
      <c r="L22" s="866">
        <v>0</v>
      </c>
      <c r="M22" s="866">
        <v>0</v>
      </c>
      <c r="N22" s="858">
        <v>1025913</v>
      </c>
      <c r="O22" s="861">
        <f t="shared" si="2"/>
        <v>6692232.5999999996</v>
      </c>
    </row>
    <row r="23" spans="1:19" s="526" customFormat="1" x14ac:dyDescent="0.25">
      <c r="A23" s="863"/>
      <c r="B23" s="864" t="s">
        <v>1269</v>
      </c>
      <c r="C23" s="695">
        <f t="shared" ref="C23:I23" si="3">SUM(C17:C22)</f>
        <v>5491187.9000000004</v>
      </c>
      <c r="D23" s="695">
        <f t="shared" si="3"/>
        <v>6027654.3300000001</v>
      </c>
      <c r="E23" s="695">
        <f t="shared" si="3"/>
        <v>7190636.0300000003</v>
      </c>
      <c r="F23" s="695">
        <f t="shared" si="3"/>
        <v>4444891.24</v>
      </c>
      <c r="G23" s="695">
        <f t="shared" si="3"/>
        <v>5667759.25</v>
      </c>
      <c r="H23" s="695">
        <f t="shared" si="3"/>
        <v>12738994.439999999</v>
      </c>
      <c r="I23" s="695">
        <f t="shared" si="3"/>
        <v>8709019.25</v>
      </c>
      <c r="J23" s="695">
        <f>SUM(J17:J22)</f>
        <v>5968470</v>
      </c>
      <c r="K23" s="695">
        <f>SUM(K17:K22)</f>
        <v>6659770</v>
      </c>
      <c r="L23" s="695">
        <f>SUM(L17:L22)</f>
        <v>5758751</v>
      </c>
      <c r="M23" s="695">
        <f>SUM(M17:M22)</f>
        <v>6185265</v>
      </c>
      <c r="N23" s="695">
        <f>SUM(N17:N22)</f>
        <v>9867358</v>
      </c>
      <c r="O23" s="865">
        <f t="shared" si="2"/>
        <v>84709756.439999998</v>
      </c>
      <c r="P23" s="450">
        <f>+Q23/Q11*O11</f>
        <v>89269219.231765032</v>
      </c>
      <c r="Q23" s="726">
        <f>SUM(C23:G23)</f>
        <v>28822128.75</v>
      </c>
      <c r="S23" s="726"/>
    </row>
    <row r="24" spans="1:19" x14ac:dyDescent="0.25">
      <c r="O24" s="860"/>
    </row>
    <row r="26" spans="1:19" ht="18.75" x14ac:dyDescent="0.3">
      <c r="A26" s="1737" t="s">
        <v>1271</v>
      </c>
      <c r="B26" s="1738"/>
      <c r="C26" s="1738"/>
      <c r="D26" s="1739"/>
      <c r="E26" s="1739"/>
      <c r="F26" s="1740"/>
      <c r="G26" s="1739"/>
      <c r="H26" s="1739"/>
      <c r="I26" s="1739"/>
      <c r="J26" s="1740"/>
      <c r="K26" s="1739"/>
      <c r="L26" s="1739"/>
      <c r="M26" s="1739"/>
      <c r="N26" s="1739"/>
      <c r="O26" s="1741"/>
    </row>
    <row r="27" spans="1:19" ht="15.75" x14ac:dyDescent="0.3">
      <c r="A27" s="859"/>
      <c r="B27" s="857"/>
      <c r="C27" s="857"/>
      <c r="D27" s="857"/>
      <c r="E27" s="857"/>
      <c r="F27" s="858"/>
      <c r="G27" s="857"/>
      <c r="H27" s="857"/>
      <c r="I27" s="857"/>
      <c r="J27" s="858"/>
      <c r="K27" s="857"/>
      <c r="L27" s="857"/>
      <c r="M27" s="857"/>
      <c r="N27" s="857"/>
      <c r="O27" s="867" t="s">
        <v>1272</v>
      </c>
    </row>
    <row r="28" spans="1:19" x14ac:dyDescent="0.25">
      <c r="A28" s="859"/>
      <c r="B28" s="857"/>
      <c r="C28" s="857">
        <v>1</v>
      </c>
      <c r="D28" s="857">
        <v>2</v>
      </c>
      <c r="E28" s="857">
        <v>3</v>
      </c>
      <c r="F28" s="858">
        <v>4</v>
      </c>
      <c r="G28" s="857">
        <v>5</v>
      </c>
      <c r="H28" s="857">
        <v>6</v>
      </c>
      <c r="I28" s="857">
        <v>7</v>
      </c>
      <c r="J28" s="858">
        <v>8</v>
      </c>
      <c r="K28" s="857">
        <v>9</v>
      </c>
      <c r="L28" s="857">
        <v>10</v>
      </c>
      <c r="M28" s="857">
        <v>11</v>
      </c>
      <c r="N28" s="857">
        <v>12</v>
      </c>
      <c r="O28" s="859" t="s">
        <v>712</v>
      </c>
    </row>
    <row r="29" spans="1:19" x14ac:dyDescent="0.25">
      <c r="A29" s="859">
        <v>1111</v>
      </c>
      <c r="B29" s="857" t="s">
        <v>1265</v>
      </c>
      <c r="C29" s="858">
        <v>1885091</v>
      </c>
      <c r="D29" s="858">
        <v>1864557</v>
      </c>
      <c r="E29" s="858">
        <v>1542797</v>
      </c>
      <c r="F29" s="858">
        <v>1300587</v>
      </c>
      <c r="G29" s="858">
        <v>1721366</v>
      </c>
      <c r="H29" s="858">
        <v>1988236</v>
      </c>
      <c r="I29" s="858">
        <v>1843543</v>
      </c>
      <c r="J29" s="858">
        <v>2029526</v>
      </c>
      <c r="K29" s="858">
        <v>1999005</v>
      </c>
      <c r="L29" s="858">
        <v>1901175</v>
      </c>
      <c r="M29" s="858">
        <v>1966740</v>
      </c>
      <c r="N29" s="858">
        <v>2207207.0299999998</v>
      </c>
      <c r="O29" s="861">
        <f t="shared" ref="O29:O35" si="4">SUM(C29:N29)</f>
        <v>22249830.030000001</v>
      </c>
      <c r="Q29" s="726">
        <f>SUM(C29:N29)</f>
        <v>22249830.030000001</v>
      </c>
      <c r="S29" s="527">
        <f>SUM(C29:N29)</f>
        <v>22249830.030000001</v>
      </c>
    </row>
    <row r="30" spans="1:19" x14ac:dyDescent="0.25">
      <c r="A30" s="859">
        <v>1112</v>
      </c>
      <c r="B30" s="857" t="s">
        <v>1265</v>
      </c>
      <c r="C30" s="858">
        <v>43685</v>
      </c>
      <c r="D30" s="858">
        <v>22690</v>
      </c>
      <c r="E30" s="858">
        <v>65386</v>
      </c>
      <c r="F30" s="858">
        <v>0</v>
      </c>
      <c r="G30" s="858">
        <v>0</v>
      </c>
      <c r="H30" s="858">
        <v>0</v>
      </c>
      <c r="I30" s="858">
        <v>40310</v>
      </c>
      <c r="J30" s="858">
        <v>0</v>
      </c>
      <c r="K30" s="858">
        <v>81979</v>
      </c>
      <c r="L30" s="858">
        <v>36683</v>
      </c>
      <c r="M30" s="858">
        <v>33441</v>
      </c>
      <c r="N30" s="858">
        <v>172150</v>
      </c>
      <c r="O30" s="861">
        <f t="shared" si="4"/>
        <v>496324</v>
      </c>
      <c r="Q30" s="726">
        <f t="shared" ref="Q30:Q34" si="5">SUM(C30:N30)</f>
        <v>496324</v>
      </c>
      <c r="S30" s="527">
        <f t="shared" ref="S30:S34" si="6">SUM(C30:N30)</f>
        <v>496324</v>
      </c>
    </row>
    <row r="31" spans="1:19" x14ac:dyDescent="0.25">
      <c r="A31" s="859">
        <v>1113</v>
      </c>
      <c r="B31" s="857" t="s">
        <v>1265</v>
      </c>
      <c r="C31" s="858">
        <v>123700</v>
      </c>
      <c r="D31" s="858">
        <v>184881</v>
      </c>
      <c r="E31" s="858">
        <v>103538</v>
      </c>
      <c r="F31" s="858">
        <v>123308</v>
      </c>
      <c r="G31" s="858">
        <v>146049</v>
      </c>
      <c r="H31" s="858">
        <v>170979</v>
      </c>
      <c r="I31" s="858">
        <v>211495</v>
      </c>
      <c r="J31" s="858">
        <v>217869</v>
      </c>
      <c r="K31" s="858">
        <v>218784</v>
      </c>
      <c r="L31" s="858">
        <v>196582</v>
      </c>
      <c r="M31" s="858">
        <v>167068</v>
      </c>
      <c r="N31" s="858">
        <v>149223</v>
      </c>
      <c r="O31" s="861">
        <f t="shared" si="4"/>
        <v>2013476</v>
      </c>
      <c r="Q31" s="726">
        <f t="shared" si="5"/>
        <v>2013476</v>
      </c>
      <c r="S31" s="527">
        <f t="shared" si="6"/>
        <v>2013476</v>
      </c>
    </row>
    <row r="32" spans="1:19" x14ac:dyDescent="0.25">
      <c r="A32" s="859">
        <v>1121</v>
      </c>
      <c r="B32" s="857" t="s">
        <v>1266</v>
      </c>
      <c r="C32" s="858">
        <v>497847</v>
      </c>
      <c r="D32" s="858">
        <v>101835</v>
      </c>
      <c r="E32" s="858">
        <v>4115502</v>
      </c>
      <c r="F32" s="858">
        <v>1084435</v>
      </c>
      <c r="G32" s="858">
        <v>8844</v>
      </c>
      <c r="H32" s="858">
        <v>3576108</v>
      </c>
      <c r="I32" s="858">
        <v>3544176</v>
      </c>
      <c r="J32" s="858">
        <v>0</v>
      </c>
      <c r="K32" s="858">
        <v>1687374</v>
      </c>
      <c r="L32" s="858">
        <v>1783135</v>
      </c>
      <c r="M32" s="858">
        <v>134977</v>
      </c>
      <c r="N32" s="858">
        <v>2740712</v>
      </c>
      <c r="O32" s="861">
        <f t="shared" si="4"/>
        <v>19274945</v>
      </c>
      <c r="Q32" s="726">
        <f t="shared" si="5"/>
        <v>19274945</v>
      </c>
      <c r="S32" s="527">
        <f t="shared" si="6"/>
        <v>19274945</v>
      </c>
    </row>
    <row r="33" spans="1:20" x14ac:dyDescent="0.25">
      <c r="A33" s="859">
        <v>1211</v>
      </c>
      <c r="B33" s="857" t="s">
        <v>1267</v>
      </c>
      <c r="C33" s="858">
        <v>3530714</v>
      </c>
      <c r="D33" s="858">
        <v>5169783</v>
      </c>
      <c r="E33" s="858">
        <v>2459557</v>
      </c>
      <c r="F33" s="858">
        <v>2839921</v>
      </c>
      <c r="G33" s="858">
        <v>4322500</v>
      </c>
      <c r="H33" s="858">
        <v>3469178</v>
      </c>
      <c r="I33" s="858">
        <v>3661077</v>
      </c>
      <c r="J33" s="858">
        <v>4748419</v>
      </c>
      <c r="K33" s="858">
        <v>3053498</v>
      </c>
      <c r="L33" s="858">
        <v>3738236</v>
      </c>
      <c r="M33" s="858">
        <v>4988891</v>
      </c>
      <c r="N33" s="858">
        <v>4240201</v>
      </c>
      <c r="O33" s="861">
        <f t="shared" si="4"/>
        <v>46221975</v>
      </c>
      <c r="Q33" s="726">
        <f t="shared" si="5"/>
        <v>46221975</v>
      </c>
      <c r="S33" s="527">
        <f t="shared" si="6"/>
        <v>46221975</v>
      </c>
    </row>
    <row r="34" spans="1:20" x14ac:dyDescent="0.25">
      <c r="A34" s="859">
        <v>1511</v>
      </c>
      <c r="B34" s="857" t="s">
        <v>1268</v>
      </c>
      <c r="C34" s="858">
        <v>66670</v>
      </c>
      <c r="D34" s="858">
        <v>1344</v>
      </c>
      <c r="E34" s="858">
        <v>67780</v>
      </c>
      <c r="F34" s="858">
        <v>65693</v>
      </c>
      <c r="G34" s="858">
        <v>11723</v>
      </c>
      <c r="H34" s="858">
        <v>5247506</v>
      </c>
      <c r="I34" s="858">
        <v>374695</v>
      </c>
      <c r="J34" s="858">
        <v>141588</v>
      </c>
      <c r="K34" s="858">
        <v>183478</v>
      </c>
      <c r="L34" s="858">
        <v>45619</v>
      </c>
      <c r="M34" s="858">
        <v>39131</v>
      </c>
      <c r="N34" s="858">
        <v>1323329</v>
      </c>
      <c r="O34" s="861">
        <f t="shared" si="4"/>
        <v>7568556</v>
      </c>
      <c r="Q34" s="726">
        <f t="shared" si="5"/>
        <v>7568556</v>
      </c>
      <c r="S34" s="527">
        <f t="shared" si="6"/>
        <v>7568556</v>
      </c>
    </row>
    <row r="35" spans="1:20" s="526" customFormat="1" x14ac:dyDescent="0.25">
      <c r="A35" s="863"/>
      <c r="B35" s="864" t="s">
        <v>1269</v>
      </c>
      <c r="C35" s="695">
        <f t="shared" ref="C35:L35" si="7">SUM(C29:C34)</f>
        <v>6147707</v>
      </c>
      <c r="D35" s="695">
        <f t="shared" si="7"/>
        <v>7345090</v>
      </c>
      <c r="E35" s="695">
        <f t="shared" si="7"/>
        <v>8354560</v>
      </c>
      <c r="F35" s="695">
        <f t="shared" si="7"/>
        <v>5413944</v>
      </c>
      <c r="G35" s="695">
        <f t="shared" si="7"/>
        <v>6210482</v>
      </c>
      <c r="H35" s="695">
        <f t="shared" si="7"/>
        <v>14452007</v>
      </c>
      <c r="I35" s="695">
        <f t="shared" si="7"/>
        <v>9675296</v>
      </c>
      <c r="J35" s="695">
        <f t="shared" si="7"/>
        <v>7137402</v>
      </c>
      <c r="K35" s="695">
        <f t="shared" si="7"/>
        <v>7224118</v>
      </c>
      <c r="L35" s="695">
        <f t="shared" si="7"/>
        <v>7701430</v>
      </c>
      <c r="M35" s="695">
        <f>SUM(M29:M34)</f>
        <v>7330248</v>
      </c>
      <c r="N35" s="695">
        <f>SUM(N29:N34)</f>
        <v>10832822.029999999</v>
      </c>
      <c r="O35" s="865">
        <f t="shared" si="4"/>
        <v>97825106.030000001</v>
      </c>
      <c r="P35" s="450">
        <f>+Q35/Q23*O23</f>
        <v>287513145.79838157</v>
      </c>
      <c r="Q35" s="726">
        <f>SUM(C35:N35)</f>
        <v>97825106.030000001</v>
      </c>
      <c r="R35" s="868" t="s">
        <v>1274</v>
      </c>
      <c r="S35" s="726">
        <f>SUM(S29:S34)</f>
        <v>97825106.030000001</v>
      </c>
    </row>
    <row r="36" spans="1:20" x14ac:dyDescent="0.25">
      <c r="O36" s="860"/>
    </row>
    <row r="38" spans="1:20" ht="18.75" x14ac:dyDescent="0.3">
      <c r="A38" s="1737" t="s">
        <v>1273</v>
      </c>
      <c r="B38" s="1738"/>
      <c r="C38" s="1738"/>
      <c r="D38" s="1739"/>
      <c r="E38" s="1739"/>
      <c r="F38" s="1740"/>
      <c r="G38" s="1739"/>
      <c r="H38" s="1739"/>
      <c r="I38" s="1739"/>
      <c r="J38" s="1740"/>
      <c r="K38" s="1739"/>
      <c r="L38" s="1739"/>
      <c r="M38" s="1739"/>
      <c r="N38" s="1739"/>
      <c r="O38" s="1741"/>
    </row>
    <row r="39" spans="1:20" ht="15.75" x14ac:dyDescent="0.3">
      <c r="A39" s="859"/>
      <c r="B39" s="857"/>
      <c r="C39" s="857"/>
      <c r="D39" s="857"/>
      <c r="E39" s="857"/>
      <c r="F39" s="858"/>
      <c r="G39" s="857"/>
      <c r="H39" s="857"/>
      <c r="I39" s="857"/>
      <c r="J39" s="858"/>
      <c r="K39" s="857"/>
      <c r="L39" s="857"/>
      <c r="M39" s="857"/>
      <c r="N39" s="857"/>
      <c r="O39" s="871" t="s">
        <v>1319</v>
      </c>
    </row>
    <row r="40" spans="1:20" x14ac:dyDescent="0.25">
      <c r="A40" s="859"/>
      <c r="B40" s="857"/>
      <c r="C40" s="857">
        <v>1</v>
      </c>
      <c r="D40" s="857">
        <v>2</v>
      </c>
      <c r="E40" s="857">
        <v>3</v>
      </c>
      <c r="F40" s="858">
        <v>4</v>
      </c>
      <c r="G40" s="857">
        <v>5</v>
      </c>
      <c r="H40" s="857">
        <v>6</v>
      </c>
      <c r="I40" s="857">
        <v>7</v>
      </c>
      <c r="J40" s="858">
        <v>8</v>
      </c>
      <c r="K40" s="857">
        <v>9</v>
      </c>
      <c r="L40" s="857">
        <v>10</v>
      </c>
      <c r="M40" s="857">
        <v>11</v>
      </c>
      <c r="N40" s="857">
        <v>12</v>
      </c>
      <c r="O40" s="870" t="s">
        <v>712</v>
      </c>
    </row>
    <row r="41" spans="1:20" s="517" customFormat="1" x14ac:dyDescent="0.25">
      <c r="A41" s="2161">
        <v>1111</v>
      </c>
      <c r="B41" s="2162" t="s">
        <v>1265</v>
      </c>
      <c r="C41" s="869">
        <v>2221592</v>
      </c>
      <c r="D41" s="869">
        <v>2090648</v>
      </c>
      <c r="E41" s="869">
        <v>1765746</v>
      </c>
      <c r="F41" s="869">
        <v>1608710</v>
      </c>
      <c r="G41" s="869">
        <f>672642+1294076</f>
        <v>1966718</v>
      </c>
      <c r="H41" s="869">
        <v>2171969</v>
      </c>
      <c r="I41" s="869">
        <v>2241119</v>
      </c>
      <c r="J41" s="869">
        <v>2203671</v>
      </c>
      <c r="K41" s="869">
        <v>2142940</v>
      </c>
      <c r="L41" s="869">
        <v>2126690</v>
      </c>
      <c r="M41" s="869">
        <v>2197066</v>
      </c>
      <c r="N41" s="869">
        <v>2520796</v>
      </c>
      <c r="O41" s="2163">
        <f t="shared" ref="O41:O46" si="8">SUM(C41:N41)</f>
        <v>25257665</v>
      </c>
      <c r="P41" s="676"/>
      <c r="Q41" s="2164">
        <f t="shared" ref="Q41:Q46" si="9">+O41/S29*O29</f>
        <v>25257665</v>
      </c>
      <c r="S41" s="2164">
        <f>+O41/12*12</f>
        <v>25257665</v>
      </c>
    </row>
    <row r="42" spans="1:20" s="517" customFormat="1" x14ac:dyDescent="0.25">
      <c r="A42" s="2161">
        <v>1112</v>
      </c>
      <c r="B42" s="2162" t="s">
        <v>1265</v>
      </c>
      <c r="C42" s="869">
        <v>59178</v>
      </c>
      <c r="D42" s="869">
        <v>31741</v>
      </c>
      <c r="E42" s="869">
        <v>68423</v>
      </c>
      <c r="F42" s="869">
        <v>0</v>
      </c>
      <c r="G42" s="869">
        <v>0</v>
      </c>
      <c r="H42" s="869">
        <v>0</v>
      </c>
      <c r="I42" s="869">
        <v>134425</v>
      </c>
      <c r="J42" s="869">
        <v>0</v>
      </c>
      <c r="K42" s="869">
        <v>91581</v>
      </c>
      <c r="L42" s="869">
        <v>61781</v>
      </c>
      <c r="M42" s="869">
        <v>27478</v>
      </c>
      <c r="N42" s="869">
        <v>242174</v>
      </c>
      <c r="O42" s="2163">
        <f t="shared" si="8"/>
        <v>716781</v>
      </c>
      <c r="P42" s="676"/>
      <c r="Q42" s="2164">
        <f t="shared" si="9"/>
        <v>716781</v>
      </c>
      <c r="S42" s="2164">
        <f t="shared" ref="S42:S46" si="10">+O42/12*12</f>
        <v>716781</v>
      </c>
    </row>
    <row r="43" spans="1:20" s="517" customFormat="1" x14ac:dyDescent="0.25">
      <c r="A43" s="2161">
        <v>1113</v>
      </c>
      <c r="B43" s="2162" t="s">
        <v>1265</v>
      </c>
      <c r="C43" s="869">
        <v>169413</v>
      </c>
      <c r="D43" s="869">
        <v>194915</v>
      </c>
      <c r="E43" s="869">
        <v>120912</v>
      </c>
      <c r="F43" s="869">
        <v>142248</v>
      </c>
      <c r="G43" s="869">
        <v>164618</v>
      </c>
      <c r="H43" s="869">
        <v>194534</v>
      </c>
      <c r="I43" s="869">
        <v>245870</v>
      </c>
      <c r="J43" s="869">
        <v>228899</v>
      </c>
      <c r="K43" s="869">
        <v>256677</v>
      </c>
      <c r="L43" s="869">
        <v>220176</v>
      </c>
      <c r="M43" s="869">
        <v>190892</v>
      </c>
      <c r="N43" s="869">
        <v>176514</v>
      </c>
      <c r="O43" s="2163">
        <f t="shared" si="8"/>
        <v>2305668</v>
      </c>
      <c r="P43" s="676"/>
      <c r="Q43" s="2164">
        <f t="shared" si="9"/>
        <v>2305668</v>
      </c>
      <c r="S43" s="2164">
        <f t="shared" si="10"/>
        <v>2305668</v>
      </c>
    </row>
    <row r="44" spans="1:20" s="517" customFormat="1" x14ac:dyDescent="0.25">
      <c r="A44" s="2161">
        <v>1121</v>
      </c>
      <c r="B44" s="2162" t="s">
        <v>1266</v>
      </c>
      <c r="C44" s="869">
        <v>1317681</v>
      </c>
      <c r="D44" s="869">
        <v>124783</v>
      </c>
      <c r="E44" s="869">
        <v>5529969</v>
      </c>
      <c r="F44" s="869">
        <v>1159811</v>
      </c>
      <c r="G44" s="869">
        <v>83404</v>
      </c>
      <c r="H44" s="869">
        <v>3001242</v>
      </c>
      <c r="I44" s="869">
        <v>4406282</v>
      </c>
      <c r="J44" s="869">
        <v>0</v>
      </c>
      <c r="K44" s="869">
        <v>2261737</v>
      </c>
      <c r="L44" s="869">
        <v>1830916</v>
      </c>
      <c r="M44" s="869">
        <v>75894</v>
      </c>
      <c r="N44" s="869">
        <v>3652548</v>
      </c>
      <c r="O44" s="2163">
        <f t="shared" si="8"/>
        <v>23444267</v>
      </c>
      <c r="P44" s="676"/>
      <c r="Q44" s="2164">
        <f t="shared" si="9"/>
        <v>23444267</v>
      </c>
      <c r="S44" s="2164">
        <f t="shared" si="10"/>
        <v>23444267</v>
      </c>
    </row>
    <row r="45" spans="1:20" s="517" customFormat="1" x14ac:dyDescent="0.25">
      <c r="A45" s="2161">
        <v>1211</v>
      </c>
      <c r="B45" s="2162" t="s">
        <v>1267</v>
      </c>
      <c r="C45" s="869">
        <v>4109246</v>
      </c>
      <c r="D45" s="869">
        <v>4855494</v>
      </c>
      <c r="E45" s="869">
        <v>2236449</v>
      </c>
      <c r="F45" s="869">
        <v>2964576</v>
      </c>
      <c r="G45" s="869">
        <v>4826267</v>
      </c>
      <c r="H45" s="869">
        <v>3523009</v>
      </c>
      <c r="I45" s="869">
        <v>3854253</v>
      </c>
      <c r="J45" s="869">
        <v>4823254</v>
      </c>
      <c r="K45" s="869">
        <v>3794778</v>
      </c>
      <c r="L45" s="869">
        <v>3603666</v>
      </c>
      <c r="M45" s="869">
        <v>5375294</v>
      </c>
      <c r="N45" s="869">
        <v>4355223</v>
      </c>
      <c r="O45" s="2163">
        <f t="shared" si="8"/>
        <v>48321509</v>
      </c>
      <c r="P45" s="2165"/>
      <c r="Q45" s="2164">
        <f t="shared" si="9"/>
        <v>48321508.999999993</v>
      </c>
      <c r="S45" s="2164">
        <f t="shared" si="10"/>
        <v>48321509</v>
      </c>
    </row>
    <row r="46" spans="1:20" x14ac:dyDescent="0.25">
      <c r="A46" s="859">
        <v>1511</v>
      </c>
      <c r="B46" s="857" t="s">
        <v>1268</v>
      </c>
      <c r="C46" s="858">
        <v>107981</v>
      </c>
      <c r="D46" s="858">
        <v>3820</v>
      </c>
      <c r="E46" s="858">
        <v>1291</v>
      </c>
      <c r="F46" s="858">
        <v>15458</v>
      </c>
      <c r="G46" s="858">
        <v>400309</v>
      </c>
      <c r="H46" s="858">
        <v>5061179</v>
      </c>
      <c r="I46" s="858">
        <v>295537</v>
      </c>
      <c r="J46" s="858">
        <v>191474</v>
      </c>
      <c r="K46" s="858">
        <v>75455</v>
      </c>
      <c r="L46" s="858">
        <v>207901</v>
      </c>
      <c r="M46" s="858">
        <v>865</v>
      </c>
      <c r="N46" s="858">
        <v>1167255</v>
      </c>
      <c r="O46" s="861">
        <f t="shared" si="8"/>
        <v>7528525</v>
      </c>
      <c r="Q46" s="620">
        <f t="shared" si="9"/>
        <v>7528525</v>
      </c>
      <c r="S46" s="527">
        <f t="shared" si="10"/>
        <v>7528525</v>
      </c>
    </row>
    <row r="47" spans="1:20" s="526" customFormat="1" x14ac:dyDescent="0.25">
      <c r="A47" s="863"/>
      <c r="B47" s="864" t="s">
        <v>1269</v>
      </c>
      <c r="C47" s="695">
        <f>SUM(C41:C46)</f>
        <v>7985091</v>
      </c>
      <c r="D47" s="695">
        <f>SUM(D41:D46)</f>
        <v>7301401</v>
      </c>
      <c r="E47" s="695">
        <f>SUM(E41:E46)</f>
        <v>9722790</v>
      </c>
      <c r="F47" s="695">
        <f>SUM(F41:F46)</f>
        <v>5890803</v>
      </c>
      <c r="G47" s="695">
        <f>SUM(G41:G46)</f>
        <v>7441316</v>
      </c>
      <c r="H47" s="695">
        <f t="shared" ref="H47:N47" si="11">SUM(H41:H46)</f>
        <v>13951933</v>
      </c>
      <c r="I47" s="695">
        <f t="shared" si="11"/>
        <v>11177486</v>
      </c>
      <c r="J47" s="695">
        <f t="shared" si="11"/>
        <v>7447298</v>
      </c>
      <c r="K47" s="695">
        <f t="shared" si="11"/>
        <v>8623168</v>
      </c>
      <c r="L47" s="695">
        <f t="shared" si="11"/>
        <v>8051130</v>
      </c>
      <c r="M47" s="695">
        <f t="shared" si="11"/>
        <v>7867489</v>
      </c>
      <c r="N47" s="695">
        <f t="shared" si="11"/>
        <v>12114510</v>
      </c>
      <c r="O47" s="865">
        <f>SUM(O41:O46)</f>
        <v>107574415</v>
      </c>
      <c r="P47" s="450">
        <f>+O47/Q35*O35</f>
        <v>107574415</v>
      </c>
      <c r="Q47" s="868">
        <f>SUM(Q41:Q46)</f>
        <v>107574415</v>
      </c>
      <c r="R47" s="868" t="s">
        <v>1277</v>
      </c>
      <c r="S47" s="726">
        <f>SUM(S41:S46)</f>
        <v>107574415</v>
      </c>
      <c r="T47" s="726"/>
    </row>
    <row r="48" spans="1:20" x14ac:dyDescent="0.25">
      <c r="C48" s="527"/>
      <c r="D48" s="527"/>
      <c r="E48" s="527"/>
      <c r="G48" s="527"/>
      <c r="H48" s="527"/>
      <c r="I48" s="527"/>
      <c r="K48" s="527"/>
      <c r="O48" s="860"/>
    </row>
    <row r="50" spans="1:20" ht="18.75" x14ac:dyDescent="0.3">
      <c r="A50" s="1737" t="s">
        <v>1290</v>
      </c>
      <c r="B50" s="1738"/>
      <c r="C50" s="1738"/>
      <c r="D50" s="1739"/>
      <c r="E50" s="1739"/>
      <c r="F50" s="1740"/>
      <c r="G50" s="1739"/>
      <c r="H50" s="1739"/>
      <c r="I50" s="1739"/>
      <c r="J50" s="1740"/>
      <c r="K50" s="1739"/>
      <c r="L50" s="1739"/>
      <c r="M50" s="1739"/>
      <c r="N50" s="1739"/>
      <c r="O50" s="1741"/>
    </row>
    <row r="51" spans="1:20" ht="15.75" x14ac:dyDescent="0.3">
      <c r="A51" s="859"/>
      <c r="B51" s="857"/>
      <c r="C51" s="857"/>
      <c r="D51" s="857"/>
      <c r="E51" s="857"/>
      <c r="F51" s="858"/>
      <c r="G51" s="857"/>
      <c r="H51" s="857"/>
      <c r="I51" s="857"/>
      <c r="J51" s="858"/>
      <c r="K51" s="857"/>
      <c r="L51" s="857"/>
      <c r="M51" s="857"/>
      <c r="N51" s="857"/>
      <c r="O51" s="871" t="s">
        <v>1320</v>
      </c>
    </row>
    <row r="52" spans="1:20" x14ac:dyDescent="0.25">
      <c r="A52" s="859"/>
      <c r="B52" s="857"/>
      <c r="C52" s="857">
        <v>1</v>
      </c>
      <c r="D52" s="857">
        <v>2</v>
      </c>
      <c r="E52" s="857">
        <v>3</v>
      </c>
      <c r="F52" s="858">
        <v>4</v>
      </c>
      <c r="G52" s="857">
        <v>5</v>
      </c>
      <c r="H52" s="857">
        <v>6</v>
      </c>
      <c r="I52" s="857">
        <v>7</v>
      </c>
      <c r="J52" s="858">
        <v>8</v>
      </c>
      <c r="K52" s="857">
        <v>9</v>
      </c>
      <c r="L52" s="857">
        <v>10</v>
      </c>
      <c r="M52" s="857">
        <v>11</v>
      </c>
      <c r="N52" s="857">
        <v>12</v>
      </c>
      <c r="O52" s="870" t="s">
        <v>712</v>
      </c>
    </row>
    <row r="53" spans="1:20" s="517" customFormat="1" x14ac:dyDescent="0.25">
      <c r="A53" s="2161">
        <v>1111</v>
      </c>
      <c r="B53" s="2162" t="s">
        <v>1265</v>
      </c>
      <c r="C53" s="869">
        <v>2392990</v>
      </c>
      <c r="D53" s="869">
        <v>2212283</v>
      </c>
      <c r="E53" s="869">
        <v>2036690</v>
      </c>
      <c r="F53" s="869">
        <v>1687823</v>
      </c>
      <c r="G53" s="869">
        <v>422959</v>
      </c>
      <c r="H53" s="869">
        <v>1455221</v>
      </c>
      <c r="I53" s="869">
        <v>2131732</v>
      </c>
      <c r="J53" s="869">
        <v>2210124</v>
      </c>
      <c r="K53" s="869">
        <v>2502326</v>
      </c>
      <c r="L53" s="869">
        <v>2300218</v>
      </c>
      <c r="M53" s="869">
        <v>2271939</v>
      </c>
      <c r="N53" s="869">
        <v>2651925</v>
      </c>
      <c r="O53" s="2163">
        <f t="shared" ref="O53:O58" si="12">SUM(C53:N53)</f>
        <v>24276230</v>
      </c>
      <c r="P53" s="676"/>
      <c r="Q53" s="2164"/>
      <c r="S53" s="656">
        <v>26453500</v>
      </c>
      <c r="T53" s="2221" t="s">
        <v>884</v>
      </c>
    </row>
    <row r="54" spans="1:20" s="517" customFormat="1" x14ac:dyDescent="0.25">
      <c r="A54" s="2161">
        <v>1112</v>
      </c>
      <c r="B54" s="2162" t="s">
        <v>1265</v>
      </c>
      <c r="C54" s="869">
        <v>44391</v>
      </c>
      <c r="D54" s="869">
        <v>30650</v>
      </c>
      <c r="E54" s="869">
        <v>91891</v>
      </c>
      <c r="F54" s="869">
        <v>0</v>
      </c>
      <c r="G54" s="869">
        <v>0</v>
      </c>
      <c r="H54" s="869">
        <v>0</v>
      </c>
      <c r="I54" s="869">
        <v>0</v>
      </c>
      <c r="J54" s="869">
        <v>0</v>
      </c>
      <c r="K54" s="869">
        <v>0</v>
      </c>
      <c r="L54" s="869">
        <v>21529</v>
      </c>
      <c r="M54" s="869">
        <v>18783</v>
      </c>
      <c r="N54" s="869">
        <v>180475</v>
      </c>
      <c r="O54" s="2163">
        <f t="shared" si="12"/>
        <v>387719</v>
      </c>
      <c r="P54" s="676"/>
      <c r="Q54" s="2164"/>
      <c r="S54" s="656">
        <v>525250</v>
      </c>
      <c r="T54" s="2222"/>
    </row>
    <row r="55" spans="1:20" s="517" customFormat="1" x14ac:dyDescent="0.25">
      <c r="A55" s="2161">
        <v>1113</v>
      </c>
      <c r="B55" s="2162" t="s">
        <v>1265</v>
      </c>
      <c r="C55" s="869">
        <v>184051</v>
      </c>
      <c r="D55" s="869">
        <v>216056</v>
      </c>
      <c r="E55" s="869">
        <v>148871</v>
      </c>
      <c r="F55" s="869">
        <v>143189</v>
      </c>
      <c r="G55" s="869">
        <v>159890</v>
      </c>
      <c r="H55" s="869">
        <v>183708</v>
      </c>
      <c r="I55" s="869">
        <v>215854</v>
      </c>
      <c r="J55" s="869">
        <v>216046</v>
      </c>
      <c r="K55" s="869">
        <v>281945</v>
      </c>
      <c r="L55" s="869">
        <v>217318</v>
      </c>
      <c r="M55" s="869">
        <v>204478</v>
      </c>
      <c r="N55" s="869">
        <v>196038</v>
      </c>
      <c r="O55" s="2163">
        <f t="shared" si="12"/>
        <v>2367444</v>
      </c>
      <c r="P55" s="676"/>
      <c r="Q55" s="2164"/>
      <c r="S55" s="656">
        <v>2300000</v>
      </c>
      <c r="T55" s="2222"/>
    </row>
    <row r="56" spans="1:20" s="517" customFormat="1" x14ac:dyDescent="0.25">
      <c r="A56" s="2161">
        <v>1121</v>
      </c>
      <c r="B56" s="2162" t="s">
        <v>1266</v>
      </c>
      <c r="C56" s="869">
        <v>457854</v>
      </c>
      <c r="D56" s="869">
        <v>183111</v>
      </c>
      <c r="E56" s="869">
        <v>3831646</v>
      </c>
      <c r="F56" s="869">
        <v>665053</v>
      </c>
      <c r="G56" s="869">
        <v>0</v>
      </c>
      <c r="H56" s="869">
        <v>1604852</v>
      </c>
      <c r="I56" s="869">
        <v>2942838</v>
      </c>
      <c r="J56" s="869">
        <v>0</v>
      </c>
      <c r="K56" s="869">
        <v>3466217</v>
      </c>
      <c r="L56" s="869">
        <v>763358</v>
      </c>
      <c r="M56" s="869">
        <v>188678</v>
      </c>
      <c r="N56" s="869">
        <v>3623578</v>
      </c>
      <c r="O56" s="2163">
        <f t="shared" si="12"/>
        <v>17727185</v>
      </c>
      <c r="P56" s="676"/>
      <c r="Q56" s="2164"/>
      <c r="S56" s="656">
        <v>22300000</v>
      </c>
      <c r="T56" s="2222"/>
    </row>
    <row r="57" spans="1:20" s="517" customFormat="1" x14ac:dyDescent="0.25">
      <c r="A57" s="2161">
        <v>1211</v>
      </c>
      <c r="B57" s="2162" t="s">
        <v>1267</v>
      </c>
      <c r="C57" s="869">
        <v>4301581</v>
      </c>
      <c r="D57" s="869">
        <v>5298856</v>
      </c>
      <c r="E57" s="869">
        <v>2759327</v>
      </c>
      <c r="F57" s="869">
        <v>2761943</v>
      </c>
      <c r="G57" s="869">
        <v>3979818</v>
      </c>
      <c r="H57" s="869">
        <v>2613828</v>
      </c>
      <c r="I57" s="869">
        <v>3738138</v>
      </c>
      <c r="J57" s="869">
        <v>5118357</v>
      </c>
      <c r="K57" s="869">
        <v>4252393</v>
      </c>
      <c r="L57" s="869">
        <v>3854172</v>
      </c>
      <c r="M57" s="869">
        <v>5516304</v>
      </c>
      <c r="N57" s="869">
        <v>4373030</v>
      </c>
      <c r="O57" s="2163">
        <f t="shared" si="12"/>
        <v>48567747</v>
      </c>
      <c r="P57" s="676"/>
      <c r="Q57" s="2164"/>
      <c r="S57" s="656">
        <v>53337000</v>
      </c>
      <c r="T57" s="2222"/>
    </row>
    <row r="58" spans="1:20" x14ac:dyDescent="0.25">
      <c r="A58" s="859">
        <v>1511</v>
      </c>
      <c r="B58" s="857" t="s">
        <v>1268</v>
      </c>
      <c r="C58" s="858">
        <v>76228</v>
      </c>
      <c r="D58" s="858">
        <v>40911</v>
      </c>
      <c r="E58" s="858">
        <v>3822</v>
      </c>
      <c r="F58" s="858">
        <v>0</v>
      </c>
      <c r="G58" s="858">
        <v>845</v>
      </c>
      <c r="H58" s="858">
        <v>5331235</v>
      </c>
      <c r="I58" s="858">
        <v>400798</v>
      </c>
      <c r="J58" s="858">
        <v>78267</v>
      </c>
      <c r="K58" s="858">
        <v>90783</v>
      </c>
      <c r="L58" s="858">
        <v>29346</v>
      </c>
      <c r="M58" s="858">
        <v>35057</v>
      </c>
      <c r="N58" s="858">
        <v>1384019</v>
      </c>
      <c r="O58" s="861">
        <f t="shared" si="12"/>
        <v>7471311</v>
      </c>
      <c r="Q58" s="620"/>
    </row>
    <row r="59" spans="1:20" s="526" customFormat="1" x14ac:dyDescent="0.25">
      <c r="A59" s="863"/>
      <c r="B59" s="864" t="s">
        <v>1269</v>
      </c>
      <c r="C59" s="695">
        <f>SUM(C53:C58)</f>
        <v>7457095</v>
      </c>
      <c r="D59" s="695">
        <f>SUM(D53:D58)</f>
        <v>7981867</v>
      </c>
      <c r="E59" s="695">
        <f>SUM(E53:E58)</f>
        <v>8872247</v>
      </c>
      <c r="F59" s="695">
        <f>SUM(F53:F58)</f>
        <v>5258008</v>
      </c>
      <c r="G59" s="695">
        <f>SUM(G53:G58)</f>
        <v>4563512</v>
      </c>
      <c r="H59" s="695">
        <f t="shared" ref="H59:N59" si="13">SUM(H53:H58)</f>
        <v>11188844</v>
      </c>
      <c r="I59" s="695">
        <f t="shared" si="13"/>
        <v>9429360</v>
      </c>
      <c r="J59" s="695">
        <f t="shared" si="13"/>
        <v>7622794</v>
      </c>
      <c r="K59" s="695">
        <f t="shared" si="13"/>
        <v>10593664</v>
      </c>
      <c r="L59" s="695">
        <f t="shared" si="13"/>
        <v>7185941</v>
      </c>
      <c r="M59" s="695">
        <f t="shared" si="13"/>
        <v>8235239</v>
      </c>
      <c r="N59" s="695">
        <f t="shared" si="13"/>
        <v>12409065</v>
      </c>
      <c r="O59" s="865">
        <f>SUM(O53:O58)</f>
        <v>100797636</v>
      </c>
      <c r="P59" s="450">
        <f>+O59/Q35*O35</f>
        <v>100797635.99999999</v>
      </c>
      <c r="Q59" s="868">
        <f>+Q35</f>
        <v>97825106.030000001</v>
      </c>
      <c r="R59" s="868" t="s">
        <v>1291</v>
      </c>
      <c r="S59" s="726">
        <f>SUM(S53:S58)</f>
        <v>104915750</v>
      </c>
    </row>
    <row r="62" spans="1:20" ht="18.75" x14ac:dyDescent="0.3">
      <c r="A62" s="1737" t="s">
        <v>2050</v>
      </c>
      <c r="B62" s="1738"/>
      <c r="C62" s="1738"/>
      <c r="D62" s="1739"/>
      <c r="E62" s="1739"/>
      <c r="F62" s="1740"/>
      <c r="G62" s="1739"/>
      <c r="H62" s="1739"/>
      <c r="I62" s="1739"/>
      <c r="J62" s="1740"/>
      <c r="K62" s="1739"/>
      <c r="L62" s="1739"/>
      <c r="M62" s="1739"/>
      <c r="N62" s="1739"/>
      <c r="O62" s="1741"/>
    </row>
    <row r="63" spans="1:20" ht="15.75" x14ac:dyDescent="0.3">
      <c r="A63" s="859"/>
      <c r="B63" s="857"/>
      <c r="C63" s="857"/>
      <c r="D63" s="857"/>
      <c r="E63" s="857"/>
      <c r="F63" s="858"/>
      <c r="G63" s="857"/>
      <c r="H63" s="857"/>
      <c r="I63" s="857"/>
      <c r="J63" s="858"/>
      <c r="K63" s="857"/>
      <c r="L63" s="857"/>
      <c r="M63" s="857"/>
      <c r="N63" s="857"/>
      <c r="O63" s="871" t="s">
        <v>2051</v>
      </c>
    </row>
    <row r="64" spans="1:20" x14ac:dyDescent="0.25">
      <c r="A64" s="859"/>
      <c r="B64" s="857"/>
      <c r="C64" s="857">
        <v>1</v>
      </c>
      <c r="D64" s="857">
        <v>2</v>
      </c>
      <c r="E64" s="857">
        <v>3</v>
      </c>
      <c r="F64" s="858">
        <v>4</v>
      </c>
      <c r="G64" s="857">
        <v>5</v>
      </c>
      <c r="H64" s="857">
        <v>6</v>
      </c>
      <c r="I64" s="857">
        <v>7</v>
      </c>
      <c r="J64" s="858">
        <v>8</v>
      </c>
      <c r="K64" s="857">
        <v>9</v>
      </c>
      <c r="L64" s="857">
        <v>10</v>
      </c>
      <c r="M64" s="857">
        <v>11</v>
      </c>
      <c r="N64" s="857">
        <v>12</v>
      </c>
      <c r="O64" s="870" t="s">
        <v>712</v>
      </c>
    </row>
    <row r="65" spans="1:20" s="517" customFormat="1" x14ac:dyDescent="0.25">
      <c r="A65" s="2161">
        <v>1111</v>
      </c>
      <c r="B65" s="2162" t="s">
        <v>1265</v>
      </c>
      <c r="C65" s="869"/>
      <c r="D65" s="869"/>
      <c r="E65" s="869"/>
      <c r="F65" s="869"/>
      <c r="G65" s="869"/>
      <c r="H65" s="869"/>
      <c r="I65" s="869"/>
      <c r="J65" s="869"/>
      <c r="K65" s="869"/>
      <c r="L65" s="869"/>
      <c r="M65" s="869"/>
      <c r="N65" s="869"/>
      <c r="O65" s="2163">
        <f>SUM(C65:N65)</f>
        <v>0</v>
      </c>
      <c r="P65" s="676"/>
      <c r="Q65" s="2164"/>
      <c r="S65" s="656">
        <v>26453500</v>
      </c>
      <c r="T65" s="2221" t="s">
        <v>884</v>
      </c>
    </row>
    <row r="66" spans="1:20" s="517" customFormat="1" x14ac:dyDescent="0.25">
      <c r="A66" s="2161">
        <v>1112</v>
      </c>
      <c r="B66" s="2162" t="s">
        <v>1265</v>
      </c>
      <c r="C66" s="869"/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2163">
        <f t="shared" ref="O66:O70" si="14">SUM(C66:N66)</f>
        <v>0</v>
      </c>
      <c r="P66" s="676"/>
      <c r="Q66" s="2164"/>
      <c r="S66" s="656">
        <v>525250</v>
      </c>
      <c r="T66" s="2222"/>
    </row>
    <row r="67" spans="1:20" s="517" customFormat="1" x14ac:dyDescent="0.25">
      <c r="A67" s="2161">
        <v>1113</v>
      </c>
      <c r="B67" s="2162" t="s">
        <v>1265</v>
      </c>
      <c r="C67" s="869"/>
      <c r="D67" s="869"/>
      <c r="E67" s="869"/>
      <c r="F67" s="869"/>
      <c r="G67" s="869"/>
      <c r="H67" s="869"/>
      <c r="I67" s="869"/>
      <c r="J67" s="869"/>
      <c r="K67" s="869"/>
      <c r="L67" s="869"/>
      <c r="M67" s="869"/>
      <c r="N67" s="869"/>
      <c r="O67" s="2163">
        <f t="shared" si="14"/>
        <v>0</v>
      </c>
      <c r="P67" s="676"/>
      <c r="Q67" s="2164"/>
      <c r="S67" s="656">
        <v>2300000</v>
      </c>
      <c r="T67" s="2222"/>
    </row>
    <row r="68" spans="1:20" s="517" customFormat="1" x14ac:dyDescent="0.25">
      <c r="A68" s="2161">
        <v>1121</v>
      </c>
      <c r="B68" s="2162" t="s">
        <v>1266</v>
      </c>
      <c r="C68" s="869"/>
      <c r="D68" s="869"/>
      <c r="E68" s="869"/>
      <c r="F68" s="869"/>
      <c r="G68" s="869"/>
      <c r="H68" s="869"/>
      <c r="I68" s="869"/>
      <c r="J68" s="869"/>
      <c r="K68" s="869"/>
      <c r="L68" s="869"/>
      <c r="M68" s="869"/>
      <c r="N68" s="869"/>
      <c r="O68" s="2163">
        <f t="shared" si="14"/>
        <v>0</v>
      </c>
      <c r="P68" s="676"/>
      <c r="Q68" s="2164"/>
      <c r="S68" s="656">
        <v>22300000</v>
      </c>
      <c r="T68" s="2222"/>
    </row>
    <row r="69" spans="1:20" s="517" customFormat="1" x14ac:dyDescent="0.25">
      <c r="A69" s="2161">
        <v>1211</v>
      </c>
      <c r="B69" s="2162" t="s">
        <v>1267</v>
      </c>
      <c r="C69" s="869"/>
      <c r="D69" s="869"/>
      <c r="E69" s="869"/>
      <c r="F69" s="869"/>
      <c r="G69" s="869"/>
      <c r="H69" s="869"/>
      <c r="I69" s="869"/>
      <c r="J69" s="869"/>
      <c r="K69" s="869"/>
      <c r="L69" s="869"/>
      <c r="M69" s="869"/>
      <c r="N69" s="869"/>
      <c r="O69" s="2163">
        <f t="shared" si="14"/>
        <v>0</v>
      </c>
      <c r="P69" s="676"/>
      <c r="Q69" s="2164"/>
      <c r="S69" s="656">
        <v>53337000</v>
      </c>
      <c r="T69" s="2222"/>
    </row>
    <row r="70" spans="1:20" x14ac:dyDescent="0.25">
      <c r="A70" s="859">
        <v>1511</v>
      </c>
      <c r="B70" s="857" t="s">
        <v>1268</v>
      </c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61">
        <f t="shared" si="14"/>
        <v>0</v>
      </c>
      <c r="Q70" s="620"/>
    </row>
    <row r="71" spans="1:20" s="526" customFormat="1" x14ac:dyDescent="0.25">
      <c r="A71" s="863"/>
      <c r="B71" s="864" t="s">
        <v>1269</v>
      </c>
      <c r="C71" s="695">
        <f>SUM(C65:C70)</f>
        <v>0</v>
      </c>
      <c r="D71" s="695">
        <f>SUM(D65:D70)</f>
        <v>0</v>
      </c>
      <c r="E71" s="695">
        <f>SUM(E65:E70)</f>
        <v>0</v>
      </c>
      <c r="F71" s="695">
        <f>SUM(F65:F70)</f>
        <v>0</v>
      </c>
      <c r="G71" s="695">
        <f>SUM(G65:G70)</f>
        <v>0</v>
      </c>
      <c r="H71" s="695">
        <f t="shared" ref="H71:N71" si="15">SUM(H65:H70)</f>
        <v>0</v>
      </c>
      <c r="I71" s="695">
        <f t="shared" si="15"/>
        <v>0</v>
      </c>
      <c r="J71" s="695">
        <f t="shared" si="15"/>
        <v>0</v>
      </c>
      <c r="K71" s="695">
        <f t="shared" si="15"/>
        <v>0</v>
      </c>
      <c r="L71" s="695">
        <f t="shared" si="15"/>
        <v>0</v>
      </c>
      <c r="M71" s="695">
        <f t="shared" si="15"/>
        <v>0</v>
      </c>
      <c r="N71" s="695">
        <f t="shared" si="15"/>
        <v>0</v>
      </c>
      <c r="O71" s="865">
        <f>SUM(O65:O70)</f>
        <v>0</v>
      </c>
      <c r="P71" s="450">
        <f>+O71/Q47*O47</f>
        <v>0</v>
      </c>
      <c r="Q71" s="868">
        <f>+Q47</f>
        <v>107574415</v>
      </c>
      <c r="R71" s="868" t="s">
        <v>1291</v>
      </c>
      <c r="S71" s="726">
        <f>SUM(S65:S70)</f>
        <v>104915750</v>
      </c>
    </row>
    <row r="72" spans="1:20" s="517" customFormat="1" x14ac:dyDescent="0.25">
      <c r="A72" s="605"/>
      <c r="B72" s="446"/>
      <c r="C72" s="527">
        <f t="shared" ref="C72" si="16">+C71-C47</f>
        <v>-7985091</v>
      </c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446"/>
      <c r="O72" s="860"/>
      <c r="P72" s="860">
        <f>+O72/5*12</f>
        <v>0</v>
      </c>
      <c r="Q72" s="656">
        <f>+Q71-Q47</f>
        <v>0</v>
      </c>
      <c r="S72" s="656">
        <f>+Q41+Q42+Q43+Q44+Q45-S71</f>
        <v>-4869860</v>
      </c>
    </row>
    <row r="73" spans="1:20" s="517" customFormat="1" x14ac:dyDescent="0.25">
      <c r="A73" s="1400"/>
      <c r="C73" s="2137">
        <f>+(C71-C47)/C47</f>
        <v>-1</v>
      </c>
      <c r="D73" s="2137">
        <f t="shared" ref="D73:N73" si="17">+(D71-D47)/D47</f>
        <v>-1</v>
      </c>
      <c r="E73" s="2137">
        <f t="shared" si="17"/>
        <v>-1</v>
      </c>
      <c r="F73" s="2137">
        <f t="shared" si="17"/>
        <v>-1</v>
      </c>
      <c r="G73" s="2137">
        <f t="shared" si="17"/>
        <v>-1</v>
      </c>
      <c r="H73" s="2137">
        <f t="shared" si="17"/>
        <v>-1</v>
      </c>
      <c r="I73" s="2137">
        <f t="shared" si="17"/>
        <v>-1</v>
      </c>
      <c r="J73" s="2137">
        <f t="shared" si="17"/>
        <v>-1</v>
      </c>
      <c r="K73" s="2137">
        <f t="shared" si="17"/>
        <v>-1</v>
      </c>
      <c r="L73" s="2137">
        <f t="shared" si="17"/>
        <v>-1</v>
      </c>
      <c r="M73" s="2137">
        <f t="shared" si="17"/>
        <v>-1</v>
      </c>
      <c r="N73" s="2137">
        <f t="shared" si="17"/>
        <v>-1</v>
      </c>
      <c r="O73" s="2137">
        <f>+(O71-O47)/O47</f>
        <v>-1</v>
      </c>
      <c r="P73" s="676"/>
      <c r="Q73" s="656"/>
      <c r="S73" s="656"/>
    </row>
    <row r="74" spans="1:20" hidden="1" x14ac:dyDescent="0.25"/>
    <row r="75" spans="1:20" s="526" customFormat="1" hidden="1" x14ac:dyDescent="0.25">
      <c r="A75" s="451" t="s">
        <v>733</v>
      </c>
      <c r="C75" s="726"/>
      <c r="E75" s="526" t="s">
        <v>1563</v>
      </c>
      <c r="F75" s="726"/>
      <c r="I75" s="526" t="s">
        <v>258</v>
      </c>
      <c r="J75" s="726"/>
      <c r="O75" s="451"/>
      <c r="P75" s="450"/>
      <c r="Q75" s="726"/>
      <c r="S75" s="726"/>
    </row>
    <row r="76" spans="1:20" hidden="1" x14ac:dyDescent="0.25">
      <c r="C76" s="527"/>
    </row>
    <row r="77" spans="1:20" hidden="1" x14ac:dyDescent="0.25">
      <c r="A77" s="661" t="s">
        <v>1546</v>
      </c>
      <c r="B77" s="446" t="s">
        <v>1074</v>
      </c>
      <c r="C77" s="527">
        <f>'Výdaje kapitol celkem'!AA69</f>
        <v>0</v>
      </c>
      <c r="E77" s="446" t="s">
        <v>1564</v>
      </c>
      <c r="F77" s="527">
        <f>'Výdaje kapitol celkem'!H16</f>
        <v>36162828.399999999</v>
      </c>
      <c r="I77" s="446" t="s">
        <v>884</v>
      </c>
      <c r="J77" s="527">
        <f>Q47</f>
        <v>107574415</v>
      </c>
    </row>
    <row r="78" spans="1:20" hidden="1" x14ac:dyDescent="0.25">
      <c r="A78" s="661" t="s">
        <v>1571</v>
      </c>
      <c r="B78" s="446" t="s">
        <v>1547</v>
      </c>
      <c r="C78" s="527">
        <f>'Výdaje kapitol celkem'!AS69</f>
        <v>60000</v>
      </c>
      <c r="E78" s="446" t="s">
        <v>1565</v>
      </c>
      <c r="F78" s="527">
        <f>'Výdaje kapitol celkem'!H52-C83-C82-C84</f>
        <v>53846597.298500001</v>
      </c>
      <c r="I78" s="446" t="s">
        <v>1567</v>
      </c>
      <c r="J78" s="527">
        <v>16000000</v>
      </c>
    </row>
    <row r="79" spans="1:20" hidden="1" x14ac:dyDescent="0.25">
      <c r="A79" s="661" t="s">
        <v>1548</v>
      </c>
      <c r="B79" s="446" t="s">
        <v>1549</v>
      </c>
      <c r="C79" s="671"/>
      <c r="D79" s="671">
        <v>15000000</v>
      </c>
      <c r="E79" s="446" t="s">
        <v>160</v>
      </c>
      <c r="F79" s="527">
        <f>'Výdaje kapitol celkem'!H53</f>
        <v>2058522.1749999998</v>
      </c>
      <c r="I79" s="446" t="s">
        <v>1568</v>
      </c>
      <c r="J79" s="527">
        <v>23765356</v>
      </c>
    </row>
    <row r="80" spans="1:20" hidden="1" x14ac:dyDescent="0.25">
      <c r="A80" s="661" t="s">
        <v>1550</v>
      </c>
      <c r="B80" s="446" t="s">
        <v>1551</v>
      </c>
      <c r="C80" s="527">
        <v>5800000</v>
      </c>
      <c r="E80" s="446" t="s">
        <v>1566</v>
      </c>
      <c r="F80" s="527">
        <f>'Výdaje kapitol celkem'!H71</f>
        <v>19016744</v>
      </c>
      <c r="I80" s="446" t="s">
        <v>1569</v>
      </c>
      <c r="J80" s="527" t="e">
        <f>+'Souhrn příjmů a výdajů 2021'!I63+'Souhrn příjmů a výdajů 2021'!I64+'Souhrn příjmů a výdajů 2021'!#REF!+'Souhrn příjmů a výdajů 2021'!I66</f>
        <v>#REF!</v>
      </c>
    </row>
    <row r="81" spans="1:19" hidden="1" x14ac:dyDescent="0.25">
      <c r="A81" s="661" t="s">
        <v>1552</v>
      </c>
      <c r="B81" s="446" t="s">
        <v>1086</v>
      </c>
      <c r="C81" s="527">
        <f>13000000/2</f>
        <v>6500000</v>
      </c>
      <c r="I81" s="446" t="s">
        <v>1745</v>
      </c>
      <c r="J81" s="527">
        <v>5701631.46</v>
      </c>
    </row>
    <row r="82" spans="1:19" hidden="1" x14ac:dyDescent="0.25">
      <c r="A82" s="661" t="s">
        <v>1553</v>
      </c>
      <c r="B82" s="446" t="s">
        <v>176</v>
      </c>
      <c r="C82" s="671">
        <v>12000000</v>
      </c>
    </row>
    <row r="83" spans="1:19" hidden="1" x14ac:dyDescent="0.25">
      <c r="A83" s="661" t="s">
        <v>1554</v>
      </c>
      <c r="B83" s="446" t="s">
        <v>289</v>
      </c>
      <c r="C83" s="671">
        <f>'Výdaje kapitol celkem'!S44</f>
        <v>16000000</v>
      </c>
      <c r="D83" s="527"/>
    </row>
    <row r="84" spans="1:19" hidden="1" x14ac:dyDescent="0.25">
      <c r="A84" s="661" t="s">
        <v>1555</v>
      </c>
      <c r="B84" s="446" t="s">
        <v>1556</v>
      </c>
      <c r="C84" s="671">
        <v>3000000</v>
      </c>
    </row>
    <row r="85" spans="1:19" hidden="1" x14ac:dyDescent="0.25">
      <c r="A85" s="661" t="s">
        <v>1557</v>
      </c>
      <c r="B85" s="446" t="s">
        <v>1560</v>
      </c>
      <c r="C85" s="671"/>
    </row>
    <row r="86" spans="1:19" hidden="1" x14ac:dyDescent="0.25">
      <c r="A86" s="661" t="s">
        <v>1558</v>
      </c>
      <c r="B86" s="446" t="s">
        <v>1561</v>
      </c>
      <c r="C86" s="527">
        <v>1200000</v>
      </c>
    </row>
    <row r="87" spans="1:19" hidden="1" x14ac:dyDescent="0.25">
      <c r="A87" s="661" t="s">
        <v>1559</v>
      </c>
      <c r="B87" s="446" t="s">
        <v>1562</v>
      </c>
      <c r="C87" s="527"/>
    </row>
    <row r="88" spans="1:19" hidden="1" x14ac:dyDescent="0.25">
      <c r="A88" s="661" t="s">
        <v>1570</v>
      </c>
      <c r="B88" s="446" t="s">
        <v>588</v>
      </c>
      <c r="C88" s="527">
        <v>4000000</v>
      </c>
    </row>
    <row r="89" spans="1:19" hidden="1" x14ac:dyDescent="0.25">
      <c r="A89" s="661" t="s">
        <v>1572</v>
      </c>
      <c r="B89" s="446" t="s">
        <v>1573</v>
      </c>
      <c r="C89" s="527">
        <v>910000</v>
      </c>
    </row>
    <row r="90" spans="1:19" hidden="1" x14ac:dyDescent="0.25">
      <c r="A90" s="661" t="s">
        <v>1574</v>
      </c>
      <c r="B90" s="446" t="s">
        <v>1576</v>
      </c>
      <c r="D90" s="527">
        <v>56000000</v>
      </c>
    </row>
    <row r="91" spans="1:19" hidden="1" x14ac:dyDescent="0.25">
      <c r="A91" s="661" t="s">
        <v>1575</v>
      </c>
      <c r="B91" s="446" t="s">
        <v>386</v>
      </c>
      <c r="D91" s="527">
        <v>50000000</v>
      </c>
    </row>
    <row r="92" spans="1:19" s="526" customFormat="1" hidden="1" x14ac:dyDescent="0.25">
      <c r="A92" s="451"/>
      <c r="C92" s="726">
        <f>SUM(C77:C91)</f>
        <v>49470000</v>
      </c>
      <c r="F92" s="726">
        <f>SUM(F77:F87)</f>
        <v>111084691.8735</v>
      </c>
      <c r="J92" s="726" t="e">
        <f>SUM(J77:J91)</f>
        <v>#REF!</v>
      </c>
      <c r="O92" s="451"/>
      <c r="P92" s="450"/>
      <c r="Q92" s="726"/>
      <c r="S92" s="726"/>
    </row>
    <row r="93" spans="1:19" hidden="1" x14ac:dyDescent="0.25">
      <c r="C93" s="527"/>
    </row>
    <row r="94" spans="1:19" hidden="1" x14ac:dyDescent="0.25">
      <c r="C94" s="527"/>
    </row>
    <row r="95" spans="1:19" hidden="1" x14ac:dyDescent="0.25">
      <c r="C95" s="527"/>
      <c r="D95" s="726">
        <f>+C92+F92</f>
        <v>160554691.87349999</v>
      </c>
      <c r="J95" s="656" t="e">
        <f>+J92-D95</f>
        <v>#REF!</v>
      </c>
    </row>
    <row r="96" spans="1:19" hidden="1" x14ac:dyDescent="0.25">
      <c r="C96" s="527"/>
    </row>
    <row r="97" spans="3:3" hidden="1" x14ac:dyDescent="0.25">
      <c r="C97" s="527"/>
    </row>
    <row r="98" spans="3:3" hidden="1" x14ac:dyDescent="0.25">
      <c r="C98" s="527"/>
    </row>
    <row r="99" spans="3:3" hidden="1" x14ac:dyDescent="0.25">
      <c r="C99" s="527"/>
    </row>
    <row r="100" spans="3:3" hidden="1" x14ac:dyDescent="0.25">
      <c r="C100" s="527"/>
    </row>
    <row r="101" spans="3:3" hidden="1" x14ac:dyDescent="0.25">
      <c r="C101" s="527"/>
    </row>
    <row r="102" spans="3:3" hidden="1" x14ac:dyDescent="0.25">
      <c r="C102" s="527"/>
    </row>
    <row r="103" spans="3:3" hidden="1" x14ac:dyDescent="0.25">
      <c r="C103" s="527"/>
    </row>
    <row r="104" spans="3:3" hidden="1" x14ac:dyDescent="0.25">
      <c r="C104" s="527"/>
    </row>
    <row r="105" spans="3:3" hidden="1" x14ac:dyDescent="0.25">
      <c r="C105" s="527"/>
    </row>
    <row r="106" spans="3:3" hidden="1" x14ac:dyDescent="0.25">
      <c r="C106" s="527"/>
    </row>
    <row r="107" spans="3:3" hidden="1" x14ac:dyDescent="0.25">
      <c r="C107" s="527"/>
    </row>
    <row r="108" spans="3:3" hidden="1" x14ac:dyDescent="0.25">
      <c r="C108" s="527"/>
    </row>
    <row r="109" spans="3:3" hidden="1" x14ac:dyDescent="0.25">
      <c r="C109" s="527"/>
    </row>
    <row r="110" spans="3:3" hidden="1" x14ac:dyDescent="0.25">
      <c r="C110" s="527"/>
    </row>
    <row r="111" spans="3:3" hidden="1" x14ac:dyDescent="0.25">
      <c r="C111" s="527"/>
    </row>
    <row r="112" spans="3:3" hidden="1" x14ac:dyDescent="0.25">
      <c r="C112" s="527"/>
    </row>
    <row r="113" spans="3:3" hidden="1" x14ac:dyDescent="0.25">
      <c r="C113" s="527"/>
    </row>
    <row r="114" spans="3:3" hidden="1" x14ac:dyDescent="0.25">
      <c r="C114" s="527"/>
    </row>
    <row r="115" spans="3:3" hidden="1" x14ac:dyDescent="0.25">
      <c r="C115" s="527"/>
    </row>
    <row r="116" spans="3:3" hidden="1" x14ac:dyDescent="0.25">
      <c r="C116" s="527"/>
    </row>
    <row r="117" spans="3:3" hidden="1" x14ac:dyDescent="0.25">
      <c r="C117" s="527"/>
    </row>
    <row r="118" spans="3:3" hidden="1" x14ac:dyDescent="0.25">
      <c r="C118" s="527"/>
    </row>
    <row r="119" spans="3:3" hidden="1" x14ac:dyDescent="0.25">
      <c r="C119" s="527"/>
    </row>
    <row r="120" spans="3:3" hidden="1" x14ac:dyDescent="0.25">
      <c r="C120" s="527"/>
    </row>
    <row r="121" spans="3:3" hidden="1" x14ac:dyDescent="0.25">
      <c r="C121" s="527"/>
    </row>
    <row r="122" spans="3:3" hidden="1" x14ac:dyDescent="0.25">
      <c r="C122" s="527"/>
    </row>
    <row r="123" spans="3:3" hidden="1" x14ac:dyDescent="0.25">
      <c r="C123" s="527"/>
    </row>
    <row r="124" spans="3:3" hidden="1" x14ac:dyDescent="0.25">
      <c r="C124" s="527"/>
    </row>
    <row r="125" spans="3:3" hidden="1" x14ac:dyDescent="0.25">
      <c r="C125" s="527"/>
    </row>
    <row r="126" spans="3:3" hidden="1" x14ac:dyDescent="0.25">
      <c r="C126" s="527"/>
    </row>
    <row r="127" spans="3:3" hidden="1" x14ac:dyDescent="0.25">
      <c r="C127" s="527"/>
    </row>
    <row r="128" spans="3:3" hidden="1" x14ac:dyDescent="0.25">
      <c r="C128" s="527"/>
    </row>
    <row r="129" spans="3:3" hidden="1" x14ac:dyDescent="0.25">
      <c r="C129" s="527"/>
    </row>
    <row r="130" spans="3:3" hidden="1" x14ac:dyDescent="0.25">
      <c r="C130" s="527"/>
    </row>
    <row r="131" spans="3:3" hidden="1" x14ac:dyDescent="0.25">
      <c r="C131" s="527"/>
    </row>
    <row r="132" spans="3:3" hidden="1" x14ac:dyDescent="0.25">
      <c r="C132" s="527"/>
    </row>
    <row r="133" spans="3:3" hidden="1" x14ac:dyDescent="0.25">
      <c r="C133" s="527"/>
    </row>
    <row r="134" spans="3:3" hidden="1" x14ac:dyDescent="0.25">
      <c r="C134" s="527"/>
    </row>
    <row r="135" spans="3:3" hidden="1" x14ac:dyDescent="0.25">
      <c r="C135" s="527"/>
    </row>
    <row r="136" spans="3:3" hidden="1" x14ac:dyDescent="0.25">
      <c r="C136" s="527"/>
    </row>
    <row r="137" spans="3:3" hidden="1" x14ac:dyDescent="0.25">
      <c r="C137" s="527"/>
    </row>
    <row r="138" spans="3:3" hidden="1" x14ac:dyDescent="0.25">
      <c r="C138" s="527"/>
    </row>
    <row r="139" spans="3:3" hidden="1" x14ac:dyDescent="0.25">
      <c r="C139" s="527"/>
    </row>
    <row r="140" spans="3:3" hidden="1" x14ac:dyDescent="0.25">
      <c r="C140" s="527"/>
    </row>
    <row r="141" spans="3:3" hidden="1" x14ac:dyDescent="0.25">
      <c r="C141" s="527"/>
    </row>
    <row r="142" spans="3:3" hidden="1" x14ac:dyDescent="0.25">
      <c r="C142" s="527"/>
    </row>
    <row r="143" spans="3:3" hidden="1" x14ac:dyDescent="0.25">
      <c r="C143" s="527"/>
    </row>
    <row r="144" spans="3:3" hidden="1" x14ac:dyDescent="0.25">
      <c r="C144" s="527"/>
    </row>
    <row r="145" spans="3:15" x14ac:dyDescent="0.25">
      <c r="C145" s="527"/>
    </row>
    <row r="146" spans="3:15" x14ac:dyDescent="0.25">
      <c r="C146" s="527">
        <f>SUM(C65:C69)</f>
        <v>0</v>
      </c>
      <c r="D146" s="527">
        <f t="shared" ref="D146:G146" si="18">SUM(D65:D69)</f>
        <v>0</v>
      </c>
      <c r="E146" s="527">
        <f t="shared" si="18"/>
        <v>0</v>
      </c>
      <c r="F146" s="527">
        <f t="shared" si="18"/>
        <v>0</v>
      </c>
      <c r="G146" s="527">
        <f t="shared" si="18"/>
        <v>0</v>
      </c>
      <c r="H146" s="527">
        <f>SUM(H65:H69)</f>
        <v>0</v>
      </c>
      <c r="I146" s="527">
        <f t="shared" ref="I146:O146" si="19">SUM(I65:I69)</f>
        <v>0</v>
      </c>
      <c r="J146" s="527">
        <f t="shared" si="19"/>
        <v>0</v>
      </c>
      <c r="K146" s="527">
        <f t="shared" si="19"/>
        <v>0</v>
      </c>
      <c r="L146" s="527">
        <f t="shared" si="19"/>
        <v>0</v>
      </c>
      <c r="M146" s="527">
        <f t="shared" si="19"/>
        <v>0</v>
      </c>
      <c r="N146" s="527">
        <f t="shared" si="19"/>
        <v>0</v>
      </c>
      <c r="O146" s="527">
        <f t="shared" si="19"/>
        <v>0</v>
      </c>
    </row>
    <row r="147" spans="3:15" x14ac:dyDescent="0.25">
      <c r="C147" s="527">
        <f>SUM(C41:C45)</f>
        <v>7877110</v>
      </c>
      <c r="D147" s="527">
        <f>SUM(D53:D58)</f>
        <v>7981867</v>
      </c>
      <c r="E147" s="527">
        <f t="shared" ref="E147:O147" si="20">SUM(E53:E58)</f>
        <v>8872247</v>
      </c>
      <c r="F147" s="527">
        <f t="shared" si="20"/>
        <v>5258008</v>
      </c>
      <c r="G147" s="527">
        <f t="shared" si="20"/>
        <v>4563512</v>
      </c>
      <c r="H147" s="527">
        <f t="shared" si="20"/>
        <v>11188844</v>
      </c>
      <c r="I147" s="527">
        <f t="shared" si="20"/>
        <v>9429360</v>
      </c>
      <c r="J147" s="527">
        <f t="shared" si="20"/>
        <v>7622794</v>
      </c>
      <c r="K147" s="527">
        <f t="shared" si="20"/>
        <v>10593664</v>
      </c>
      <c r="L147" s="527">
        <f t="shared" si="20"/>
        <v>7185941</v>
      </c>
      <c r="M147" s="527">
        <f t="shared" si="20"/>
        <v>8235239</v>
      </c>
      <c r="N147" s="527">
        <f t="shared" si="20"/>
        <v>12409065</v>
      </c>
      <c r="O147" s="527">
        <f t="shared" si="20"/>
        <v>100797636</v>
      </c>
    </row>
    <row r="148" spans="3:15" x14ac:dyDescent="0.25">
      <c r="C148" s="1790">
        <f>+(C147-C146)/C147</f>
        <v>1</v>
      </c>
      <c r="D148" s="1790">
        <f t="shared" ref="D148:G148" si="21">+(D147-D146)/D147</f>
        <v>1</v>
      </c>
      <c r="E148" s="1790">
        <f t="shared" si="21"/>
        <v>1</v>
      </c>
      <c r="F148" s="1790">
        <f t="shared" si="21"/>
        <v>1</v>
      </c>
      <c r="G148" s="1790">
        <f t="shared" si="21"/>
        <v>1</v>
      </c>
      <c r="H148" s="1790">
        <f>+(H147-H146)/H147</f>
        <v>1</v>
      </c>
      <c r="I148" s="1790">
        <f t="shared" ref="I148:O148" si="22">+(I147-I146)/I147</f>
        <v>1</v>
      </c>
      <c r="J148" s="1790">
        <f t="shared" si="22"/>
        <v>1</v>
      </c>
      <c r="K148" s="1790">
        <f t="shared" si="22"/>
        <v>1</v>
      </c>
      <c r="L148" s="1790">
        <f t="shared" si="22"/>
        <v>1</v>
      </c>
      <c r="M148" s="1790">
        <f t="shared" si="22"/>
        <v>1</v>
      </c>
      <c r="N148" s="1790">
        <f t="shared" si="22"/>
        <v>1</v>
      </c>
      <c r="O148" s="1790">
        <f t="shared" si="22"/>
        <v>1</v>
      </c>
    </row>
    <row r="149" spans="3:15" x14ac:dyDescent="0.25">
      <c r="C149" s="527"/>
    </row>
    <row r="150" spans="3:15" x14ac:dyDescent="0.25">
      <c r="C150" s="527"/>
      <c r="J150" s="1790"/>
    </row>
    <row r="151" spans="3:15" x14ac:dyDescent="0.25">
      <c r="C151" s="527"/>
    </row>
    <row r="152" spans="3:15" x14ac:dyDescent="0.25">
      <c r="C152" s="527"/>
    </row>
    <row r="153" spans="3:15" x14ac:dyDescent="0.25">
      <c r="C153" s="527"/>
    </row>
    <row r="154" spans="3:15" x14ac:dyDescent="0.25">
      <c r="C154" s="527"/>
    </row>
    <row r="155" spans="3:15" x14ac:dyDescent="0.25">
      <c r="C155" s="527"/>
    </row>
    <row r="156" spans="3:15" x14ac:dyDescent="0.25">
      <c r="C156" s="527"/>
    </row>
    <row r="157" spans="3:15" x14ac:dyDescent="0.25">
      <c r="C157" s="527"/>
    </row>
    <row r="158" spans="3:15" x14ac:dyDescent="0.25">
      <c r="C158" s="527"/>
    </row>
    <row r="159" spans="3:15" x14ac:dyDescent="0.25">
      <c r="C159" s="527"/>
    </row>
    <row r="160" spans="3:15" x14ac:dyDescent="0.25">
      <c r="C160" s="527"/>
    </row>
    <row r="161" spans="3:3" x14ac:dyDescent="0.25">
      <c r="C161" s="527"/>
    </row>
    <row r="162" spans="3:3" x14ac:dyDescent="0.25">
      <c r="C162" s="527"/>
    </row>
    <row r="163" spans="3:3" x14ac:dyDescent="0.25">
      <c r="C163" s="527"/>
    </row>
    <row r="164" spans="3:3" x14ac:dyDescent="0.25">
      <c r="C164" s="527"/>
    </row>
    <row r="165" spans="3:3" x14ac:dyDescent="0.25">
      <c r="C165" s="527"/>
    </row>
  </sheetData>
  <mergeCells count="2">
    <mergeCell ref="T65:T69"/>
    <mergeCell ref="T53:T57"/>
  </mergeCells>
  <pageMargins left="0.31496062992125984" right="0.31496062992125984" top="0.39370078740157483" bottom="0.39370078740157483" header="0.31496062992125984" footer="0.31496062992125984"/>
  <pageSetup paperSize="9" scale="52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0" sqref="E10"/>
    </sheetView>
  </sheetViews>
  <sheetFormatPr defaultColWidth="8.7109375" defaultRowHeight="13.5" x14ac:dyDescent="0.25"/>
  <cols>
    <col min="1" max="1" width="45" style="446" customWidth="1"/>
    <col min="2" max="2" width="5.28515625" style="446" bestFit="1" customWidth="1"/>
    <col min="3" max="3" width="12.85546875" style="527" bestFit="1" customWidth="1"/>
    <col min="4" max="4" width="11.7109375" style="527" bestFit="1" customWidth="1"/>
    <col min="5" max="5" width="12.85546875" style="656" bestFit="1" customWidth="1"/>
    <col min="6" max="6" width="11.7109375" style="527" bestFit="1" customWidth="1"/>
    <col min="7" max="7" width="12.85546875" style="656" bestFit="1" customWidth="1"/>
    <col min="8" max="8" width="11.7109375" style="527" bestFit="1" customWidth="1"/>
    <col min="9" max="9" width="12.85546875" style="656" bestFit="1" customWidth="1"/>
    <col min="10" max="10" width="8.7109375" style="527"/>
    <col min="11" max="16384" width="8.7109375" style="446"/>
  </cols>
  <sheetData>
    <row r="1" spans="1:10" ht="14.25" thickBot="1" x14ac:dyDescent="0.3"/>
    <row r="2" spans="1:10" s="526" customFormat="1" x14ac:dyDescent="0.25">
      <c r="C2" s="2114">
        <v>2020</v>
      </c>
      <c r="D2" s="2223" t="s">
        <v>1875</v>
      </c>
      <c r="E2" s="2224"/>
      <c r="F2" s="2225" t="s">
        <v>1876</v>
      </c>
      <c r="G2" s="2226"/>
      <c r="H2" s="2223" t="s">
        <v>1882</v>
      </c>
      <c r="I2" s="2227"/>
      <c r="J2" s="726"/>
    </row>
    <row r="3" spans="1:10" ht="14.25" thickBot="1" x14ac:dyDescent="0.3">
      <c r="C3" s="2098"/>
      <c r="D3" s="2099" t="s">
        <v>1877</v>
      </c>
      <c r="E3" s="2100" t="s">
        <v>5</v>
      </c>
      <c r="F3" s="2101" t="s">
        <v>1877</v>
      </c>
      <c r="G3" s="2102" t="s">
        <v>5</v>
      </c>
      <c r="H3" s="2099" t="s">
        <v>1877</v>
      </c>
      <c r="I3" s="2102" t="s">
        <v>5</v>
      </c>
    </row>
    <row r="4" spans="1:10" x14ac:dyDescent="0.25">
      <c r="A4" s="2127" t="s">
        <v>1881</v>
      </c>
      <c r="B4" s="2095">
        <v>1111</v>
      </c>
      <c r="C4" s="2103">
        <f>26454054+966490</f>
        <v>27420544</v>
      </c>
      <c r="D4" s="1474">
        <f>21863903+804307</f>
        <v>22668210</v>
      </c>
      <c r="E4" s="2104">
        <f>+D4-C4</f>
        <v>-4752334</v>
      </c>
      <c r="F4" s="1473">
        <f>21163243+773192</f>
        <v>21936435</v>
      </c>
      <c r="G4" s="2105">
        <f>+F4-C4</f>
        <v>-5484109</v>
      </c>
      <c r="H4" s="1474">
        <f>+C4/1.2</f>
        <v>22850453.333333336</v>
      </c>
      <c r="I4" s="2105">
        <f>+H4-C4</f>
        <v>-4570090.6666666642</v>
      </c>
    </row>
    <row r="5" spans="1:10" x14ac:dyDescent="0.25">
      <c r="A5" s="2130" t="s">
        <v>1880</v>
      </c>
      <c r="B5" s="2096">
        <v>1112</v>
      </c>
      <c r="C5" s="2106">
        <v>525261</v>
      </c>
      <c r="D5" s="1440">
        <v>47751</v>
      </c>
      <c r="E5" s="2107">
        <f t="shared" ref="E5:E8" si="0">+D5-C5</f>
        <v>-477510</v>
      </c>
      <c r="F5" s="1439">
        <v>420209</v>
      </c>
      <c r="G5" s="1445">
        <f t="shared" ref="G5:G8" si="1">+F5-C5</f>
        <v>-105052</v>
      </c>
      <c r="H5" s="1440">
        <f t="shared" ref="H5:H8" si="2">+C5/1.2</f>
        <v>437717.5</v>
      </c>
      <c r="I5" s="1445">
        <f t="shared" ref="I5:I8" si="3">+H5-C5</f>
        <v>-87543.5</v>
      </c>
    </row>
    <row r="6" spans="1:10" x14ac:dyDescent="0.25">
      <c r="A6" s="2128" t="s">
        <v>1878</v>
      </c>
      <c r="B6" s="2096">
        <v>1121</v>
      </c>
      <c r="C6" s="2106">
        <v>21296946</v>
      </c>
      <c r="D6" s="1440">
        <v>14993814</v>
      </c>
      <c r="E6" s="2107">
        <f t="shared" si="0"/>
        <v>-6303132</v>
      </c>
      <c r="F6" s="1439">
        <v>17037557</v>
      </c>
      <c r="G6" s="1445">
        <f t="shared" si="1"/>
        <v>-4259389</v>
      </c>
      <c r="H6" s="1440">
        <f t="shared" si="2"/>
        <v>17747455</v>
      </c>
      <c r="I6" s="1445">
        <f t="shared" si="3"/>
        <v>-3549491</v>
      </c>
    </row>
    <row r="7" spans="1:10" x14ac:dyDescent="0.25">
      <c r="A7" s="2130" t="s">
        <v>1879</v>
      </c>
      <c r="B7" s="2096">
        <v>1113</v>
      </c>
      <c r="C7" s="2106">
        <f>2292048</f>
        <v>2292048</v>
      </c>
      <c r="D7" s="1440">
        <f>1384779</f>
        <v>1384779</v>
      </c>
      <c r="E7" s="2107">
        <f t="shared" si="0"/>
        <v>-907269</v>
      </c>
      <c r="F7" s="1439">
        <f>1833638</f>
        <v>1833638</v>
      </c>
      <c r="G7" s="1445">
        <f t="shared" si="1"/>
        <v>-458410</v>
      </c>
      <c r="H7" s="1440">
        <f t="shared" si="2"/>
        <v>1910040</v>
      </c>
      <c r="I7" s="1445">
        <f t="shared" si="3"/>
        <v>-382008</v>
      </c>
    </row>
    <row r="8" spans="1:10" ht="14.25" thickBot="1" x14ac:dyDescent="0.3">
      <c r="A8" s="2129" t="s">
        <v>16</v>
      </c>
      <c r="B8" s="2097">
        <v>1211</v>
      </c>
      <c r="C8" s="2108">
        <v>53337867</v>
      </c>
      <c r="D8" s="1478">
        <v>48419514</v>
      </c>
      <c r="E8" s="2109">
        <f t="shared" si="0"/>
        <v>-4918353</v>
      </c>
      <c r="F8" s="2110">
        <v>42670294</v>
      </c>
      <c r="G8" s="2111">
        <f t="shared" si="1"/>
        <v>-10667573</v>
      </c>
      <c r="H8" s="1478">
        <f t="shared" si="2"/>
        <v>44448222.5</v>
      </c>
      <c r="I8" s="2111">
        <f t="shared" si="3"/>
        <v>-8889644.5</v>
      </c>
    </row>
    <row r="9" spans="1:10" s="2112" customFormat="1" ht="14.25" thickBot="1" x14ac:dyDescent="0.3">
      <c r="C9" s="2131">
        <f t="shared" ref="C9:I9" si="4">SUM(C4:C8)</f>
        <v>104872666</v>
      </c>
      <c r="D9" s="2132">
        <f t="shared" si="4"/>
        <v>87514068</v>
      </c>
      <c r="E9" s="2133">
        <f t="shared" si="4"/>
        <v>-17358598</v>
      </c>
      <c r="F9" s="2134">
        <f t="shared" si="4"/>
        <v>83898133</v>
      </c>
      <c r="G9" s="2135">
        <f>SUM(G4:G8)</f>
        <v>-20974533</v>
      </c>
      <c r="H9" s="2132">
        <f>SUM(H4:H8)</f>
        <v>87393888.333333343</v>
      </c>
      <c r="I9" s="2135">
        <f t="shared" si="4"/>
        <v>-17478777.666666664</v>
      </c>
      <c r="J9" s="2113"/>
    </row>
    <row r="10" spans="1:10" x14ac:dyDescent="0.25">
      <c r="E10" s="2137">
        <f>+E9/C9</f>
        <v>-0.16552070870402016</v>
      </c>
      <c r="G10" s="2137">
        <f>+G9/C9</f>
        <v>-0.19999999809292537</v>
      </c>
      <c r="H10" s="2137"/>
      <c r="I10" s="2137">
        <f>+I9/C9</f>
        <v>-0.16666666666666663</v>
      </c>
    </row>
  </sheetData>
  <sheetProtection algorithmName="SHA-512" hashValue="43U93yXo6+7Y0h3tJUp7BVzo2K0vuFxazs+BORLXNr64Rxvq65xNsmMgHmseFpbKPxE1ceHNKRZ4p7LIufkQSg==" saltValue="zkmqkm9c9K/R5ZgGmJM19A==" spinCount="100000" sheet="1" objects="1" scenarios="1"/>
  <mergeCells count="3">
    <mergeCell ref="D2:E2"/>
    <mergeCell ref="F2:G2"/>
    <mergeCell ref="H2:I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K61"/>
  <sheetViews>
    <sheetView zoomScale="82" zoomScaleNormal="82" workbookViewId="0">
      <pane xSplit="6" ySplit="5" topLeftCell="BG18" activePane="bottomRight" state="frozen"/>
      <selection pane="topRight" activeCell="G1" sqref="G1"/>
      <selection pane="bottomLeft" activeCell="A6" sqref="A6"/>
      <selection pane="bottomRight" activeCell="G3" sqref="G3:BG3"/>
    </sheetView>
  </sheetViews>
  <sheetFormatPr defaultColWidth="9.140625" defaultRowHeight="13.5" outlineLevelRow="1" outlineLevelCol="1" x14ac:dyDescent="0.25"/>
  <cols>
    <col min="1" max="1" width="7" style="1003" customWidth="1"/>
    <col min="2" max="2" width="8.85546875" style="1003" customWidth="1"/>
    <col min="3" max="3" width="54.28515625" style="1003" customWidth="1"/>
    <col min="4" max="4" width="13.85546875" style="1003" hidden="1" customWidth="1" outlineLevel="1"/>
    <col min="5" max="5" width="12.28515625" style="1003" hidden="1" customWidth="1" outlineLevel="1"/>
    <col min="6" max="6" width="13.7109375" style="1003" hidden="1" customWidth="1" outlineLevel="1"/>
    <col min="7" max="7" width="12.42578125" style="1003" bestFit="1" customWidth="1" collapsed="1"/>
    <col min="8" max="8" width="13.7109375" style="1003" bestFit="1" customWidth="1"/>
    <col min="9" max="9" width="13" style="1003" customWidth="1"/>
    <col min="10" max="10" width="12.85546875" style="1003" bestFit="1" customWidth="1"/>
    <col min="11" max="11" width="13.7109375" style="1003" bestFit="1" customWidth="1"/>
    <col min="12" max="14" width="12.85546875" style="1003" bestFit="1" customWidth="1"/>
    <col min="15" max="15" width="12.42578125" style="1003" bestFit="1" customWidth="1"/>
    <col min="16" max="16" width="12.85546875" style="1003" bestFit="1" customWidth="1"/>
    <col min="17" max="17" width="12.42578125" style="1003" bestFit="1" customWidth="1"/>
    <col min="18" max="19" width="12.85546875" style="1003" bestFit="1" customWidth="1"/>
    <col min="20" max="21" width="13.7109375" style="1003" bestFit="1" customWidth="1"/>
    <col min="22" max="22" width="12.85546875" style="1003" bestFit="1" customWidth="1"/>
    <col min="23" max="53" width="13.7109375" style="1003" bestFit="1" customWidth="1"/>
    <col min="54" max="59" width="15.140625" style="1003" bestFit="1" customWidth="1"/>
    <col min="60" max="60" width="12.85546875" style="1080" customWidth="1"/>
    <col min="61" max="61" width="12.85546875" style="1106" customWidth="1"/>
    <col min="62" max="62" width="12.85546875" style="1080" customWidth="1"/>
    <col min="63" max="63" width="12" style="1106" customWidth="1"/>
    <col min="64" max="16384" width="9.140625" style="1003"/>
  </cols>
  <sheetData>
    <row r="1" spans="1:63" ht="14.25" thickBot="1" x14ac:dyDescent="0.3">
      <c r="A1" s="995" t="s">
        <v>158</v>
      </c>
      <c r="B1" s="752"/>
      <c r="C1" s="995"/>
      <c r="D1" s="996" t="e">
        <f>D2/#REF!</f>
        <v>#VALUE!</v>
      </c>
      <c r="E1" s="997"/>
      <c r="F1" s="997"/>
      <c r="G1" s="998"/>
      <c r="H1" s="998"/>
      <c r="I1" s="998"/>
      <c r="J1" s="999"/>
      <c r="K1" s="1000">
        <v>6478636.2498681201</v>
      </c>
      <c r="L1" s="997"/>
      <c r="M1" s="997"/>
      <c r="N1" s="997"/>
      <c r="O1" s="997"/>
      <c r="P1" s="1001">
        <v>7740474.0226793224</v>
      </c>
      <c r="Q1" s="997"/>
      <c r="R1" s="997"/>
      <c r="S1" s="997"/>
      <c r="T1" s="997"/>
      <c r="U1" s="1001">
        <v>8804283.4942683838</v>
      </c>
      <c r="V1" s="997"/>
      <c r="W1" s="997"/>
      <c r="X1" s="997"/>
      <c r="Y1" s="997"/>
      <c r="Z1" s="1001">
        <v>5705375.0045595877</v>
      </c>
      <c r="AA1" s="997"/>
      <c r="AB1" s="997"/>
      <c r="AC1" s="997"/>
      <c r="AD1" s="997"/>
      <c r="AE1" s="1001">
        <v>6544790.4095548904</v>
      </c>
      <c r="AF1" s="997"/>
      <c r="AG1" s="997"/>
      <c r="AH1" s="997"/>
      <c r="AI1" s="997"/>
      <c r="AJ1" s="1001">
        <v>15229954.263198918</v>
      </c>
      <c r="AK1" s="997"/>
      <c r="AL1" s="997"/>
      <c r="AM1" s="997"/>
      <c r="AN1" s="997"/>
      <c r="AO1" s="1001">
        <v>10196114.3225928</v>
      </c>
      <c r="AP1" s="997"/>
      <c r="AQ1" s="997"/>
      <c r="AR1" s="997"/>
      <c r="AS1" s="997"/>
      <c r="AT1" s="1001">
        <v>7521606.2390548568</v>
      </c>
      <c r="AU1" s="997"/>
      <c r="AV1" s="997"/>
      <c r="AW1" s="997"/>
      <c r="AX1" s="997"/>
      <c r="AY1" s="1001">
        <v>7612990.1356920199</v>
      </c>
      <c r="AZ1" s="997"/>
      <c r="BA1" s="997"/>
      <c r="BB1" s="997"/>
      <c r="BC1" s="997"/>
      <c r="BD1" s="1001">
        <v>8115995.6995058218</v>
      </c>
      <c r="BE1" s="1001">
        <v>7724833.082208259</v>
      </c>
      <c r="BF1" s="1001">
        <v>6176793.076817017</v>
      </c>
      <c r="BG1" s="1001">
        <v>6176793.076817017</v>
      </c>
      <c r="BH1" s="1002"/>
      <c r="BI1" s="998"/>
      <c r="BJ1" s="1002"/>
      <c r="BK1" s="998"/>
    </row>
    <row r="2" spans="1:63" ht="14.25" thickBot="1" x14ac:dyDescent="0.3">
      <c r="A2" s="1004" t="s">
        <v>548</v>
      </c>
      <c r="B2" s="1005"/>
      <c r="C2" s="752"/>
      <c r="D2" s="1006" t="s">
        <v>1318</v>
      </c>
      <c r="E2" s="997"/>
      <c r="F2" s="997"/>
      <c r="G2" s="1881" t="s">
        <v>2033</v>
      </c>
      <c r="H2" s="997"/>
      <c r="I2" s="997"/>
      <c r="J2" s="1002">
        <v>1</v>
      </c>
      <c r="K2" s="1001">
        <f>+J6+H6</f>
        <v>7388292</v>
      </c>
      <c r="L2" s="997"/>
      <c r="M2" s="997"/>
      <c r="N2" s="1002">
        <v>2</v>
      </c>
      <c r="O2" s="997"/>
      <c r="P2" s="1001">
        <f>+O6+M6</f>
        <v>3020</v>
      </c>
      <c r="Q2" s="997"/>
      <c r="R2" s="997"/>
      <c r="S2" s="1002">
        <v>3</v>
      </c>
      <c r="T2" s="997"/>
      <c r="U2" s="1007"/>
      <c r="V2" s="997"/>
      <c r="W2" s="1002">
        <v>4</v>
      </c>
      <c r="X2" s="997"/>
      <c r="Y2" s="997"/>
      <c r="Z2" s="1001">
        <f>+Y6+W6</f>
        <v>5235187.74</v>
      </c>
      <c r="AA2" s="1002">
        <v>5</v>
      </c>
      <c r="AB2" s="997"/>
      <c r="AC2" s="997"/>
      <c r="AD2" s="997"/>
      <c r="AE2" s="1001">
        <f>+AD6+AB6</f>
        <v>0</v>
      </c>
      <c r="AF2" s="1002">
        <v>6</v>
      </c>
      <c r="AG2" s="997"/>
      <c r="AH2" s="997"/>
      <c r="AI2" s="997"/>
      <c r="AJ2" s="1001">
        <f>+AI6+AG6</f>
        <v>0</v>
      </c>
      <c r="AK2" s="997"/>
      <c r="AL2" s="997"/>
      <c r="AM2" s="997"/>
      <c r="AN2" s="997"/>
      <c r="AO2" s="1001">
        <f>+AN6+AL6</f>
        <v>3871522.2340309499</v>
      </c>
      <c r="AP2" s="997"/>
      <c r="AQ2" s="997"/>
      <c r="AR2" s="997"/>
      <c r="AS2" s="997"/>
      <c r="AT2" s="1001">
        <f>+AS6+AQ6</f>
        <v>3446879.3934366601</v>
      </c>
      <c r="AU2" s="997"/>
      <c r="AV2" s="997"/>
      <c r="AW2" s="997"/>
      <c r="AX2" s="997"/>
      <c r="AY2" s="1001">
        <f>+AX6+AV6</f>
        <v>0</v>
      </c>
      <c r="AZ2" s="997"/>
      <c r="BA2" s="997"/>
      <c r="BB2" s="997"/>
      <c r="BC2" s="997"/>
      <c r="BD2" s="1001">
        <f>+BC6+BA6</f>
        <v>1829736.595003552</v>
      </c>
      <c r="BE2" s="997"/>
      <c r="BF2" s="997"/>
      <c r="BG2" s="997"/>
      <c r="BH2" s="1002"/>
      <c r="BI2" s="998"/>
      <c r="BJ2" s="1002"/>
      <c r="BK2" s="998"/>
    </row>
    <row r="3" spans="1:63" s="1879" customFormat="1" ht="19.5" customHeight="1" thickBot="1" x14ac:dyDescent="0.3">
      <c r="A3" s="2228" t="s">
        <v>547</v>
      </c>
      <c r="B3" s="2229"/>
      <c r="C3" s="2230"/>
      <c r="D3" s="1875"/>
      <c r="E3" s="1876"/>
      <c r="F3" s="1876"/>
      <c r="G3" s="2091" t="s">
        <v>1722</v>
      </c>
      <c r="H3" s="2092" t="s">
        <v>1735</v>
      </c>
      <c r="I3" s="2092" t="s">
        <v>1723</v>
      </c>
      <c r="J3" s="2092" t="s">
        <v>1736</v>
      </c>
      <c r="K3" s="2092" t="s">
        <v>1938</v>
      </c>
      <c r="L3" s="2092" t="s">
        <v>1937</v>
      </c>
      <c r="M3" s="2092" t="s">
        <v>1739</v>
      </c>
      <c r="N3" s="2092" t="s">
        <v>1740</v>
      </c>
      <c r="O3" s="2092" t="s">
        <v>1936</v>
      </c>
      <c r="P3" s="2092" t="s">
        <v>1719</v>
      </c>
      <c r="Q3" s="2092" t="s">
        <v>1720</v>
      </c>
      <c r="R3" s="2092" t="s">
        <v>1721</v>
      </c>
      <c r="S3" s="2092" t="s">
        <v>1935</v>
      </c>
      <c r="T3" s="2092" t="s">
        <v>1722</v>
      </c>
      <c r="U3" s="2092" t="s">
        <v>1735</v>
      </c>
      <c r="V3" s="2092" t="s">
        <v>1723</v>
      </c>
      <c r="W3" s="2092" t="s">
        <v>1736</v>
      </c>
      <c r="X3" s="2092" t="s">
        <v>1734</v>
      </c>
      <c r="Y3" s="2092" t="s">
        <v>1934</v>
      </c>
      <c r="Z3" s="2092" t="s">
        <v>1933</v>
      </c>
      <c r="AA3" s="2092" t="s">
        <v>1932</v>
      </c>
      <c r="AB3" s="2092" t="s">
        <v>1931</v>
      </c>
      <c r="AC3" s="2092" t="s">
        <v>1741</v>
      </c>
      <c r="AD3" s="2092" t="s">
        <v>1742</v>
      </c>
      <c r="AE3" s="2092" t="s">
        <v>1743</v>
      </c>
      <c r="AF3" s="2092" t="s">
        <v>1930</v>
      </c>
      <c r="AG3" s="1887" t="s">
        <v>1730</v>
      </c>
      <c r="AH3" s="1887" t="s">
        <v>1731</v>
      </c>
      <c r="AI3" s="1887" t="s">
        <v>1939</v>
      </c>
      <c r="AJ3" s="1887" t="s">
        <v>1736</v>
      </c>
      <c r="AK3" s="1887" t="s">
        <v>1737</v>
      </c>
      <c r="AL3" s="1887" t="s">
        <v>1738</v>
      </c>
      <c r="AM3" s="1887" t="s">
        <v>1739</v>
      </c>
      <c r="AN3" s="1887" t="s">
        <v>1740</v>
      </c>
      <c r="AO3" s="1887" t="s">
        <v>1744</v>
      </c>
      <c r="AP3" s="1887" t="s">
        <v>1730</v>
      </c>
      <c r="AQ3" s="1887" t="s">
        <v>1731</v>
      </c>
      <c r="AR3" s="1887" t="s">
        <v>1732</v>
      </c>
      <c r="AS3" s="1887" t="s">
        <v>1921</v>
      </c>
      <c r="AT3" s="1887" t="s">
        <v>1724</v>
      </c>
      <c r="AU3" s="1887" t="s">
        <v>1725</v>
      </c>
      <c r="AV3" s="1887" t="s">
        <v>1726</v>
      </c>
      <c r="AW3" s="1887" t="s">
        <v>1727</v>
      </c>
      <c r="AX3" s="1887" t="s">
        <v>1728</v>
      </c>
      <c r="AY3" s="1887" t="s">
        <v>1719</v>
      </c>
      <c r="AZ3" s="1887" t="s">
        <v>1720</v>
      </c>
      <c r="BA3" s="1887" t="s">
        <v>1721</v>
      </c>
      <c r="BB3" s="1887" t="s">
        <v>1729</v>
      </c>
      <c r="BC3" s="1887" t="s">
        <v>1730</v>
      </c>
      <c r="BD3" s="1887" t="s">
        <v>1731</v>
      </c>
      <c r="BE3" s="1887" t="s">
        <v>1732</v>
      </c>
      <c r="BF3" s="1887" t="s">
        <v>1733</v>
      </c>
      <c r="BG3" s="1888" t="s">
        <v>1734</v>
      </c>
      <c r="BH3" s="1877"/>
      <c r="BI3" s="1878"/>
      <c r="BJ3" s="1877"/>
      <c r="BK3" s="1878"/>
    </row>
    <row r="4" spans="1:63" ht="19.5" customHeight="1" thickBot="1" x14ac:dyDescent="0.3">
      <c r="A4" s="2231"/>
      <c r="B4" s="2232"/>
      <c r="C4" s="2233"/>
      <c r="D4" s="1008" t="s">
        <v>1000</v>
      </c>
      <c r="E4" s="1009" t="s">
        <v>1001</v>
      </c>
      <c r="F4" s="1010" t="s">
        <v>1002</v>
      </c>
      <c r="G4" s="1882" t="s">
        <v>422</v>
      </c>
      <c r="H4" s="1880" t="s">
        <v>423</v>
      </c>
      <c r="I4" s="1883" t="s">
        <v>424</v>
      </c>
      <c r="J4" s="1884" t="s">
        <v>425</v>
      </c>
      <c r="K4" s="1883" t="s">
        <v>1003</v>
      </c>
      <c r="L4" s="1884" t="s">
        <v>1004</v>
      </c>
      <c r="M4" s="1880" t="s">
        <v>1005</v>
      </c>
      <c r="N4" s="1883" t="s">
        <v>1006</v>
      </c>
      <c r="O4" s="1884" t="s">
        <v>1007</v>
      </c>
      <c r="P4" s="1883" t="s">
        <v>1008</v>
      </c>
      <c r="Q4" s="1884" t="s">
        <v>1009</v>
      </c>
      <c r="R4" s="1880" t="s">
        <v>1010</v>
      </c>
      <c r="S4" s="1883" t="s">
        <v>1011</v>
      </c>
      <c r="T4" s="1884" t="s">
        <v>1012</v>
      </c>
      <c r="U4" s="1883" t="s">
        <v>1013</v>
      </c>
      <c r="V4" s="1884" t="s">
        <v>1014</v>
      </c>
      <c r="W4" s="1880" t="s">
        <v>1015</v>
      </c>
      <c r="X4" s="1883" t="s">
        <v>1016</v>
      </c>
      <c r="Y4" s="1884" t="s">
        <v>1017</v>
      </c>
      <c r="Z4" s="1883" t="s">
        <v>1018</v>
      </c>
      <c r="AA4" s="1884" t="s">
        <v>1019</v>
      </c>
      <c r="AB4" s="1880" t="s">
        <v>1020</v>
      </c>
      <c r="AC4" s="1883" t="s">
        <v>1021</v>
      </c>
      <c r="AD4" s="1884" t="s">
        <v>1022</v>
      </c>
      <c r="AE4" s="1883" t="s">
        <v>1023</v>
      </c>
      <c r="AF4" s="1884" t="s">
        <v>1024</v>
      </c>
      <c r="AG4" s="1880" t="s">
        <v>1025</v>
      </c>
      <c r="AH4" s="1883" t="s">
        <v>1026</v>
      </c>
      <c r="AI4" s="1884" t="s">
        <v>1027</v>
      </c>
      <c r="AJ4" s="1883" t="s">
        <v>1028</v>
      </c>
      <c r="AK4" s="1884" t="s">
        <v>1029</v>
      </c>
      <c r="AL4" s="1883" t="s">
        <v>1030</v>
      </c>
      <c r="AM4" s="1884" t="s">
        <v>1031</v>
      </c>
      <c r="AN4" s="1880" t="s">
        <v>1032</v>
      </c>
      <c r="AO4" s="1883" t="s">
        <v>1033</v>
      </c>
      <c r="AP4" s="1884" t="s">
        <v>1034</v>
      </c>
      <c r="AQ4" s="1883" t="s">
        <v>1035</v>
      </c>
      <c r="AR4" s="1884" t="s">
        <v>1036</v>
      </c>
      <c r="AS4" s="1880" t="s">
        <v>1037</v>
      </c>
      <c r="AT4" s="1883" t="s">
        <v>1038</v>
      </c>
      <c r="AU4" s="1884" t="s">
        <v>1039</v>
      </c>
      <c r="AV4" s="1883" t="s">
        <v>1040</v>
      </c>
      <c r="AW4" s="1884" t="s">
        <v>1041</v>
      </c>
      <c r="AX4" s="1880" t="s">
        <v>1042</v>
      </c>
      <c r="AY4" s="1884" t="s">
        <v>1043</v>
      </c>
      <c r="AZ4" s="1885" t="s">
        <v>1044</v>
      </c>
      <c r="BA4" s="1883" t="s">
        <v>1045</v>
      </c>
      <c r="BB4" s="1884" t="s">
        <v>1046</v>
      </c>
      <c r="BC4" s="1880" t="s">
        <v>1047</v>
      </c>
      <c r="BD4" s="1883" t="s">
        <v>1000</v>
      </c>
      <c r="BE4" s="1884" t="s">
        <v>1001</v>
      </c>
      <c r="BF4" s="1886" t="s">
        <v>1002</v>
      </c>
      <c r="BG4" s="1886" t="s">
        <v>422</v>
      </c>
      <c r="BH4" s="1007"/>
      <c r="BI4" s="998"/>
      <c r="BJ4" s="1007"/>
      <c r="BK4" s="998"/>
    </row>
    <row r="5" spans="1:63" s="1020" customFormat="1" ht="15.75" customHeight="1" thickBot="1" x14ac:dyDescent="0.3">
      <c r="A5" s="2234" t="s">
        <v>153</v>
      </c>
      <c r="B5" s="2235"/>
      <c r="C5" s="2236"/>
      <c r="D5" s="1011"/>
      <c r="E5" s="1012"/>
      <c r="F5" s="1013"/>
      <c r="G5" s="1014">
        <v>5441791.6066666702</v>
      </c>
      <c r="H5" s="1015">
        <v>2969718</v>
      </c>
      <c r="I5" s="1013">
        <f t="shared" ref="I5:BG5" si="0">+H56</f>
        <v>6663029.0807985468</v>
      </c>
      <c r="J5" s="1012">
        <v>5649310</v>
      </c>
      <c r="K5" s="1016">
        <f t="shared" si="0"/>
        <v>8137795.1628183797</v>
      </c>
      <c r="L5" s="1012">
        <f t="shared" si="0"/>
        <v>6220312.2178053008</v>
      </c>
      <c r="M5" s="1015">
        <f t="shared" si="0"/>
        <v>12735571.884471966</v>
      </c>
      <c r="N5" s="1013">
        <f t="shared" si="0"/>
        <v>2317876.8344719661</v>
      </c>
      <c r="O5" s="1012">
        <f t="shared" si="0"/>
        <v>3895300.5011386327</v>
      </c>
      <c r="P5" s="1016">
        <f t="shared" si="0"/>
        <v>1287621.7865923354</v>
      </c>
      <c r="Q5" s="1012">
        <f t="shared" si="0"/>
        <v>3574009.7865923354</v>
      </c>
      <c r="R5" s="1015">
        <f t="shared" si="0"/>
        <v>982381.8665923354</v>
      </c>
      <c r="S5" s="1013">
        <f t="shared" si="0"/>
        <v>-711380.13340766449</v>
      </c>
      <c r="T5" s="1012">
        <f t="shared" si="0"/>
        <v>1942403.8665923355</v>
      </c>
      <c r="U5" s="1016">
        <f t="shared" si="0"/>
        <v>2191188.9473908818</v>
      </c>
      <c r="V5" s="1012">
        <f t="shared" si="0"/>
        <v>2176332.3973908825</v>
      </c>
      <c r="W5" s="1015">
        <f t="shared" si="0"/>
        <v>742036.70871270529</v>
      </c>
      <c r="X5" s="1013">
        <f t="shared" si="0"/>
        <v>454275.70871270541</v>
      </c>
      <c r="Y5" s="1012">
        <f t="shared" si="0"/>
        <v>568474.20871270541</v>
      </c>
      <c r="Z5" s="1016">
        <f t="shared" si="0"/>
        <v>3868801.9487127056</v>
      </c>
      <c r="AA5" s="1012">
        <f t="shared" si="0"/>
        <v>8767711.4587127045</v>
      </c>
      <c r="AB5" s="1015">
        <f t="shared" si="0"/>
        <v>3764473.978712705</v>
      </c>
      <c r="AC5" s="1013">
        <f t="shared" si="0"/>
        <v>6759111.6287127044</v>
      </c>
      <c r="AD5" s="1012">
        <f t="shared" si="0"/>
        <v>5923585.6287127044</v>
      </c>
      <c r="AE5" s="1016">
        <f t="shared" si="0"/>
        <v>4315986.6287127044</v>
      </c>
      <c r="AF5" s="1012">
        <f t="shared" si="0"/>
        <v>5948435.6587127037</v>
      </c>
      <c r="AG5" s="1015">
        <f t="shared" si="0"/>
        <v>3792835.6587127037</v>
      </c>
      <c r="AH5" s="1013">
        <f t="shared" si="0"/>
        <v>3683198.1573579097</v>
      </c>
      <c r="AI5" s="1012">
        <f t="shared" si="0"/>
        <v>3975527.2978329211</v>
      </c>
      <c r="AJ5" s="1016">
        <f t="shared" si="0"/>
        <v>659996.94669349585</v>
      </c>
      <c r="AK5" s="1012">
        <f t="shared" si="0"/>
        <v>-858659.08877966669</v>
      </c>
      <c r="AL5" s="1016">
        <f t="shared" si="0"/>
        <v>-1331666.4705204826</v>
      </c>
      <c r="AM5" s="1012">
        <f t="shared" si="0"/>
        <v>1164068.5726578468</v>
      </c>
      <c r="AN5" s="1015">
        <f t="shared" si="0"/>
        <v>387861.4547016148</v>
      </c>
      <c r="AO5" s="1013">
        <f t="shared" si="0"/>
        <v>-1152906.8327528224</v>
      </c>
      <c r="AP5" s="1012">
        <f t="shared" si="0"/>
        <v>-2045061.086673636</v>
      </c>
      <c r="AQ5" s="1016">
        <f t="shared" si="0"/>
        <v>2038504.7546172438</v>
      </c>
      <c r="AR5" s="1012">
        <f t="shared" si="0"/>
        <v>-2459093.7131933072</v>
      </c>
      <c r="AS5" s="1015">
        <f t="shared" si="0"/>
        <v>-2636939.652761925</v>
      </c>
      <c r="AT5" s="1013">
        <f t="shared" si="0"/>
        <v>-1695783.952966196</v>
      </c>
      <c r="AU5" s="1012">
        <f t="shared" si="0"/>
        <v>-1650446.7359405681</v>
      </c>
      <c r="AV5" s="1016">
        <f t="shared" si="0"/>
        <v>-2158696.3798728641</v>
      </c>
      <c r="AW5" s="1012">
        <f t="shared" si="0"/>
        <v>-1993479.3489748926</v>
      </c>
      <c r="AX5" s="1015">
        <f t="shared" si="0"/>
        <v>785492.30097109091</v>
      </c>
      <c r="AY5" s="1015">
        <f t="shared" si="0"/>
        <v>-2260493.1928960225</v>
      </c>
      <c r="AZ5" s="1015">
        <f t="shared" si="0"/>
        <v>606272.01254363172</v>
      </c>
      <c r="BA5" s="1016">
        <f t="shared" si="0"/>
        <v>-2180345.0900663803</v>
      </c>
      <c r="BB5" s="1012">
        <f t="shared" si="0"/>
        <v>-1416219.3052340574</v>
      </c>
      <c r="BC5" s="1015">
        <f t="shared" si="0"/>
        <v>1224262.590963189</v>
      </c>
      <c r="BD5" s="1013">
        <f t="shared" si="0"/>
        <v>623958.93682728778</v>
      </c>
      <c r="BE5" s="1012">
        <f t="shared" si="0"/>
        <v>-1739633.6651457301</v>
      </c>
      <c r="BF5" s="1017">
        <f t="shared" si="0"/>
        <v>-1566486.6578842914</v>
      </c>
      <c r="BG5" s="1017">
        <f t="shared" si="0"/>
        <v>1496568.0721135503</v>
      </c>
      <c r="BH5" s="1018" t="s">
        <v>1106</v>
      </c>
      <c r="BI5" s="1019" t="s">
        <v>1067</v>
      </c>
      <c r="BJ5" s="1018" t="s">
        <v>883</v>
      </c>
      <c r="BK5" s="998"/>
    </row>
    <row r="6" spans="1:63" s="1033" customFormat="1" x14ac:dyDescent="0.25">
      <c r="A6" s="2239" t="s">
        <v>545</v>
      </c>
      <c r="B6" s="1021"/>
      <c r="C6" s="1022" t="s">
        <v>1048</v>
      </c>
      <c r="D6" s="1789"/>
      <c r="E6" s="1023"/>
      <c r="F6" s="1024"/>
      <c r="G6" s="1025">
        <v>0</v>
      </c>
      <c r="H6" s="1874">
        <v>5394580</v>
      </c>
      <c r="I6" s="1027">
        <v>0</v>
      </c>
      <c r="J6" s="1889">
        <v>1993712</v>
      </c>
      <c r="K6" s="1029">
        <v>0</v>
      </c>
      <c r="L6" s="1889">
        <v>6217905</v>
      </c>
      <c r="M6" s="1026">
        <v>0</v>
      </c>
      <c r="N6" s="1902">
        <v>1760943</v>
      </c>
      <c r="O6" s="1889">
        <v>3020</v>
      </c>
      <c r="P6" s="1029">
        <v>3556860</v>
      </c>
      <c r="Q6" s="1889">
        <v>0</v>
      </c>
      <c r="R6" s="1026">
        <v>0</v>
      </c>
      <c r="S6" s="1902">
        <v>5312701</v>
      </c>
      <c r="T6" s="1028">
        <v>0</v>
      </c>
      <c r="U6" s="1909">
        <v>3915123</v>
      </c>
      <c r="V6" s="1028">
        <v>0</v>
      </c>
      <c r="W6" s="1026">
        <v>1342884</v>
      </c>
      <c r="X6" s="1027" t="s">
        <v>1873</v>
      </c>
      <c r="Y6" s="1028">
        <v>3892303.7399999998</v>
      </c>
      <c r="Z6" s="1029"/>
      <c r="AA6" s="1028">
        <v>670365</v>
      </c>
      <c r="AB6" s="1028">
        <v>0</v>
      </c>
      <c r="AC6" s="1028">
        <v>2946242</v>
      </c>
      <c r="AD6" s="1028"/>
      <c r="AE6" s="1028">
        <v>2911366</v>
      </c>
      <c r="AF6" s="1028"/>
      <c r="AG6" s="1028">
        <v>0</v>
      </c>
      <c r="AH6" s="1028">
        <v>3720785.4627806582</v>
      </c>
      <c r="AI6" s="1028">
        <v>0</v>
      </c>
      <c r="AJ6" s="1028">
        <v>750000</v>
      </c>
      <c r="AK6" s="1028"/>
      <c r="AL6" s="1028">
        <v>3871522.2340309499</v>
      </c>
      <c r="AM6" s="1028">
        <v>0</v>
      </c>
      <c r="AN6" s="1028">
        <v>0</v>
      </c>
      <c r="AO6" s="1028">
        <v>2500000</v>
      </c>
      <c r="AP6" s="1028">
        <v>4185522.4484677901</v>
      </c>
      <c r="AQ6" s="1028">
        <v>0</v>
      </c>
      <c r="AR6" s="1028">
        <v>0</v>
      </c>
      <c r="AS6" s="1028">
        <v>3446879.3934366601</v>
      </c>
      <c r="AT6" s="1028">
        <v>0</v>
      </c>
      <c r="AU6" s="1028">
        <v>4057409.9707199801</v>
      </c>
      <c r="AV6" s="1028">
        <v>0</v>
      </c>
      <c r="AW6" s="1028">
        <v>4973577.8151470404</v>
      </c>
      <c r="AX6" s="1028">
        <v>0</v>
      </c>
      <c r="AY6" s="1028">
        <v>4952011.60780905</v>
      </c>
      <c r="AZ6" s="1028">
        <v>0</v>
      </c>
      <c r="BA6" s="1028">
        <v>1829736.595003552</v>
      </c>
      <c r="BB6" s="1028">
        <v>2654295.2099167798</v>
      </c>
      <c r="BC6" s="1028">
        <v>0</v>
      </c>
      <c r="BD6" s="1028">
        <v>0</v>
      </c>
      <c r="BE6" s="1028">
        <v>0</v>
      </c>
      <c r="BF6" s="1030">
        <f>2888106.12594139+752894</f>
        <v>3641000.1259413902</v>
      </c>
      <c r="BG6" s="1030"/>
      <c r="BH6" s="1007">
        <f>SUM(G6:BG6)</f>
        <v>80500745.603253841</v>
      </c>
      <c r="BI6" s="1041">
        <f>+'Souhrn příjmů a výdajů 2021'!I7+'Souhrn příjmů a výdajů 2021'!I8+'Souhrn příjmů a výdajů 2021'!I9+'Souhrn příjmů a výdajů 2021'!I11+'Souhrn příjmů a výdajů 2021'!I12</f>
        <v>84793218</v>
      </c>
      <c r="BJ6" s="1031">
        <f>+BI6-BH6</f>
        <v>4292472.3967461586</v>
      </c>
      <c r="BK6" s="1032"/>
    </row>
    <row r="7" spans="1:63" x14ac:dyDescent="0.25">
      <c r="A7" s="2240"/>
      <c r="B7" s="1034"/>
      <c r="C7" s="1035" t="s">
        <v>1718</v>
      </c>
      <c r="D7" s="1034"/>
      <c r="E7" s="1036"/>
      <c r="F7" s="1037"/>
      <c r="G7" s="1038">
        <v>0</v>
      </c>
      <c r="H7" s="1039">
        <v>0</v>
      </c>
      <c r="I7" s="1037">
        <v>0</v>
      </c>
      <c r="J7" s="1036">
        <v>0</v>
      </c>
      <c r="K7" s="1040">
        <v>0</v>
      </c>
      <c r="L7" s="1036">
        <v>0</v>
      </c>
      <c r="M7" s="1039">
        <v>30400</v>
      </c>
      <c r="N7" s="1037">
        <v>34232</v>
      </c>
      <c r="O7" s="1036">
        <v>59775</v>
      </c>
      <c r="P7" s="1040">
        <v>35877</v>
      </c>
      <c r="Q7" s="1036">
        <v>28017</v>
      </c>
      <c r="R7" s="1039">
        <v>4451</v>
      </c>
      <c r="S7" s="1037">
        <v>24572</v>
      </c>
      <c r="T7" s="1036">
        <f>34880+17870</f>
        <v>52750</v>
      </c>
      <c r="U7" s="1040">
        <v>67302</v>
      </c>
      <c r="V7" s="1036">
        <v>130710</v>
      </c>
      <c r="W7" s="1039">
        <v>104795</v>
      </c>
      <c r="X7" s="1037">
        <v>693627.33</v>
      </c>
      <c r="Y7" s="1036">
        <v>2339037</v>
      </c>
      <c r="Z7" s="1040">
        <v>1292194.1399999999</v>
      </c>
      <c r="AA7" s="1036">
        <v>628502</v>
      </c>
      <c r="AB7" s="1036">
        <f>136079+4500353.1</f>
        <v>4636432.0999999996</v>
      </c>
      <c r="AC7" s="1037">
        <v>549170</v>
      </c>
      <c r="AD7" s="1036">
        <v>750214</v>
      </c>
      <c r="AE7" s="1036">
        <v>92490</v>
      </c>
      <c r="AF7" s="1036">
        <f>143657+213675</f>
        <v>357332</v>
      </c>
      <c r="AG7" s="1036">
        <v>154200</v>
      </c>
      <c r="AH7" s="1036">
        <v>125000</v>
      </c>
      <c r="AI7" s="1036">
        <v>115000</v>
      </c>
      <c r="AJ7" s="1036">
        <v>58400</v>
      </c>
      <c r="AK7" s="1036">
        <v>65400</v>
      </c>
      <c r="AL7" s="1036">
        <v>0</v>
      </c>
      <c r="AM7" s="1036">
        <v>0</v>
      </c>
      <c r="AN7" s="1036">
        <v>0</v>
      </c>
      <c r="AO7" s="1036">
        <v>0</v>
      </c>
      <c r="AP7" s="1036">
        <v>0</v>
      </c>
      <c r="AQ7" s="1036">
        <v>985000</v>
      </c>
      <c r="AR7" s="1036">
        <v>1005000</v>
      </c>
      <c r="AS7" s="1036">
        <v>0</v>
      </c>
      <c r="AT7" s="1036">
        <v>154000</v>
      </c>
      <c r="AU7" s="1036">
        <v>0</v>
      </c>
      <c r="AV7" s="1036">
        <v>690000</v>
      </c>
      <c r="AW7" s="1036">
        <v>100236.36627429695</v>
      </c>
      <c r="AX7" s="1036">
        <v>584000</v>
      </c>
      <c r="AY7" s="1036">
        <v>0</v>
      </c>
      <c r="AZ7" s="1036">
        <v>654000</v>
      </c>
      <c r="BA7" s="1036">
        <v>0</v>
      </c>
      <c r="BB7" s="1036">
        <v>2687063.9608766502</v>
      </c>
      <c r="BC7" s="1036">
        <v>0</v>
      </c>
      <c r="BD7" s="1036">
        <v>2258428.4742129599</v>
      </c>
      <c r="BE7" s="1036">
        <v>0</v>
      </c>
      <c r="BF7" s="1035">
        <f>2355943.86112519-4690-254853</f>
        <v>2096400.8611251898</v>
      </c>
      <c r="BG7" s="1035">
        <v>842603</v>
      </c>
      <c r="BH7" s="1007">
        <f t="shared" ref="BH7:BH54" si="1">SUM(G7:BG7)</f>
        <v>24486612.232489098</v>
      </c>
      <c r="BI7" s="1041">
        <f>'Souhrn příjmů a výdajů 2021'!I6-'Souhrn příjmů a výdajů 2021'!I7-'Souhrn příjmů a výdajů 2021'!I8-'Souhrn příjmů a výdajů 2021'!I9-'Souhrn příjmů a výdajů 2021'!I11-'Souhrn příjmů a výdajů 2021'!I12</f>
        <v>19061379</v>
      </c>
      <c r="BJ7" s="1007">
        <f t="shared" ref="BJ7:BJ54" si="2">+BI7-BH7</f>
        <v>-5425233.2324890979</v>
      </c>
      <c r="BK7" s="1041"/>
    </row>
    <row r="8" spans="1:63" x14ac:dyDescent="0.25">
      <c r="A8" s="2240"/>
      <c r="B8" s="1034"/>
      <c r="C8" s="1035" t="s">
        <v>262</v>
      </c>
      <c r="D8" s="1042"/>
      <c r="E8" s="1043"/>
      <c r="F8" s="1044"/>
      <c r="G8" s="1892">
        <v>62761</v>
      </c>
      <c r="H8" s="1890">
        <v>282467</v>
      </c>
      <c r="I8" s="1891">
        <v>222667</v>
      </c>
      <c r="J8" s="1895">
        <v>1110717</v>
      </c>
      <c r="K8" s="1047">
        <v>57785.160744354689</v>
      </c>
      <c r="L8" s="1043">
        <v>170771</v>
      </c>
      <c r="M8" s="1046">
        <v>257225</v>
      </c>
      <c r="N8" s="1044">
        <v>1121129</v>
      </c>
      <c r="O8" s="1043">
        <v>140146</v>
      </c>
      <c r="P8" s="1047">
        <v>168957</v>
      </c>
      <c r="Q8" s="1043">
        <v>174699</v>
      </c>
      <c r="R8" s="1046">
        <f>176503</f>
        <v>176503</v>
      </c>
      <c r="S8" s="1044">
        <v>1000662</v>
      </c>
      <c r="T8" s="1043">
        <v>35363</v>
      </c>
      <c r="U8" s="1047">
        <v>207251</v>
      </c>
      <c r="V8" s="1043">
        <v>247710</v>
      </c>
      <c r="W8" s="1046">
        <v>180629</v>
      </c>
      <c r="X8" s="1044">
        <v>125318</v>
      </c>
      <c r="Y8" s="1043">
        <v>157538</v>
      </c>
      <c r="Z8" s="1047">
        <v>239813</v>
      </c>
      <c r="AA8" s="1043">
        <v>1065445.83</v>
      </c>
      <c r="AB8" s="1043">
        <f>69.52+54911</f>
        <v>54980.52</v>
      </c>
      <c r="AC8" s="1044">
        <v>569616</v>
      </c>
      <c r="AD8" s="1043">
        <v>267114</v>
      </c>
      <c r="AE8" s="1043">
        <v>1186390</v>
      </c>
      <c r="AF8" s="1043">
        <f>95464+50823</f>
        <v>146287</v>
      </c>
      <c r="AG8" s="1043">
        <v>231040.17310195006</v>
      </c>
      <c r="AH8" s="1043">
        <v>1055285.3369855196</v>
      </c>
      <c r="AI8" s="1043">
        <v>162241.22258801313</v>
      </c>
      <c r="AJ8" s="1043">
        <v>0</v>
      </c>
      <c r="AK8" s="1043">
        <v>1027032.1504260839</v>
      </c>
      <c r="AL8" s="1043">
        <v>1500000</v>
      </c>
      <c r="AM8" s="1043">
        <v>1895428.536689966</v>
      </c>
      <c r="AN8" s="1043">
        <v>878421.34094332473</v>
      </c>
      <c r="AO8" s="1043">
        <v>0</v>
      </c>
      <c r="AP8" s="1043">
        <v>342708.47376927629</v>
      </c>
      <c r="AQ8" s="1043">
        <v>0</v>
      </c>
      <c r="AR8" s="1043">
        <v>0</v>
      </c>
      <c r="AS8" s="1043">
        <v>0</v>
      </c>
      <c r="AT8" s="1043">
        <v>338424.84368405148</v>
      </c>
      <c r="AU8" s="1043">
        <v>0</v>
      </c>
      <c r="AV8" s="1043">
        <v>804664.1139435377</v>
      </c>
      <c r="AW8" s="1043">
        <v>0</v>
      </c>
      <c r="AX8" s="1043">
        <v>0</v>
      </c>
      <c r="AY8" s="1043">
        <v>352525.87883755361</v>
      </c>
      <c r="AZ8" s="1043">
        <v>542069</v>
      </c>
      <c r="BA8" s="1043">
        <v>0</v>
      </c>
      <c r="BB8" s="1043">
        <v>0</v>
      </c>
      <c r="BC8" s="1043">
        <v>0</v>
      </c>
      <c r="BD8" s="1043">
        <v>265017.93927635916</v>
      </c>
      <c r="BE8" s="1043">
        <v>961905</v>
      </c>
      <c r="BF8" s="1048">
        <f>500000+33307</f>
        <v>533307</v>
      </c>
      <c r="BG8" s="1048"/>
      <c r="BH8" s="1007">
        <f t="shared" si="1"/>
        <v>20320015.520989988</v>
      </c>
      <c r="BI8" s="1041">
        <f>'Souhrn příjmů a výdajů 2021'!I27</f>
        <v>24482205</v>
      </c>
      <c r="BJ8" s="1007">
        <f t="shared" si="2"/>
        <v>4162189.479010012</v>
      </c>
      <c r="BK8" s="998"/>
    </row>
    <row r="9" spans="1:63" x14ac:dyDescent="0.25">
      <c r="A9" s="2240"/>
      <c r="B9" s="1034"/>
      <c r="C9" s="1035" t="s">
        <v>1716</v>
      </c>
      <c r="D9" s="1042"/>
      <c r="E9" s="1043"/>
      <c r="F9" s="1044"/>
      <c r="G9" s="1892">
        <v>192579.39333332982</v>
      </c>
      <c r="H9" s="1890">
        <f>67000+432944</f>
        <v>499944</v>
      </c>
      <c r="I9" s="1891">
        <v>123200</v>
      </c>
      <c r="J9" s="1895">
        <v>3534665</v>
      </c>
      <c r="K9" s="1047"/>
      <c r="L9" s="1043">
        <v>726767</v>
      </c>
      <c r="M9" s="1046">
        <v>24400</v>
      </c>
      <c r="N9" s="1044">
        <v>0</v>
      </c>
      <c r="O9" s="1043">
        <v>15000</v>
      </c>
      <c r="P9" s="1903">
        <v>1742587</v>
      </c>
      <c r="Q9" s="1043">
        <v>150000</v>
      </c>
      <c r="R9" s="1046">
        <v>0</v>
      </c>
      <c r="S9" s="1044">
        <v>0</v>
      </c>
      <c r="T9" s="1095">
        <v>2613580</v>
      </c>
      <c r="U9" s="1047">
        <v>741767</v>
      </c>
      <c r="V9" s="1043">
        <v>162970</v>
      </c>
      <c r="W9" s="1046">
        <v>15000</v>
      </c>
      <c r="X9" s="1044">
        <v>1600</v>
      </c>
      <c r="Y9" s="1043">
        <v>726767</v>
      </c>
      <c r="Z9" s="1047"/>
      <c r="AA9" s="1043"/>
      <c r="AB9" s="1043"/>
      <c r="AC9" s="1044">
        <v>726767</v>
      </c>
      <c r="AD9" s="1043">
        <v>0</v>
      </c>
      <c r="AE9" s="1043">
        <v>15000</v>
      </c>
      <c r="AF9" s="1043">
        <v>125000</v>
      </c>
      <c r="AG9" s="1043"/>
      <c r="AH9" s="1043"/>
      <c r="AI9" s="1043">
        <v>102970</v>
      </c>
      <c r="AJ9" s="1043"/>
      <c r="AK9" s="1043"/>
      <c r="AL9" s="1043"/>
      <c r="AM9" s="1043">
        <v>52970</v>
      </c>
      <c r="AN9" s="1043"/>
      <c r="AO9" s="1043"/>
      <c r="AP9" s="1043"/>
      <c r="AQ9" s="1043"/>
      <c r="AR9" s="1043"/>
      <c r="AS9" s="1043"/>
      <c r="AT9" s="1043"/>
      <c r="AU9" s="1043">
        <v>12970</v>
      </c>
      <c r="AV9" s="1043"/>
      <c r="AW9" s="1043"/>
      <c r="AX9" s="1043"/>
      <c r="AY9" s="1043">
        <v>12970</v>
      </c>
      <c r="AZ9" s="1043"/>
      <c r="BA9" s="1043"/>
      <c r="BB9" s="1043"/>
      <c r="BC9" s="1043">
        <v>32970</v>
      </c>
      <c r="BD9" s="1043"/>
      <c r="BE9" s="1043"/>
      <c r="BF9" s="1048">
        <v>70384</v>
      </c>
      <c r="BG9" s="1048"/>
      <c r="BH9" s="1007">
        <f t="shared" si="1"/>
        <v>12422827.393333331</v>
      </c>
      <c r="BI9" s="1041">
        <f>+'Souhrn příjmů a výdajů 2021'!I63+'Souhrn příjmů a výdajů 2021'!I64+'Souhrn příjmů a výdajů 2021'!I65+'Souhrn příjmů a výdajů 2021'!I66</f>
        <v>11593600</v>
      </c>
      <c r="BJ9" s="1007">
        <f t="shared" si="2"/>
        <v>-829227.39333333075</v>
      </c>
      <c r="BK9" s="998"/>
    </row>
    <row r="10" spans="1:63" x14ac:dyDescent="0.25">
      <c r="A10" s="2240"/>
      <c r="B10" s="1042"/>
      <c r="C10" s="1048" t="s">
        <v>1714</v>
      </c>
      <c r="D10" s="1042"/>
      <c r="E10" s="1043"/>
      <c r="F10" s="1044"/>
      <c r="G10" s="1045"/>
      <c r="H10" s="1890">
        <v>726767</v>
      </c>
      <c r="I10" s="1044"/>
      <c r="J10" s="1043">
        <v>0</v>
      </c>
      <c r="K10" s="1047"/>
      <c r="L10" s="1043">
        <v>0</v>
      </c>
      <c r="M10" s="1046">
        <v>0</v>
      </c>
      <c r="N10" s="1044">
        <v>0</v>
      </c>
      <c r="O10" s="1043">
        <v>87186</v>
      </c>
      <c r="P10" s="1903">
        <v>0</v>
      </c>
      <c r="Q10" s="1043"/>
      <c r="R10" s="1046"/>
      <c r="S10" s="1044">
        <v>0</v>
      </c>
      <c r="T10" s="1043">
        <v>0</v>
      </c>
      <c r="U10" s="1049">
        <f>355666+15000+2114169</f>
        <v>2484835</v>
      </c>
      <c r="V10" s="1043">
        <v>0</v>
      </c>
      <c r="W10" s="1046">
        <v>15000</v>
      </c>
      <c r="X10" s="1044">
        <v>0</v>
      </c>
      <c r="Y10" s="1043">
        <v>0</v>
      </c>
      <c r="Z10" s="1049">
        <v>5706319</v>
      </c>
      <c r="AA10" s="1049">
        <v>15000</v>
      </c>
      <c r="AB10" s="1043"/>
      <c r="AC10" s="1044">
        <v>0</v>
      </c>
      <c r="AD10" s="1043">
        <v>0</v>
      </c>
      <c r="AE10" s="1043">
        <f>3114582.27+36400+65000</f>
        <v>3215982.27</v>
      </c>
      <c r="AF10" s="1043">
        <v>1795868</v>
      </c>
      <c r="AG10" s="1043"/>
      <c r="AH10" s="1043"/>
      <c r="AI10" s="1043"/>
      <c r="AJ10" s="1043">
        <v>1900000</v>
      </c>
      <c r="AK10" s="1043"/>
      <c r="AL10" s="1043"/>
      <c r="AM10" s="1043"/>
      <c r="AN10" s="1043"/>
      <c r="AO10" s="1043"/>
      <c r="AP10" s="1043"/>
      <c r="AQ10" s="1043"/>
      <c r="AR10" s="1043"/>
      <c r="AS10" s="1043"/>
      <c r="AT10" s="1043"/>
      <c r="AU10" s="1043"/>
      <c r="AV10" s="1043"/>
      <c r="AW10" s="1043"/>
      <c r="AX10" s="1043"/>
      <c r="AY10" s="1043"/>
      <c r="AZ10" s="1043"/>
      <c r="BA10" s="1043"/>
      <c r="BB10" s="1043"/>
      <c r="BC10" s="1043"/>
      <c r="BD10" s="1043"/>
      <c r="BE10" s="1043"/>
      <c r="BF10" s="1048"/>
      <c r="BG10" s="1048"/>
      <c r="BH10" s="1007">
        <f t="shared" si="1"/>
        <v>15946957.27</v>
      </c>
      <c r="BI10" s="1041">
        <f>+'Souhrn příjmů a výdajů 2021'!I62-'Souhrn příjmů a výdajů 2021'!I63-'Souhrn příjmů a výdajů 2021'!I64-'Souhrn příjmů a výdajů 2021'!I65-'Souhrn příjmů a výdajů 2021'!I66</f>
        <v>7145776</v>
      </c>
      <c r="BJ10" s="1007">
        <f t="shared" si="2"/>
        <v>-8801181.2699999996</v>
      </c>
      <c r="BK10" s="998"/>
    </row>
    <row r="11" spans="1:63" ht="14.25" thickBot="1" x14ac:dyDescent="0.3">
      <c r="A11" s="2240"/>
      <c r="B11" s="2237" t="s">
        <v>535</v>
      </c>
      <c r="C11" s="2238"/>
      <c r="D11" s="1050">
        <f t="shared" ref="D11" si="3">SUM(D6:D10)</f>
        <v>0</v>
      </c>
      <c r="E11" s="1051">
        <f t="shared" ref="E11:F11" si="4">SUM(E6:E10)</f>
        <v>0</v>
      </c>
      <c r="F11" s="1052">
        <f t="shared" si="4"/>
        <v>0</v>
      </c>
      <c r="G11" s="1053">
        <f>SUM(G6:G10)</f>
        <v>255340.39333332982</v>
      </c>
      <c r="H11" s="1054">
        <f t="shared" ref="H11:BG11" si="5">SUM(H6:H10)</f>
        <v>6903758</v>
      </c>
      <c r="I11" s="1052">
        <f t="shared" si="5"/>
        <v>345867</v>
      </c>
      <c r="J11" s="1051">
        <f t="shared" si="5"/>
        <v>6639094</v>
      </c>
      <c r="K11" s="1055">
        <f t="shared" si="5"/>
        <v>57785.160744354689</v>
      </c>
      <c r="L11" s="1051">
        <f t="shared" si="5"/>
        <v>7115443</v>
      </c>
      <c r="M11" s="1054">
        <f t="shared" si="5"/>
        <v>312025</v>
      </c>
      <c r="N11" s="1052">
        <f t="shared" si="5"/>
        <v>2916304</v>
      </c>
      <c r="O11" s="1051">
        <f t="shared" si="5"/>
        <v>305127</v>
      </c>
      <c r="P11" s="1055">
        <f t="shared" si="5"/>
        <v>5504281</v>
      </c>
      <c r="Q11" s="1051">
        <f t="shared" si="5"/>
        <v>352716</v>
      </c>
      <c r="R11" s="1054">
        <f t="shared" si="5"/>
        <v>180954</v>
      </c>
      <c r="S11" s="1052">
        <f t="shared" si="5"/>
        <v>6337935</v>
      </c>
      <c r="T11" s="1051">
        <f t="shared" si="5"/>
        <v>2701693</v>
      </c>
      <c r="U11" s="1055">
        <f t="shared" si="5"/>
        <v>7416278</v>
      </c>
      <c r="V11" s="1051">
        <f t="shared" si="5"/>
        <v>541390</v>
      </c>
      <c r="W11" s="1054">
        <f t="shared" si="5"/>
        <v>1658308</v>
      </c>
      <c r="X11" s="1052">
        <f t="shared" si="5"/>
        <v>820545.33</v>
      </c>
      <c r="Y11" s="1051">
        <f t="shared" si="5"/>
        <v>7115645.7400000002</v>
      </c>
      <c r="Z11" s="1055">
        <f t="shared" si="5"/>
        <v>7238326.1399999997</v>
      </c>
      <c r="AA11" s="1051">
        <f t="shared" si="5"/>
        <v>2379312.83</v>
      </c>
      <c r="AB11" s="1054">
        <f t="shared" si="5"/>
        <v>4691412.6199999992</v>
      </c>
      <c r="AC11" s="1052">
        <f t="shared" si="5"/>
        <v>4791795</v>
      </c>
      <c r="AD11" s="1051">
        <f t="shared" si="5"/>
        <v>1017328</v>
      </c>
      <c r="AE11" s="1055">
        <f t="shared" si="5"/>
        <v>7421228.2699999996</v>
      </c>
      <c r="AF11" s="1051">
        <f t="shared" si="5"/>
        <v>2424487</v>
      </c>
      <c r="AG11" s="1054">
        <f t="shared" si="5"/>
        <v>385240.17310195009</v>
      </c>
      <c r="AH11" s="1052">
        <f t="shared" si="5"/>
        <v>4901070.7997661773</v>
      </c>
      <c r="AI11" s="1051">
        <f t="shared" si="5"/>
        <v>380211.22258801316</v>
      </c>
      <c r="AJ11" s="1055">
        <f t="shared" si="5"/>
        <v>2708400</v>
      </c>
      <c r="AK11" s="1051">
        <f t="shared" si="5"/>
        <v>1092432.1504260839</v>
      </c>
      <c r="AL11" s="1055">
        <f t="shared" si="5"/>
        <v>5371522.2340309499</v>
      </c>
      <c r="AM11" s="1051">
        <f t="shared" si="5"/>
        <v>1948398.536689966</v>
      </c>
      <c r="AN11" s="1054">
        <f t="shared" si="5"/>
        <v>878421.34094332473</v>
      </c>
      <c r="AO11" s="1052">
        <f t="shared" si="5"/>
        <v>2500000</v>
      </c>
      <c r="AP11" s="1051">
        <f t="shared" si="5"/>
        <v>4528230.9222370666</v>
      </c>
      <c r="AQ11" s="1055">
        <f t="shared" si="5"/>
        <v>985000</v>
      </c>
      <c r="AR11" s="1051">
        <f t="shared" si="5"/>
        <v>1005000</v>
      </c>
      <c r="AS11" s="1054">
        <f t="shared" si="5"/>
        <v>3446879.3934366601</v>
      </c>
      <c r="AT11" s="1052">
        <f t="shared" si="5"/>
        <v>492424.84368405148</v>
      </c>
      <c r="AU11" s="1051">
        <f t="shared" si="5"/>
        <v>4070379.9707199801</v>
      </c>
      <c r="AV11" s="1055">
        <f t="shared" si="5"/>
        <v>1494664.1139435377</v>
      </c>
      <c r="AW11" s="1051">
        <f t="shared" si="5"/>
        <v>5073814.1814213376</v>
      </c>
      <c r="AX11" s="1054">
        <f t="shared" si="5"/>
        <v>584000</v>
      </c>
      <c r="AY11" s="1054">
        <f t="shared" si="5"/>
        <v>5317507.4866466038</v>
      </c>
      <c r="AZ11" s="1054">
        <f t="shared" si="5"/>
        <v>1196069</v>
      </c>
      <c r="BA11" s="1055">
        <f t="shared" si="5"/>
        <v>1829736.595003552</v>
      </c>
      <c r="BB11" s="1051">
        <f t="shared" si="5"/>
        <v>5341359.1707934299</v>
      </c>
      <c r="BC11" s="1054">
        <f t="shared" si="5"/>
        <v>32970</v>
      </c>
      <c r="BD11" s="1052">
        <f t="shared" si="5"/>
        <v>2523446.4134893189</v>
      </c>
      <c r="BE11" s="1051">
        <f t="shared" si="5"/>
        <v>961905</v>
      </c>
      <c r="BF11" s="1056">
        <f t="shared" si="5"/>
        <v>6341091.98706658</v>
      </c>
      <c r="BG11" s="1056">
        <f t="shared" si="5"/>
        <v>842603</v>
      </c>
      <c r="BH11" s="1007">
        <f>SUM(BH6:BH10)</f>
        <v>153677158.02006626</v>
      </c>
      <c r="BI11" s="1041">
        <f>SUM(BI6:BI10)</f>
        <v>147076178</v>
      </c>
      <c r="BJ11" s="1007">
        <f t="shared" si="2"/>
        <v>-6600980.0200662613</v>
      </c>
      <c r="BK11" s="998"/>
    </row>
    <row r="12" spans="1:63" ht="14.25" thickBot="1" x14ac:dyDescent="0.3">
      <c r="A12" s="2240"/>
      <c r="B12" s="2242" t="s">
        <v>536</v>
      </c>
      <c r="C12" s="2243"/>
      <c r="D12" s="1057">
        <f t="shared" ref="D12:BE12" si="6">SUM(D13:D18)</f>
        <v>0</v>
      </c>
      <c r="E12" s="1058">
        <f t="shared" ref="E12" si="7">SUM(E13:E18)</f>
        <v>0</v>
      </c>
      <c r="F12" s="1059">
        <f>SUM(F13:F18)</f>
        <v>0</v>
      </c>
      <c r="G12" s="1060">
        <f t="shared" si="6"/>
        <v>2534835</v>
      </c>
      <c r="H12" s="1061">
        <f t="shared" si="6"/>
        <v>3106735</v>
      </c>
      <c r="I12" s="1059">
        <f t="shared" si="6"/>
        <v>1383120</v>
      </c>
      <c r="J12" s="1058">
        <f t="shared" si="6"/>
        <v>2493998</v>
      </c>
      <c r="K12" s="1062">
        <f t="shared" si="6"/>
        <v>1697524.1865559802</v>
      </c>
      <c r="L12" s="1058">
        <f t="shared" si="6"/>
        <v>605600</v>
      </c>
      <c r="M12" s="1061">
        <f t="shared" si="6"/>
        <v>4365601</v>
      </c>
      <c r="N12" s="1059">
        <f t="shared" si="6"/>
        <v>1310955</v>
      </c>
      <c r="O12" s="1058">
        <f t="shared" si="6"/>
        <v>1108312</v>
      </c>
      <c r="P12" s="1062">
        <f t="shared" si="6"/>
        <v>356834</v>
      </c>
      <c r="Q12" s="1058">
        <f t="shared" si="6"/>
        <v>2796049</v>
      </c>
      <c r="R12" s="1061">
        <f t="shared" si="6"/>
        <v>1352476</v>
      </c>
      <c r="S12" s="1059">
        <f t="shared" si="6"/>
        <v>3139879</v>
      </c>
      <c r="T12" s="1058">
        <f t="shared" si="6"/>
        <v>612130</v>
      </c>
      <c r="U12" s="1062">
        <f t="shared" si="6"/>
        <v>7355101</v>
      </c>
      <c r="V12" s="1058">
        <f t="shared" si="6"/>
        <v>1684915</v>
      </c>
      <c r="W12" s="1061">
        <f t="shared" si="6"/>
        <v>1894577</v>
      </c>
      <c r="X12" s="1059">
        <f t="shared" si="6"/>
        <v>706346.83000000007</v>
      </c>
      <c r="Y12" s="1058">
        <f t="shared" si="6"/>
        <v>3571318</v>
      </c>
      <c r="Z12" s="1062">
        <f t="shared" si="6"/>
        <v>2260446.63</v>
      </c>
      <c r="AA12" s="1058">
        <f t="shared" si="6"/>
        <v>2242913.84</v>
      </c>
      <c r="AB12" s="1061">
        <f t="shared" si="6"/>
        <v>214104.86000000002</v>
      </c>
      <c r="AC12" s="1059">
        <f t="shared" si="6"/>
        <v>5618851</v>
      </c>
      <c r="AD12" s="1058">
        <f>SUM(AD13:AD18)</f>
        <v>2442534</v>
      </c>
      <c r="AE12" s="1062">
        <f t="shared" si="6"/>
        <v>3009756</v>
      </c>
      <c r="AF12" s="1058">
        <f t="shared" si="6"/>
        <v>1834601</v>
      </c>
      <c r="AG12" s="1061">
        <f t="shared" si="6"/>
        <v>494877.67445674387</v>
      </c>
      <c r="AH12" s="1059">
        <f t="shared" si="6"/>
        <v>2114158.3259578338</v>
      </c>
      <c r="AI12" s="1058">
        <f t="shared" si="6"/>
        <v>2360109.5737274382</v>
      </c>
      <c r="AJ12" s="1062">
        <f t="shared" si="6"/>
        <v>1623344.1162717089</v>
      </c>
      <c r="AK12" s="1058">
        <f t="shared" si="6"/>
        <v>1534165.5321668999</v>
      </c>
      <c r="AL12" s="1062">
        <f t="shared" si="6"/>
        <v>2695768.6673619794</v>
      </c>
      <c r="AM12" s="1058">
        <f t="shared" si="6"/>
        <v>1105653.654646198</v>
      </c>
      <c r="AN12" s="1061">
        <f t="shared" si="6"/>
        <v>2315477.7091963082</v>
      </c>
      <c r="AO12" s="1059">
        <f t="shared" si="6"/>
        <v>3209510.1246179719</v>
      </c>
      <c r="AP12" s="1058">
        <f t="shared" si="6"/>
        <v>316369.82841140003</v>
      </c>
      <c r="AQ12" s="1062">
        <f t="shared" si="6"/>
        <v>3803269.4678105512</v>
      </c>
      <c r="AR12" s="1058">
        <f t="shared" si="6"/>
        <v>1182845.9395686178</v>
      </c>
      <c r="AS12" s="1061">
        <f t="shared" si="6"/>
        <v>2462723.693640931</v>
      </c>
      <c r="AT12" s="1059">
        <f t="shared" si="6"/>
        <v>274208.06209586083</v>
      </c>
      <c r="AU12" s="1058">
        <f t="shared" si="6"/>
        <v>4578629.614652276</v>
      </c>
      <c r="AV12" s="1062">
        <f t="shared" si="6"/>
        <v>1225735.1638441125</v>
      </c>
      <c r="AW12" s="1058">
        <f t="shared" si="6"/>
        <v>1975437.7581947509</v>
      </c>
      <c r="AX12" s="1061">
        <f t="shared" si="6"/>
        <v>1851373.1605337798</v>
      </c>
      <c r="AY12" s="1061">
        <f t="shared" si="6"/>
        <v>2450742.2812069496</v>
      </c>
      <c r="AZ12" s="1061">
        <f t="shared" si="6"/>
        <v>2992568.1834085584</v>
      </c>
      <c r="BA12" s="1062">
        <f t="shared" si="6"/>
        <v>515610.81017122918</v>
      </c>
      <c r="BB12" s="1058">
        <f t="shared" si="6"/>
        <v>1026964.9412628498</v>
      </c>
      <c r="BC12" s="1061">
        <f t="shared" si="6"/>
        <v>633273.65413590125</v>
      </c>
      <c r="BD12" s="1059">
        <f t="shared" si="6"/>
        <v>4317951.0438245498</v>
      </c>
      <c r="BE12" s="1058">
        <f t="shared" si="6"/>
        <v>788757.99273856136</v>
      </c>
      <c r="BF12" s="1063">
        <f>SUM(BF13:BF18)</f>
        <v>1323285.2570687383</v>
      </c>
      <c r="BG12" s="1063">
        <f>SUM(BG13:BG18)</f>
        <v>2472254</v>
      </c>
      <c r="BH12" s="1007">
        <f t="shared" si="1"/>
        <v>111344579.57752872</v>
      </c>
      <c r="BI12" s="1041">
        <f>SUM(BI13:BI18)</f>
        <v>121009425.69850001</v>
      </c>
      <c r="BJ12" s="1007">
        <f t="shared" si="2"/>
        <v>9664846.1209712923</v>
      </c>
      <c r="BK12" s="998"/>
    </row>
    <row r="13" spans="1:63" x14ac:dyDescent="0.25">
      <c r="A13" s="2240"/>
      <c r="B13" s="1034"/>
      <c r="C13" s="1064" t="s">
        <v>154</v>
      </c>
      <c r="D13" s="1034"/>
      <c r="E13" s="1036"/>
      <c r="F13" s="1037"/>
      <c r="G13" s="1038"/>
      <c r="H13" s="1893">
        <v>2432491</v>
      </c>
      <c r="I13" s="1894">
        <v>64941</v>
      </c>
      <c r="J13" s="1036">
        <v>0</v>
      </c>
      <c r="K13" s="1040">
        <v>0</v>
      </c>
      <c r="L13" s="1036">
        <v>0</v>
      </c>
      <c r="M13" s="1039">
        <v>1519376</v>
      </c>
      <c r="N13" s="1037">
        <v>1066417</v>
      </c>
      <c r="O13" s="1036">
        <v>2922</v>
      </c>
      <c r="P13" s="1040">
        <v>0</v>
      </c>
      <c r="Q13" s="1036">
        <v>1507559</v>
      </c>
      <c r="R13" s="1039">
        <v>656875</v>
      </c>
      <c r="S13" s="1037">
        <v>8262</v>
      </c>
      <c r="T13" s="1036">
        <v>186017</v>
      </c>
      <c r="U13" s="1040">
        <v>1416681</v>
      </c>
      <c r="V13" s="1036">
        <v>679082</v>
      </c>
      <c r="W13" s="1039">
        <v>0</v>
      </c>
      <c r="X13" s="1037">
        <v>92444</v>
      </c>
      <c r="Y13" s="1036">
        <v>1429693</v>
      </c>
      <c r="Z13" s="1040">
        <v>468005</v>
      </c>
      <c r="AA13" s="1036">
        <v>0</v>
      </c>
      <c r="AB13" s="1039"/>
      <c r="AC13" s="1037">
        <v>1514308</v>
      </c>
      <c r="AD13" s="1037">
        <f>489235+676124</f>
        <v>1165359</v>
      </c>
      <c r="AE13" s="1036"/>
      <c r="AF13" s="1036"/>
      <c r="AG13" s="1039">
        <v>0</v>
      </c>
      <c r="AH13" s="1037">
        <v>1950120.3530265</v>
      </c>
      <c r="AI13" s="1036">
        <f>+AH13*0.34</f>
        <v>663040.92002901004</v>
      </c>
      <c r="AJ13" s="1040">
        <v>0</v>
      </c>
      <c r="AK13" s="1036">
        <v>0</v>
      </c>
      <c r="AL13" s="1040">
        <v>1550120.3530265</v>
      </c>
      <c r="AM13" s="1036">
        <f>+AL13*0.34</f>
        <v>527040.92002901004</v>
      </c>
      <c r="AN13" s="1039">
        <v>0</v>
      </c>
      <c r="AO13" s="1037">
        <v>0</v>
      </c>
      <c r="AP13" s="1036">
        <v>0</v>
      </c>
      <c r="AQ13" s="1040">
        <v>1559020.0271254601</v>
      </c>
      <c r="AR13" s="1036">
        <f>+AQ13*0.34</f>
        <v>530066.80922265642</v>
      </c>
      <c r="AS13" s="1039">
        <v>0</v>
      </c>
      <c r="AT13" s="1037">
        <v>0</v>
      </c>
      <c r="AU13" s="1036">
        <v>1948036.15863953</v>
      </c>
      <c r="AV13" s="1040">
        <f>+AU13*0.34</f>
        <v>662332.29393744026</v>
      </c>
      <c r="AW13" s="1036">
        <v>0</v>
      </c>
      <c r="AX13" s="1039">
        <v>0</v>
      </c>
      <c r="AY13" s="1036">
        <v>1585993.66176693</v>
      </c>
      <c r="AZ13" s="1039">
        <f>+AY13*0.34</f>
        <v>539237.84500075621</v>
      </c>
      <c r="BA13" s="1040">
        <v>0</v>
      </c>
      <c r="BB13" s="1036">
        <v>0</v>
      </c>
      <c r="BC13" s="1039">
        <v>0</v>
      </c>
      <c r="BD13" s="1036">
        <v>2560964.6845251801</v>
      </c>
      <c r="BE13" s="1035">
        <f>+BD13*0.34-171622</f>
        <v>699105.99273856136</v>
      </c>
      <c r="BF13" s="1035"/>
      <c r="BG13" s="1035">
        <v>1900000</v>
      </c>
      <c r="BH13" s="1007">
        <f t="shared" si="1"/>
        <v>30885512.019067537</v>
      </c>
      <c r="BI13" s="1041">
        <f>'Výdaje kapitol celkem'!H16</f>
        <v>36162828.399999999</v>
      </c>
      <c r="BJ13" s="1007">
        <f t="shared" si="2"/>
        <v>5277316.3809324615</v>
      </c>
      <c r="BK13" s="1041"/>
    </row>
    <row r="14" spans="1:63" x14ac:dyDescent="0.25">
      <c r="A14" s="2240"/>
      <c r="B14" s="1034"/>
      <c r="C14" s="1064" t="s">
        <v>105</v>
      </c>
      <c r="D14" s="1034"/>
      <c r="E14" s="1036"/>
      <c r="F14" s="1037"/>
      <c r="G14" s="1896">
        <v>66505</v>
      </c>
      <c r="H14" s="1898">
        <v>2509</v>
      </c>
      <c r="I14" s="1894">
        <v>22109</v>
      </c>
      <c r="J14" s="1897">
        <v>36359</v>
      </c>
      <c r="K14" s="1040"/>
      <c r="L14" s="1908">
        <v>14249</v>
      </c>
      <c r="M14" s="1039">
        <v>266479</v>
      </c>
      <c r="N14" s="1037">
        <v>38534</v>
      </c>
      <c r="O14" s="1036">
        <v>11946</v>
      </c>
      <c r="P14" s="1040">
        <v>14977</v>
      </c>
      <c r="Q14" s="1036">
        <v>25506</v>
      </c>
      <c r="R14" s="1039">
        <v>30690</v>
      </c>
      <c r="S14" s="1037">
        <v>127487</v>
      </c>
      <c r="T14" s="1036">
        <v>40460</v>
      </c>
      <c r="U14" s="1040">
        <v>79941</v>
      </c>
      <c r="V14" s="1036">
        <v>10419</v>
      </c>
      <c r="W14" s="1039">
        <v>0</v>
      </c>
      <c r="X14" s="1037">
        <v>2670.49</v>
      </c>
      <c r="Y14" s="1036">
        <v>20694</v>
      </c>
      <c r="Z14" s="1040">
        <v>40688</v>
      </c>
      <c r="AA14" s="1036">
        <v>34382.050000000003</v>
      </c>
      <c r="AB14" s="1039">
        <f>5106.2+11217.34</f>
        <v>16323.54</v>
      </c>
      <c r="AC14" s="1037">
        <v>84782</v>
      </c>
      <c r="AD14" s="1036">
        <v>36481</v>
      </c>
      <c r="AE14" s="1040">
        <v>101886</v>
      </c>
      <c r="AF14" s="1036">
        <f>78504+9571</f>
        <v>88075</v>
      </c>
      <c r="AG14" s="1039">
        <v>89520</v>
      </c>
      <c r="AH14" s="1037">
        <v>71028</v>
      </c>
      <c r="AI14" s="1036">
        <v>70005</v>
      </c>
      <c r="AJ14" s="1040">
        <v>54872</v>
      </c>
      <c r="AK14" s="1036">
        <v>70148</v>
      </c>
      <c r="AL14" s="1040">
        <v>72501</v>
      </c>
      <c r="AM14" s="1036">
        <v>71045</v>
      </c>
      <c r="AN14" s="1039">
        <v>72000</v>
      </c>
      <c r="AO14" s="1037">
        <v>73580</v>
      </c>
      <c r="AP14" s="1036">
        <v>74210</v>
      </c>
      <c r="AQ14" s="1040">
        <v>58941</v>
      </c>
      <c r="AR14" s="1036">
        <v>65897</v>
      </c>
      <c r="AS14" s="1039">
        <v>66980</v>
      </c>
      <c r="AT14" s="1037">
        <v>59871</v>
      </c>
      <c r="AU14" s="1036">
        <v>49871</v>
      </c>
      <c r="AV14" s="1040">
        <v>59821</v>
      </c>
      <c r="AW14" s="1036">
        <v>47105</v>
      </c>
      <c r="AX14" s="1039">
        <v>96014</v>
      </c>
      <c r="AY14" s="1039">
        <v>89714</v>
      </c>
      <c r="AZ14" s="1039">
        <v>70148</v>
      </c>
      <c r="BA14" s="1040">
        <v>78965</v>
      </c>
      <c r="BB14" s="1036">
        <v>74102</v>
      </c>
      <c r="BC14" s="1039">
        <v>96321</v>
      </c>
      <c r="BD14" s="1037">
        <v>87104</v>
      </c>
      <c r="BE14" s="1036">
        <v>89652</v>
      </c>
      <c r="BF14" s="1035">
        <f>75892-57906+31466</f>
        <v>49452</v>
      </c>
      <c r="BG14" s="1035">
        <f>75613+144387</f>
        <v>220000</v>
      </c>
      <c r="BH14" s="1007">
        <f t="shared" si="1"/>
        <v>3293019.08</v>
      </c>
      <c r="BI14" s="1041">
        <f>'Souhrn příjmů a výdajů 2021'!I99+'Souhrn příjmů a výdajů 2021'!I100+'Souhrn příjmů a výdajů 2021'!I101+'Souhrn příjmů a výdajů 2021'!I102</f>
        <v>3657000</v>
      </c>
      <c r="BJ14" s="1007">
        <f t="shared" si="2"/>
        <v>363980.91999999993</v>
      </c>
      <c r="BK14" s="1041"/>
    </row>
    <row r="15" spans="1:63" x14ac:dyDescent="0.25">
      <c r="A15" s="2240"/>
      <c r="B15" s="1034"/>
      <c r="C15" s="1064" t="s">
        <v>155</v>
      </c>
      <c r="D15" s="1042"/>
      <c r="E15" s="1043"/>
      <c r="F15" s="1044"/>
      <c r="G15" s="1045">
        <v>2063</v>
      </c>
      <c r="H15" s="1895">
        <v>123933</v>
      </c>
      <c r="I15" s="1043">
        <v>58550</v>
      </c>
      <c r="J15" s="1043">
        <v>0</v>
      </c>
      <c r="K15" s="1047">
        <v>7210.7122227543714</v>
      </c>
      <c r="L15" s="1895">
        <v>295624</v>
      </c>
      <c r="M15" s="1043">
        <v>1462</v>
      </c>
      <c r="N15" s="1043">
        <v>114671</v>
      </c>
      <c r="O15" s="1043">
        <v>0</v>
      </c>
      <c r="P15" s="1047">
        <v>0</v>
      </c>
      <c r="Q15" s="1043">
        <v>100748</v>
      </c>
      <c r="R15" s="1043">
        <v>3123</v>
      </c>
      <c r="S15" s="1043">
        <v>61412</v>
      </c>
      <c r="T15" s="1043">
        <v>70873</v>
      </c>
      <c r="U15" s="1047">
        <v>35524</v>
      </c>
      <c r="V15" s="1043">
        <v>388207</v>
      </c>
      <c r="W15" s="1043">
        <v>230042</v>
      </c>
      <c r="X15" s="1043">
        <v>62773</v>
      </c>
      <c r="Y15" s="1043">
        <v>228329</v>
      </c>
      <c r="Z15" s="1047">
        <v>74897.240000000005</v>
      </c>
      <c r="AA15" s="1043">
        <v>271886.23</v>
      </c>
      <c r="AB15" s="1043">
        <v>150181</v>
      </c>
      <c r="AC15" s="1043">
        <v>546501</v>
      </c>
      <c r="AD15" s="1043">
        <v>212439</v>
      </c>
      <c r="AE15" s="1047">
        <v>554</v>
      </c>
      <c r="AF15" s="1043">
        <f>6642+150181</f>
        <v>156823</v>
      </c>
      <c r="AG15" s="1043">
        <v>175984.31347214791</v>
      </c>
      <c r="AH15" s="1043">
        <v>59527.499067646677</v>
      </c>
      <c r="AI15" s="1043">
        <v>49614.274500971849</v>
      </c>
      <c r="AJ15" s="1047">
        <v>27867.77762216422</v>
      </c>
      <c r="AK15" s="1043">
        <v>270067.65615932993</v>
      </c>
      <c r="AL15" s="1047">
        <v>270067.65615932993</v>
      </c>
      <c r="AM15" s="1043">
        <v>0</v>
      </c>
      <c r="AN15" s="1043">
        <v>270067.65615932993</v>
      </c>
      <c r="AO15" s="1047">
        <v>270067.65615932993</v>
      </c>
      <c r="AP15" s="1043">
        <v>0</v>
      </c>
      <c r="AQ15" s="1047">
        <v>270067.65615932993</v>
      </c>
      <c r="AR15" s="1043">
        <v>270067.65615932993</v>
      </c>
      <c r="AS15" s="1043">
        <v>0</v>
      </c>
      <c r="AT15" s="1047">
        <v>0</v>
      </c>
      <c r="AU15" s="1043">
        <v>270067.65615932993</v>
      </c>
      <c r="AV15" s="1047">
        <v>129217.00631788959</v>
      </c>
      <c r="AW15" s="1043">
        <v>0</v>
      </c>
      <c r="AX15" s="1043">
        <v>351105.90956650383</v>
      </c>
      <c r="AY15" s="1043">
        <v>270067.65615932993</v>
      </c>
      <c r="AZ15" s="1046">
        <v>673156.30037676718</v>
      </c>
      <c r="BA15" s="1047">
        <v>175297.1490491392</v>
      </c>
      <c r="BB15" s="1043">
        <v>200.6319483237165</v>
      </c>
      <c r="BC15" s="1043">
        <v>186180.42908595919</v>
      </c>
      <c r="BD15" s="1047">
        <v>0</v>
      </c>
      <c r="BE15" s="1043">
        <v>0</v>
      </c>
      <c r="BF15" s="1048">
        <v>0</v>
      </c>
      <c r="BG15" s="1048">
        <f>483301-198832+35801-80984</f>
        <v>239286</v>
      </c>
      <c r="BH15" s="1007">
        <f t="shared" si="1"/>
        <v>7425804.7225049092</v>
      </c>
      <c r="BI15" s="1041">
        <f>+'Souhrn příjmů a výdajů 2021'!I103+'Souhrn příjmů a výdajů 2021'!I104+'Souhrn příjmů a výdajů 2021'!I105+'Souhrn příjmů a výdajů 2021'!I106</f>
        <v>7329000</v>
      </c>
      <c r="BJ15" s="1007">
        <f t="shared" si="2"/>
        <v>-96804.72250490915</v>
      </c>
      <c r="BK15" s="998"/>
    </row>
    <row r="16" spans="1:63" x14ac:dyDescent="0.25">
      <c r="A16" s="2240"/>
      <c r="B16" s="1034"/>
      <c r="C16" s="1064" t="s">
        <v>1049</v>
      </c>
      <c r="D16" s="1042"/>
      <c r="E16" s="1043"/>
      <c r="F16" s="1044"/>
      <c r="G16" s="1892">
        <v>185227</v>
      </c>
      <c r="H16" s="1890">
        <v>490846</v>
      </c>
      <c r="I16" s="1891">
        <f>81553+240233</f>
        <v>321786</v>
      </c>
      <c r="J16" s="1043">
        <f>203224+2099179</f>
        <v>2302403</v>
      </c>
      <c r="K16" s="1047">
        <f>1107214.2388275+375639</f>
        <v>1482853.2388275</v>
      </c>
      <c r="L16" s="1895">
        <v>252179</v>
      </c>
      <c r="M16" s="1046">
        <v>359673</v>
      </c>
      <c r="N16" s="1044">
        <f>118954-33342</f>
        <v>85612</v>
      </c>
      <c r="O16" s="1043">
        <v>203834</v>
      </c>
      <c r="P16" s="1047">
        <v>265711</v>
      </c>
      <c r="Q16" s="1043">
        <v>518407</v>
      </c>
      <c r="R16" s="1046">
        <f>195475+451313</f>
        <v>646788</v>
      </c>
      <c r="S16" s="1044">
        <f>1210029-451313</f>
        <v>758716</v>
      </c>
      <c r="T16" s="1043">
        <f>132336-39325</f>
        <v>93011</v>
      </c>
      <c r="U16" s="1047">
        <v>993927</v>
      </c>
      <c r="V16" s="1043">
        <f>75362+223073</f>
        <v>298435</v>
      </c>
      <c r="W16" s="1046">
        <v>310091</v>
      </c>
      <c r="X16" s="1044">
        <f>439141.34+86818</f>
        <v>525959.34000000008</v>
      </c>
      <c r="Y16" s="1043">
        <v>712002</v>
      </c>
      <c r="Z16" s="1047">
        <v>490531.39</v>
      </c>
      <c r="AA16" s="1043">
        <v>902721.56</v>
      </c>
      <c r="AB16" s="1046">
        <f>4692+18028.32</f>
        <v>22720.32</v>
      </c>
      <c r="AC16" s="1044">
        <v>1308810</v>
      </c>
      <c r="AD16" s="1043">
        <v>540184</v>
      </c>
      <c r="AE16" s="1047">
        <v>92406</v>
      </c>
      <c r="AF16" s="1043">
        <f>1518902+23571</f>
        <v>1542473</v>
      </c>
      <c r="AG16" s="1046">
        <v>229373.36098459596</v>
      </c>
      <c r="AH16" s="1044">
        <v>33482.473863687228</v>
      </c>
      <c r="AI16" s="1043">
        <v>299824.37919745652</v>
      </c>
      <c r="AJ16" s="1047">
        <v>1189678.7889745501</v>
      </c>
      <c r="AK16" s="1043">
        <v>1193949.87600757</v>
      </c>
      <c r="AL16" s="1047">
        <v>181279.65817614959</v>
      </c>
      <c r="AM16" s="1043">
        <v>507567.73461718799</v>
      </c>
      <c r="AN16" s="1046">
        <v>1617718.3968470646</v>
      </c>
      <c r="AO16" s="1044">
        <v>588237.4684586419</v>
      </c>
      <c r="AP16" s="1043">
        <v>242159.82841140003</v>
      </c>
      <c r="AQ16" s="1047">
        <v>845909.58621971763</v>
      </c>
      <c r="AR16" s="1043">
        <v>316814.47418663144</v>
      </c>
      <c r="AS16" s="1046">
        <v>2135970.4363075979</v>
      </c>
      <c r="AT16" s="1044">
        <v>214337.06209586083</v>
      </c>
      <c r="AU16" s="1043">
        <v>33029.799853416058</v>
      </c>
      <c r="AV16" s="1047">
        <v>374364.86358878267</v>
      </c>
      <c r="AW16" s="1043">
        <v>146776.75819475093</v>
      </c>
      <c r="AX16" s="1046">
        <v>1404253.250967276</v>
      </c>
      <c r="AY16" s="1046">
        <v>504966.96328068944</v>
      </c>
      <c r="AZ16" s="1046">
        <v>432401.03803103499</v>
      </c>
      <c r="BA16" s="1047">
        <v>261348.66112209001</v>
      </c>
      <c r="BB16" s="1043">
        <v>330862.30931452615</v>
      </c>
      <c r="BC16" s="1046">
        <v>350772.22504994198</v>
      </c>
      <c r="BD16" s="1044">
        <v>992257.35929936904</v>
      </c>
      <c r="BE16" s="1043">
        <v>0</v>
      </c>
      <c r="BF16" s="1048">
        <f>702667-476973</f>
        <v>225694</v>
      </c>
      <c r="BG16" s="1048">
        <f>24759+4221+83988</f>
        <v>112968</v>
      </c>
      <c r="BH16" s="1007">
        <f t="shared" si="1"/>
        <v>30473305.601877496</v>
      </c>
      <c r="BI16" s="1041">
        <f>+'Souhrn příjmů a výdajů 2021'!I107+'Souhrn příjmů a výdajů 2021'!I108+'Souhrn příjmů a výdajů 2021'!I109+'Souhrn příjmů a výdajů 2021'!I110+'Souhrn příjmů a výdajů 2021'!I111+'Souhrn příjmů a výdajů 2021'!I112+'Souhrn příjmů a výdajů 2021'!I113+'Souhrn příjmů a výdajů 2021'!I114+'Souhrn příjmů a výdajů 2021'!I115+'Souhrn příjmů a výdajů 2021'!I116+'Souhrn příjmů a výdajů 2021'!I117+'Souhrn příjmů a výdajů 2021'!I118</f>
        <v>36785530</v>
      </c>
      <c r="BJ16" s="1007">
        <f t="shared" si="2"/>
        <v>6312224.3981225044</v>
      </c>
      <c r="BK16" s="998"/>
    </row>
    <row r="17" spans="1:63" ht="14.45" customHeight="1" x14ac:dyDescent="0.25">
      <c r="A17" s="2240"/>
      <c r="B17" s="1034"/>
      <c r="C17" s="1064" t="s">
        <v>1715</v>
      </c>
      <c r="D17" s="1042"/>
      <c r="E17" s="1043"/>
      <c r="F17" s="1044"/>
      <c r="G17" s="1892">
        <v>2277625</v>
      </c>
      <c r="H17" s="1046">
        <v>0</v>
      </c>
      <c r="I17" s="1891">
        <v>821800</v>
      </c>
      <c r="J17" s="1043">
        <v>0</v>
      </c>
      <c r="K17" s="1047"/>
      <c r="L17" s="1895">
        <v>0</v>
      </c>
      <c r="M17" s="1046">
        <f>2559425-529119</f>
        <v>2030306</v>
      </c>
      <c r="N17" s="1044">
        <v>0</v>
      </c>
      <c r="O17" s="1043">
        <v>800000</v>
      </c>
      <c r="P17" s="1047">
        <v>0</v>
      </c>
      <c r="Q17" s="1043">
        <v>571900</v>
      </c>
      <c r="R17" s="1046">
        <v>0</v>
      </c>
      <c r="S17" s="1044">
        <v>1828955</v>
      </c>
      <c r="T17" s="1043">
        <v>216000</v>
      </c>
      <c r="U17" s="1047">
        <v>1770800</v>
      </c>
      <c r="V17" s="1043">
        <v>236000</v>
      </c>
      <c r="W17" s="1046">
        <f>1604425-259681</f>
        <v>1344744</v>
      </c>
      <c r="X17" s="1044">
        <v>0</v>
      </c>
      <c r="Y17" s="1043">
        <v>1180000</v>
      </c>
      <c r="Z17" s="1047">
        <v>961800</v>
      </c>
      <c r="AA17" s="1043">
        <v>1033625</v>
      </c>
      <c r="AB17" s="1046"/>
      <c r="AC17" s="1044">
        <v>2150000</v>
      </c>
      <c r="AD17" s="1043">
        <v>461800</v>
      </c>
      <c r="AE17" s="1047">
        <v>2604425</v>
      </c>
      <c r="AF17" s="1043">
        <v>0</v>
      </c>
      <c r="AG17" s="1046"/>
      <c r="AH17" s="1044"/>
      <c r="AI17" s="1047">
        <v>1277625</v>
      </c>
      <c r="AJ17" s="1047"/>
      <c r="AK17" s="1043">
        <v>0</v>
      </c>
      <c r="AL17" s="1047">
        <v>621800</v>
      </c>
      <c r="AM17" s="1043"/>
      <c r="AN17" s="1046"/>
      <c r="AO17" s="1044">
        <v>2277625</v>
      </c>
      <c r="AP17" s="1043">
        <v>0</v>
      </c>
      <c r="AQ17" s="1047">
        <v>921800</v>
      </c>
      <c r="AR17" s="1043"/>
      <c r="AS17" s="1046"/>
      <c r="AT17" s="1044"/>
      <c r="AU17" s="1043">
        <v>2277625</v>
      </c>
      <c r="AV17" s="1047">
        <v>0</v>
      </c>
      <c r="AW17" s="1043">
        <f>1821800-40244</f>
        <v>1781556</v>
      </c>
      <c r="AX17" s="1046"/>
      <c r="AY17" s="1046"/>
      <c r="AZ17" s="1046">
        <v>1277625</v>
      </c>
      <c r="BA17" s="1047">
        <v>0</v>
      </c>
      <c r="BB17" s="1043">
        <v>621800</v>
      </c>
      <c r="BC17" s="1046"/>
      <c r="BD17" s="1044">
        <v>677625</v>
      </c>
      <c r="BE17" s="1043">
        <v>0</v>
      </c>
      <c r="BF17" s="1048">
        <f>529119+121800+366375</f>
        <v>1017294</v>
      </c>
      <c r="BG17" s="1048"/>
      <c r="BH17" s="1007">
        <f t="shared" si="1"/>
        <v>33042155</v>
      </c>
      <c r="BI17" s="1041">
        <f>+'Souhrn příjmů a výdajů 2021'!I123+'Souhrn příjmů a výdajů 2021'!I124+'Souhrn příjmů a výdajů 2021'!I129+'Souhrn příjmů a výdajů 2021'!I130</f>
        <v>32185140</v>
      </c>
      <c r="BJ17" s="1007">
        <f t="shared" si="2"/>
        <v>-857015</v>
      </c>
      <c r="BK17" s="998"/>
    </row>
    <row r="18" spans="1:63" x14ac:dyDescent="0.25">
      <c r="A18" s="2240"/>
      <c r="B18" s="1034"/>
      <c r="C18" s="1064" t="s">
        <v>157</v>
      </c>
      <c r="D18" s="1042"/>
      <c r="E18" s="1043"/>
      <c r="F18" s="1044"/>
      <c r="G18" s="1892">
        <v>3415</v>
      </c>
      <c r="H18" s="1890">
        <v>56956</v>
      </c>
      <c r="I18" s="1890">
        <f>136284-42350</f>
        <v>93934</v>
      </c>
      <c r="J18" s="1043">
        <f>188578-33342</f>
        <v>155236</v>
      </c>
      <c r="K18" s="1047">
        <f>381492.235505726-174032</f>
        <v>207460.23550572601</v>
      </c>
      <c r="L18" s="1895">
        <v>43548</v>
      </c>
      <c r="M18" s="1046">
        <v>188305</v>
      </c>
      <c r="N18" s="1044">
        <v>5721</v>
      </c>
      <c r="O18" s="1043">
        <f>159386-69776</f>
        <v>89610</v>
      </c>
      <c r="P18" s="1047">
        <v>76146</v>
      </c>
      <c r="Q18" s="1043">
        <f>220224-148295</f>
        <v>71929</v>
      </c>
      <c r="R18" s="1046">
        <v>15000</v>
      </c>
      <c r="S18" s="1044">
        <v>355047</v>
      </c>
      <c r="T18" s="1043">
        <v>5769</v>
      </c>
      <c r="U18" s="1047">
        <f>3086400+11220-39392</f>
        <v>3058228</v>
      </c>
      <c r="V18" s="1043">
        <f>117281-44509</f>
        <v>72772</v>
      </c>
      <c r="W18" s="1046">
        <v>9700</v>
      </c>
      <c r="X18" s="1044">
        <v>22500</v>
      </c>
      <c r="Y18" s="1043">
        <v>600</v>
      </c>
      <c r="Z18" s="1047">
        <v>224525</v>
      </c>
      <c r="AA18" s="1043">
        <v>299</v>
      </c>
      <c r="AB18" s="1046">
        <v>24880</v>
      </c>
      <c r="AC18" s="1044">
        <v>14450</v>
      </c>
      <c r="AD18" s="1043">
        <v>26271</v>
      </c>
      <c r="AE18" s="1047">
        <v>210485</v>
      </c>
      <c r="AF18" s="1043">
        <f>22350+24880</f>
        <v>47230</v>
      </c>
      <c r="AG18" s="1046"/>
      <c r="AH18" s="1044">
        <v>0</v>
      </c>
      <c r="AI18" s="1043">
        <v>0</v>
      </c>
      <c r="AJ18" s="1047">
        <v>350925.54967499449</v>
      </c>
      <c r="AK18" s="1043"/>
      <c r="AL18" s="1047">
        <v>0</v>
      </c>
      <c r="AM18" s="1043"/>
      <c r="AN18" s="1046">
        <v>355691.65618991375</v>
      </c>
      <c r="AO18" s="1044"/>
      <c r="AP18" s="1043"/>
      <c r="AQ18" s="1047">
        <v>147531.19830604378</v>
      </c>
      <c r="AR18" s="1043">
        <v>0</v>
      </c>
      <c r="AS18" s="1046">
        <v>259773.25733333296</v>
      </c>
      <c r="AT18" s="1044">
        <v>0</v>
      </c>
      <c r="AU18" s="1043">
        <v>0</v>
      </c>
      <c r="AV18" s="1047">
        <v>0</v>
      </c>
      <c r="AW18" s="1043">
        <v>0</v>
      </c>
      <c r="AX18" s="1046"/>
      <c r="AY18" s="1046">
        <v>0</v>
      </c>
      <c r="AZ18" s="1046"/>
      <c r="BA18" s="1047">
        <v>0</v>
      </c>
      <c r="BB18" s="1043"/>
      <c r="BC18" s="1046">
        <v>0</v>
      </c>
      <c r="BD18" s="1044">
        <v>0</v>
      </c>
      <c r="BE18" s="1043">
        <v>0</v>
      </c>
      <c r="BF18" s="1048">
        <v>30845.257068738239</v>
      </c>
      <c r="BG18" s="1048"/>
      <c r="BH18" s="1007">
        <f t="shared" si="1"/>
        <v>6224783.154078749</v>
      </c>
      <c r="BI18" s="1041">
        <f>+'Souhrn příjmů a výdajů 2021'!I121+'Souhrn příjmů a výdajů 2021'!I122+'Souhrn příjmů a výdajů 2021'!I125+'Souhrn příjmů a výdajů 2021'!I126+'Souhrn příjmů a výdajů 2021'!I127+'Souhrn příjmů a výdajů 2021'!I128+'Souhrn příjmů a výdajů 2021'!I131</f>
        <v>4889927.2984999996</v>
      </c>
      <c r="BJ18" s="1007">
        <f t="shared" si="2"/>
        <v>-1334855.8555787494</v>
      </c>
      <c r="BK18" s="998"/>
    </row>
    <row r="19" spans="1:63" s="1020" customFormat="1" ht="14.25" thickBot="1" x14ac:dyDescent="0.3">
      <c r="A19" s="2240"/>
      <c r="B19" s="2244" t="s">
        <v>537</v>
      </c>
      <c r="C19" s="2245"/>
      <c r="D19" s="1065">
        <f t="shared" ref="D19:BE19" si="8">D5+D11-D12</f>
        <v>0</v>
      </c>
      <c r="E19" s="1066">
        <f t="shared" ref="E19:F19" si="9">E5+E11-E12</f>
        <v>0</v>
      </c>
      <c r="F19" s="1067">
        <f t="shared" si="9"/>
        <v>0</v>
      </c>
      <c r="G19" s="1068">
        <f t="shared" si="8"/>
        <v>3162297</v>
      </c>
      <c r="H19" s="1069">
        <f t="shared" si="8"/>
        <v>6766741</v>
      </c>
      <c r="I19" s="1067">
        <f t="shared" si="8"/>
        <v>5625776.0807985468</v>
      </c>
      <c r="J19" s="1066">
        <f t="shared" si="8"/>
        <v>9794406</v>
      </c>
      <c r="K19" s="1070">
        <f t="shared" si="8"/>
        <v>6498056.1370067541</v>
      </c>
      <c r="L19" s="1066">
        <f t="shared" si="8"/>
        <v>12730155.2178053</v>
      </c>
      <c r="M19" s="1069">
        <f t="shared" si="8"/>
        <v>8681995.884471966</v>
      </c>
      <c r="N19" s="1067">
        <f t="shared" si="8"/>
        <v>3923225.8344719661</v>
      </c>
      <c r="O19" s="1066">
        <f t="shared" si="8"/>
        <v>3092115.5011386331</v>
      </c>
      <c r="P19" s="1070">
        <f t="shared" si="8"/>
        <v>6435068.7865923354</v>
      </c>
      <c r="Q19" s="1066">
        <f t="shared" si="8"/>
        <v>1130676.7865923354</v>
      </c>
      <c r="R19" s="1069">
        <f t="shared" si="8"/>
        <v>-189140.13340766449</v>
      </c>
      <c r="S19" s="1067">
        <f t="shared" si="8"/>
        <v>2486675.8665923355</v>
      </c>
      <c r="T19" s="1066">
        <f t="shared" si="8"/>
        <v>4031966.8665923355</v>
      </c>
      <c r="U19" s="1070">
        <f t="shared" si="8"/>
        <v>2252365.9473908823</v>
      </c>
      <c r="V19" s="1066">
        <f t="shared" si="8"/>
        <v>1032807.3973908825</v>
      </c>
      <c r="W19" s="1069">
        <f t="shared" si="8"/>
        <v>505767.70871270541</v>
      </c>
      <c r="X19" s="1067">
        <f t="shared" si="8"/>
        <v>568474.20871270541</v>
      </c>
      <c r="Y19" s="1066">
        <f t="shared" si="8"/>
        <v>4112801.9487127056</v>
      </c>
      <c r="Z19" s="1070">
        <f t="shared" si="8"/>
        <v>8846681.4587127045</v>
      </c>
      <c r="AA19" s="1066">
        <f t="shared" si="8"/>
        <v>8904110.4487127047</v>
      </c>
      <c r="AB19" s="1069">
        <f t="shared" si="8"/>
        <v>8241781.7387127047</v>
      </c>
      <c r="AC19" s="1067">
        <f t="shared" si="8"/>
        <v>5932055.6287127044</v>
      </c>
      <c r="AD19" s="1066">
        <f>AD5+AD11-AD12</f>
        <v>4498379.6287127044</v>
      </c>
      <c r="AE19" s="1070">
        <f>AE5+AE11-AE12</f>
        <v>8727458.898712704</v>
      </c>
      <c r="AF19" s="1066">
        <f t="shared" si="8"/>
        <v>6538321.6587127037</v>
      </c>
      <c r="AG19" s="1069">
        <f t="shared" si="8"/>
        <v>3683198.1573579097</v>
      </c>
      <c r="AH19" s="1067">
        <f t="shared" si="8"/>
        <v>6470110.6311662542</v>
      </c>
      <c r="AI19" s="1066">
        <f t="shared" si="8"/>
        <v>1995628.9466934958</v>
      </c>
      <c r="AJ19" s="1070">
        <f t="shared" si="8"/>
        <v>1745052.830421787</v>
      </c>
      <c r="AK19" s="1066">
        <f t="shared" si="8"/>
        <v>-1300392.4705204826</v>
      </c>
      <c r="AL19" s="1070">
        <f t="shared" si="8"/>
        <v>1344087.0961484881</v>
      </c>
      <c r="AM19" s="1066">
        <f t="shared" si="8"/>
        <v>2006813.4547016148</v>
      </c>
      <c r="AN19" s="1069">
        <f t="shared" si="8"/>
        <v>-1049194.9135513688</v>
      </c>
      <c r="AO19" s="1067">
        <f t="shared" si="8"/>
        <v>-1862416.9573707944</v>
      </c>
      <c r="AP19" s="1066">
        <f t="shared" si="8"/>
        <v>2166800.0071520307</v>
      </c>
      <c r="AQ19" s="1070">
        <f t="shared" si="8"/>
        <v>-779764.71319330717</v>
      </c>
      <c r="AR19" s="1066">
        <f t="shared" si="8"/>
        <v>-2636939.652761925</v>
      </c>
      <c r="AS19" s="1069">
        <f t="shared" si="8"/>
        <v>-1652783.952966196</v>
      </c>
      <c r="AT19" s="1067">
        <f t="shared" si="8"/>
        <v>-1477567.1713780053</v>
      </c>
      <c r="AU19" s="1066">
        <f t="shared" si="8"/>
        <v>-2158696.3798728641</v>
      </c>
      <c r="AV19" s="1070">
        <f t="shared" si="8"/>
        <v>-1889767.429773439</v>
      </c>
      <c r="AW19" s="1066">
        <f t="shared" si="8"/>
        <v>1104897.0742516939</v>
      </c>
      <c r="AX19" s="1069">
        <f t="shared" si="8"/>
        <v>-481880.85956268897</v>
      </c>
      <c r="AY19" s="1069">
        <f t="shared" si="8"/>
        <v>606272.01254363172</v>
      </c>
      <c r="AZ19" s="1069">
        <f t="shared" si="8"/>
        <v>-1190227.1708649267</v>
      </c>
      <c r="BA19" s="1070">
        <f t="shared" si="8"/>
        <v>-866219.30523405748</v>
      </c>
      <c r="BB19" s="1066">
        <f t="shared" si="8"/>
        <v>2898174.9242965225</v>
      </c>
      <c r="BC19" s="1069">
        <f t="shared" si="8"/>
        <v>623958.93682728778</v>
      </c>
      <c r="BD19" s="1067">
        <f t="shared" si="8"/>
        <v>-1170545.6935079433</v>
      </c>
      <c r="BE19" s="1066">
        <f t="shared" si="8"/>
        <v>-1566486.6578842914</v>
      </c>
      <c r="BF19" s="1071">
        <f>BF5+BF11-BF12</f>
        <v>3451320.0721135503</v>
      </c>
      <c r="BG19" s="1071">
        <f>BG5+BG11-BG12</f>
        <v>-133082.92788644973</v>
      </c>
      <c r="BH19" s="1007"/>
      <c r="BI19" s="1041"/>
      <c r="BJ19" s="1007"/>
      <c r="BK19" s="998"/>
    </row>
    <row r="20" spans="1:63" x14ac:dyDescent="0.25">
      <c r="A20" s="2240"/>
      <c r="B20" s="1034"/>
      <c r="C20" s="1064" t="s">
        <v>7</v>
      </c>
      <c r="D20" s="1042"/>
      <c r="E20" s="1043"/>
      <c r="F20" s="1044"/>
      <c r="G20" s="1045"/>
      <c r="H20" s="1046">
        <v>0</v>
      </c>
      <c r="I20" s="1044">
        <v>0</v>
      </c>
      <c r="J20" s="1043">
        <v>243940.28718161976</v>
      </c>
      <c r="K20" s="1047">
        <v>0</v>
      </c>
      <c r="L20" s="1043">
        <v>0</v>
      </c>
      <c r="M20" s="1046">
        <v>0</v>
      </c>
      <c r="N20" s="1044">
        <v>0</v>
      </c>
      <c r="O20" s="1043">
        <v>251677.35534484385</v>
      </c>
      <c r="P20" s="1047">
        <v>0</v>
      </c>
      <c r="Q20" s="1043">
        <v>0</v>
      </c>
      <c r="R20" s="1046">
        <v>0</v>
      </c>
      <c r="S20" s="1044">
        <v>210408</v>
      </c>
      <c r="T20" s="1043">
        <v>362109</v>
      </c>
      <c r="U20" s="1047">
        <v>0</v>
      </c>
      <c r="V20" s="1043">
        <v>251677.35534484385</v>
      </c>
      <c r="W20" s="1046">
        <v>0</v>
      </c>
      <c r="X20" s="1044">
        <v>0</v>
      </c>
      <c r="Y20" s="1043">
        <v>0</v>
      </c>
      <c r="Z20" s="1047">
        <v>0</v>
      </c>
      <c r="AA20" s="1043">
        <v>0</v>
      </c>
      <c r="AB20" s="1046">
        <v>147038.10999999999</v>
      </c>
      <c r="AC20" s="1044"/>
      <c r="AD20" s="1043"/>
      <c r="AE20" s="1047">
        <v>149500</v>
      </c>
      <c r="AF20" s="1043"/>
      <c r="AG20" s="1046">
        <v>0</v>
      </c>
      <c r="AH20" s="1044">
        <v>0</v>
      </c>
      <c r="AI20" s="1043">
        <v>0</v>
      </c>
      <c r="AJ20" s="1047">
        <v>0</v>
      </c>
      <c r="AK20" s="1043">
        <v>0</v>
      </c>
      <c r="AL20" s="1047">
        <v>185435.19015730795</v>
      </c>
      <c r="AM20" s="1043">
        <v>0</v>
      </c>
      <c r="AN20" s="1046">
        <v>0</v>
      </c>
      <c r="AO20" s="1044">
        <v>182644.12930284158</v>
      </c>
      <c r="AP20" s="1043">
        <v>0</v>
      </c>
      <c r="AQ20" s="1047">
        <v>0</v>
      </c>
      <c r="AR20" s="1043">
        <v>0</v>
      </c>
      <c r="AS20" s="1046">
        <v>0</v>
      </c>
      <c r="AT20" s="1044">
        <v>98296.231229229539</v>
      </c>
      <c r="AU20" s="1043">
        <v>0</v>
      </c>
      <c r="AV20" s="1047">
        <v>0</v>
      </c>
      <c r="AW20" s="1043">
        <f>420524.773280603-301120</f>
        <v>119404.773280603</v>
      </c>
      <c r="AX20" s="1046">
        <v>0</v>
      </c>
      <c r="AY20" s="1046">
        <v>0</v>
      </c>
      <c r="AZ20" s="1046">
        <v>0</v>
      </c>
      <c r="BA20" s="1047">
        <v>0</v>
      </c>
      <c r="BB20" s="1043">
        <v>0</v>
      </c>
      <c r="BC20" s="1046">
        <v>0</v>
      </c>
      <c r="BD20" s="1044">
        <v>38398</v>
      </c>
      <c r="BE20" s="1043">
        <v>0</v>
      </c>
      <c r="BF20" s="1048">
        <v>0</v>
      </c>
      <c r="BG20" s="1048"/>
      <c r="BH20" s="1007">
        <f t="shared" si="1"/>
        <v>2240528.4318412896</v>
      </c>
      <c r="BI20" s="1041">
        <f>+'Výdaje kapitol celkem'!I53</f>
        <v>2058522.1749999998</v>
      </c>
      <c r="BJ20" s="1007">
        <f t="shared" si="2"/>
        <v>-182006.25684128981</v>
      </c>
      <c r="BK20" s="998"/>
    </row>
    <row r="21" spans="1:63" x14ac:dyDescent="0.25">
      <c r="A21" s="2240"/>
      <c r="B21" s="1034"/>
      <c r="C21" s="1072" t="s">
        <v>347</v>
      </c>
      <c r="D21" s="1042"/>
      <c r="E21" s="1043"/>
      <c r="F21" s="1044"/>
      <c r="G21" s="1045">
        <v>0</v>
      </c>
      <c r="H21" s="1046">
        <v>103711.91920145362</v>
      </c>
      <c r="I21" s="1044">
        <v>0</v>
      </c>
      <c r="J21" s="1043">
        <v>0</v>
      </c>
      <c r="K21" s="1047">
        <v>103711.91920145362</v>
      </c>
      <c r="L21" s="1043">
        <v>0</v>
      </c>
      <c r="M21" s="1046">
        <v>0</v>
      </c>
      <c r="N21" s="1044">
        <v>0</v>
      </c>
      <c r="O21" s="1043">
        <v>103711.91920145362</v>
      </c>
      <c r="P21" s="1047">
        <v>0</v>
      </c>
      <c r="Q21" s="1043">
        <v>0</v>
      </c>
      <c r="R21" s="1046">
        <v>500000</v>
      </c>
      <c r="S21" s="1044">
        <v>0</v>
      </c>
      <c r="T21" s="1043">
        <v>103711.91920145362</v>
      </c>
      <c r="U21" s="1047">
        <v>0</v>
      </c>
      <c r="V21" s="1043">
        <v>0</v>
      </c>
      <c r="W21" s="1046">
        <v>0</v>
      </c>
      <c r="X21" s="1044">
        <v>0</v>
      </c>
      <c r="Y21" s="1043">
        <v>244000</v>
      </c>
      <c r="Z21" s="1047"/>
      <c r="AA21" s="1043">
        <v>0</v>
      </c>
      <c r="AB21" s="1046"/>
      <c r="AC21" s="1044"/>
      <c r="AD21" s="1043"/>
      <c r="AE21" s="1047"/>
      <c r="AF21" s="1043"/>
      <c r="AG21" s="1046">
        <v>0</v>
      </c>
      <c r="AH21" s="1044">
        <v>0</v>
      </c>
      <c r="AI21" s="1043">
        <v>0</v>
      </c>
      <c r="AJ21" s="1047">
        <v>103711.91920145362</v>
      </c>
      <c r="AK21" s="1043">
        <v>0</v>
      </c>
      <c r="AL21" s="1047">
        <v>0</v>
      </c>
      <c r="AM21" s="1043">
        <v>0</v>
      </c>
      <c r="AN21" s="1046">
        <v>103711.91920145362</v>
      </c>
      <c r="AO21" s="1044">
        <v>0</v>
      </c>
      <c r="AP21" s="1043">
        <v>103711.91920145362</v>
      </c>
      <c r="AQ21" s="1047">
        <v>0</v>
      </c>
      <c r="AR21" s="1043">
        <v>0</v>
      </c>
      <c r="AS21" s="1046">
        <v>0</v>
      </c>
      <c r="AT21" s="1044">
        <v>0</v>
      </c>
      <c r="AU21" s="1043">
        <v>0</v>
      </c>
      <c r="AV21" s="1047">
        <v>103711.91920145362</v>
      </c>
      <c r="AW21" s="1043">
        <v>200000</v>
      </c>
      <c r="AX21" s="1046">
        <v>0</v>
      </c>
      <c r="AY21" s="1046">
        <v>0</v>
      </c>
      <c r="AZ21" s="1046">
        <v>103711.91920145362</v>
      </c>
      <c r="BA21" s="1047">
        <v>0</v>
      </c>
      <c r="BB21" s="1043">
        <v>0</v>
      </c>
      <c r="BC21" s="1046">
        <v>0</v>
      </c>
      <c r="BD21" s="1044">
        <v>151597.97163778674</v>
      </c>
      <c r="BE21" s="1043">
        <v>0</v>
      </c>
      <c r="BF21" s="1048">
        <f>300000-140288</f>
        <v>159712</v>
      </c>
      <c r="BG21" s="1048"/>
      <c r="BH21" s="1007">
        <f t="shared" si="1"/>
        <v>2188717.24445087</v>
      </c>
      <c r="BI21" s="1041">
        <f>'Výdaje kapitol celkem'!H66</f>
        <v>2944000</v>
      </c>
      <c r="BJ21" s="1007">
        <f t="shared" si="2"/>
        <v>755282.75554913003</v>
      </c>
      <c r="BK21" s="998"/>
    </row>
    <row r="22" spans="1:63" x14ac:dyDescent="0.25">
      <c r="A22" s="2240"/>
      <c r="B22" s="1034"/>
      <c r="C22" s="1072" t="s">
        <v>142</v>
      </c>
      <c r="D22" s="1042"/>
      <c r="E22" s="1043"/>
      <c r="F22" s="1044"/>
      <c r="G22" s="1045"/>
      <c r="H22" s="1046"/>
      <c r="I22" s="1044"/>
      <c r="J22" s="1043"/>
      <c r="K22" s="1047"/>
      <c r="L22" s="1043"/>
      <c r="M22" s="1046"/>
      <c r="N22" s="1044"/>
      <c r="O22" s="1043"/>
      <c r="P22" s="1047"/>
      <c r="Q22" s="1043"/>
      <c r="R22" s="1046"/>
      <c r="S22" s="1044"/>
      <c r="T22" s="1043"/>
      <c r="U22" s="1047"/>
      <c r="V22" s="1043"/>
      <c r="W22" s="1046"/>
      <c r="X22" s="1044"/>
      <c r="Y22" s="1043"/>
      <c r="Z22" s="1047"/>
      <c r="AA22" s="1043"/>
      <c r="AB22" s="1046"/>
      <c r="AC22" s="1044"/>
      <c r="AD22" s="1043"/>
      <c r="AE22" s="1047"/>
      <c r="AF22" s="1043"/>
      <c r="AG22" s="1046"/>
      <c r="AH22" s="1044"/>
      <c r="AI22" s="1043"/>
      <c r="AJ22" s="1047"/>
      <c r="AK22" s="1043"/>
      <c r="AL22" s="1047"/>
      <c r="AM22" s="1043"/>
      <c r="AN22" s="1046"/>
      <c r="AO22" s="1044"/>
      <c r="AP22" s="1043"/>
      <c r="AQ22" s="1047"/>
      <c r="AR22" s="1043"/>
      <c r="AS22" s="1046"/>
      <c r="AT22" s="1044"/>
      <c r="AU22" s="1043"/>
      <c r="AV22" s="1047"/>
      <c r="AW22" s="1043"/>
      <c r="AX22" s="1046"/>
      <c r="AY22" s="1046"/>
      <c r="AZ22" s="1046"/>
      <c r="BA22" s="1047"/>
      <c r="BB22" s="1043"/>
      <c r="BC22" s="1046"/>
      <c r="BD22" s="1044"/>
      <c r="BE22" s="1043"/>
      <c r="BF22" s="1048"/>
      <c r="BG22" s="1048"/>
      <c r="BH22" s="1007">
        <f t="shared" si="1"/>
        <v>0</v>
      </c>
      <c r="BI22" s="1041"/>
      <c r="BJ22" s="1007">
        <f t="shared" si="2"/>
        <v>0</v>
      </c>
      <c r="BK22" s="998"/>
    </row>
    <row r="23" spans="1:63" s="1020" customFormat="1" ht="14.25" thickBot="1" x14ac:dyDescent="0.3">
      <c r="A23" s="2241"/>
      <c r="B23" s="2244" t="s">
        <v>538</v>
      </c>
      <c r="C23" s="2245"/>
      <c r="D23" s="1065">
        <f t="shared" ref="D23:BF23" si="10">D19-D20-D22-D21</f>
        <v>0</v>
      </c>
      <c r="E23" s="1066">
        <f t="shared" si="10"/>
        <v>0</v>
      </c>
      <c r="F23" s="1067">
        <f t="shared" si="10"/>
        <v>0</v>
      </c>
      <c r="G23" s="1068">
        <f t="shared" si="10"/>
        <v>3162297</v>
      </c>
      <c r="H23" s="1069">
        <f t="shared" si="10"/>
        <v>6663029.0807985468</v>
      </c>
      <c r="I23" s="1067">
        <f t="shared" si="10"/>
        <v>5625776.0807985468</v>
      </c>
      <c r="J23" s="1066">
        <f t="shared" si="10"/>
        <v>9550465.7128183804</v>
      </c>
      <c r="K23" s="1070">
        <f t="shared" si="10"/>
        <v>6394344.2178053008</v>
      </c>
      <c r="L23" s="1066">
        <f t="shared" si="10"/>
        <v>12730155.2178053</v>
      </c>
      <c r="M23" s="1069">
        <f t="shared" si="10"/>
        <v>8681995.884471966</v>
      </c>
      <c r="N23" s="1067">
        <f t="shared" si="10"/>
        <v>3923225.8344719661</v>
      </c>
      <c r="O23" s="1066">
        <f t="shared" si="10"/>
        <v>2736726.2265923354</v>
      </c>
      <c r="P23" s="1070">
        <f t="shared" si="10"/>
        <v>6435068.7865923354</v>
      </c>
      <c r="Q23" s="1066">
        <f t="shared" si="10"/>
        <v>1130676.7865923354</v>
      </c>
      <c r="R23" s="1069">
        <f t="shared" si="10"/>
        <v>-689140.13340766449</v>
      </c>
      <c r="S23" s="1067">
        <f t="shared" si="10"/>
        <v>2276267.8665923355</v>
      </c>
      <c r="T23" s="1066">
        <f t="shared" si="10"/>
        <v>3566145.9473908818</v>
      </c>
      <c r="U23" s="1070">
        <f t="shared" si="10"/>
        <v>2252365.9473908823</v>
      </c>
      <c r="V23" s="1066">
        <f t="shared" si="10"/>
        <v>781130.04204603867</v>
      </c>
      <c r="W23" s="1069">
        <f t="shared" si="10"/>
        <v>505767.70871270541</v>
      </c>
      <c r="X23" s="1067">
        <f t="shared" si="10"/>
        <v>568474.20871270541</v>
      </c>
      <c r="Y23" s="1066">
        <f t="shared" si="10"/>
        <v>3868801.9487127056</v>
      </c>
      <c r="Z23" s="1070">
        <f t="shared" si="10"/>
        <v>8846681.4587127045</v>
      </c>
      <c r="AA23" s="1066">
        <f t="shared" si="10"/>
        <v>8904110.4487127047</v>
      </c>
      <c r="AB23" s="1069">
        <f t="shared" si="10"/>
        <v>8094743.6287127044</v>
      </c>
      <c r="AC23" s="1067">
        <f t="shared" si="10"/>
        <v>5932055.6287127044</v>
      </c>
      <c r="AD23" s="1066">
        <f t="shared" si="10"/>
        <v>4498379.6287127044</v>
      </c>
      <c r="AE23" s="1070">
        <f t="shared" si="10"/>
        <v>8577958.898712704</v>
      </c>
      <c r="AF23" s="1066">
        <f t="shared" si="10"/>
        <v>6538321.6587127037</v>
      </c>
      <c r="AG23" s="1069">
        <f t="shared" si="10"/>
        <v>3683198.1573579097</v>
      </c>
      <c r="AH23" s="1067">
        <f t="shared" si="10"/>
        <v>6470110.6311662542</v>
      </c>
      <c r="AI23" s="1066">
        <f t="shared" si="10"/>
        <v>1995628.9466934958</v>
      </c>
      <c r="AJ23" s="1070">
        <f t="shared" si="10"/>
        <v>1641340.9112203333</v>
      </c>
      <c r="AK23" s="1066">
        <f t="shared" si="10"/>
        <v>-1300392.4705204826</v>
      </c>
      <c r="AL23" s="1070">
        <f t="shared" si="10"/>
        <v>1158651.9059911801</v>
      </c>
      <c r="AM23" s="1066">
        <f t="shared" si="10"/>
        <v>2006813.4547016148</v>
      </c>
      <c r="AN23" s="1069">
        <f t="shared" si="10"/>
        <v>-1152906.8327528224</v>
      </c>
      <c r="AO23" s="1067">
        <f t="shared" si="10"/>
        <v>-2045061.086673636</v>
      </c>
      <c r="AP23" s="1066">
        <f t="shared" si="10"/>
        <v>2063088.087950577</v>
      </c>
      <c r="AQ23" s="1070">
        <f t="shared" si="10"/>
        <v>-779764.71319330717</v>
      </c>
      <c r="AR23" s="1066">
        <f t="shared" si="10"/>
        <v>-2636939.652761925</v>
      </c>
      <c r="AS23" s="1069">
        <f t="shared" si="10"/>
        <v>-1652783.952966196</v>
      </c>
      <c r="AT23" s="1067">
        <f t="shared" si="10"/>
        <v>-1575863.4026072349</v>
      </c>
      <c r="AU23" s="1066">
        <f t="shared" si="10"/>
        <v>-2158696.3798728641</v>
      </c>
      <c r="AV23" s="1070">
        <f t="shared" si="10"/>
        <v>-1993479.3489748926</v>
      </c>
      <c r="AW23" s="1066">
        <f t="shared" si="10"/>
        <v>785492.30097109091</v>
      </c>
      <c r="AX23" s="1069">
        <f t="shared" si="10"/>
        <v>-481880.85956268897</v>
      </c>
      <c r="AY23" s="1069">
        <f t="shared" si="10"/>
        <v>606272.01254363172</v>
      </c>
      <c r="AZ23" s="1069">
        <f t="shared" si="10"/>
        <v>-1293939.0900663803</v>
      </c>
      <c r="BA23" s="1070">
        <f t="shared" si="10"/>
        <v>-866219.30523405748</v>
      </c>
      <c r="BB23" s="1066">
        <f t="shared" si="10"/>
        <v>2898174.9242965225</v>
      </c>
      <c r="BC23" s="1069">
        <f t="shared" si="10"/>
        <v>623958.93682728778</v>
      </c>
      <c r="BD23" s="1067">
        <f t="shared" si="10"/>
        <v>-1360541.6651457301</v>
      </c>
      <c r="BE23" s="1066">
        <f t="shared" si="10"/>
        <v>-1566486.6578842914</v>
      </c>
      <c r="BF23" s="1071">
        <f t="shared" si="10"/>
        <v>3291608.0721135503</v>
      </c>
      <c r="BG23" s="1071">
        <f t="shared" ref="BG23" si="11">BG19-BG20-BG22-BG21</f>
        <v>-133082.92788644973</v>
      </c>
      <c r="BH23" s="1007"/>
      <c r="BI23" s="1041"/>
      <c r="BJ23" s="1007"/>
      <c r="BK23" s="998"/>
    </row>
    <row r="24" spans="1:63" x14ac:dyDescent="0.25">
      <c r="A24" s="2239" t="s">
        <v>546</v>
      </c>
      <c r="B24" s="1034"/>
      <c r="C24" s="1064" t="s">
        <v>265</v>
      </c>
      <c r="D24" s="1042"/>
      <c r="E24" s="1043"/>
      <c r="F24" s="1044"/>
      <c r="G24" s="1045">
        <v>0</v>
      </c>
      <c r="H24" s="1046">
        <v>0</v>
      </c>
      <c r="I24" s="1044">
        <v>0</v>
      </c>
      <c r="J24" s="1043">
        <v>0</v>
      </c>
      <c r="K24" s="1047">
        <v>0</v>
      </c>
      <c r="L24" s="1043">
        <v>5416.666666666667</v>
      </c>
      <c r="M24" s="1046">
        <v>0</v>
      </c>
      <c r="N24" s="1044">
        <v>5416.666666666667</v>
      </c>
      <c r="O24" s="1043">
        <v>0</v>
      </c>
      <c r="P24" s="1047">
        <v>0</v>
      </c>
      <c r="Q24" s="1043">
        <v>0</v>
      </c>
      <c r="R24" s="1046">
        <v>0</v>
      </c>
      <c r="S24" s="1044">
        <v>0</v>
      </c>
      <c r="T24" s="1043">
        <v>0</v>
      </c>
      <c r="U24" s="1047">
        <v>0</v>
      </c>
      <c r="V24" s="1043">
        <v>5416.666666666667</v>
      </c>
      <c r="W24" s="1046">
        <v>0</v>
      </c>
      <c r="X24" s="1044">
        <v>0</v>
      </c>
      <c r="Y24" s="1043">
        <v>0</v>
      </c>
      <c r="Z24" s="1047">
        <v>0</v>
      </c>
      <c r="AA24" s="1043">
        <v>0</v>
      </c>
      <c r="AB24" s="1046">
        <v>0</v>
      </c>
      <c r="AC24" s="1044">
        <v>0</v>
      </c>
      <c r="AD24" s="1043">
        <v>0</v>
      </c>
      <c r="AE24" s="1047">
        <v>0</v>
      </c>
      <c r="AF24" s="1043">
        <v>0</v>
      </c>
      <c r="AG24" s="1046">
        <v>0</v>
      </c>
      <c r="AH24" s="1044">
        <v>5416.666666666667</v>
      </c>
      <c r="AI24" s="1043">
        <v>0</v>
      </c>
      <c r="AJ24" s="1047">
        <v>0</v>
      </c>
      <c r="AK24" s="1043">
        <v>0</v>
      </c>
      <c r="AL24" s="1047">
        <v>5416.666666666667</v>
      </c>
      <c r="AM24" s="1043">
        <v>0</v>
      </c>
      <c r="AN24" s="1046">
        <v>0</v>
      </c>
      <c r="AO24" s="1044">
        <v>0</v>
      </c>
      <c r="AP24" s="1043">
        <v>5416.666666666667</v>
      </c>
      <c r="AQ24" s="1047">
        <v>0</v>
      </c>
      <c r="AR24" s="1043">
        <v>0</v>
      </c>
      <c r="AS24" s="1046">
        <v>0</v>
      </c>
      <c r="AT24" s="1044">
        <v>5416.666666666667</v>
      </c>
      <c r="AU24" s="1043">
        <v>0</v>
      </c>
      <c r="AV24" s="1047">
        <v>0</v>
      </c>
      <c r="AW24" s="1043">
        <v>0</v>
      </c>
      <c r="AX24" s="1046">
        <v>5416.666666666667</v>
      </c>
      <c r="AY24" s="1046">
        <v>0</v>
      </c>
      <c r="AZ24" s="1046">
        <v>0</v>
      </c>
      <c r="BA24" s="1047">
        <v>0</v>
      </c>
      <c r="BB24" s="1043">
        <v>5416.666666666667</v>
      </c>
      <c r="BC24" s="1046">
        <v>0</v>
      </c>
      <c r="BD24" s="1044">
        <v>5416</v>
      </c>
      <c r="BE24" s="1043">
        <v>0</v>
      </c>
      <c r="BF24" s="1048">
        <v>5417</v>
      </c>
      <c r="BG24" s="1048"/>
      <c r="BH24" s="1007">
        <f t="shared" si="1"/>
        <v>59583</v>
      </c>
      <c r="BI24" s="1041">
        <f>'Souhrn příjmů a výdajů 2021'!I57</f>
        <v>65000</v>
      </c>
      <c r="BJ24" s="1007">
        <f t="shared" si="2"/>
        <v>5417</v>
      </c>
      <c r="BK24" s="998"/>
    </row>
    <row r="25" spans="1:63" x14ac:dyDescent="0.25">
      <c r="A25" s="2240"/>
      <c r="B25" s="1034"/>
      <c r="C25" s="1064" t="s">
        <v>539</v>
      </c>
      <c r="D25" s="1042"/>
      <c r="E25" s="1043"/>
      <c r="F25" s="1044"/>
      <c r="G25" s="1045"/>
      <c r="H25" s="1046"/>
      <c r="I25" s="1044"/>
      <c r="J25" s="1043"/>
      <c r="K25" s="1047"/>
      <c r="L25" s="1043"/>
      <c r="M25" s="1046"/>
      <c r="N25" s="1044"/>
      <c r="O25" s="1043"/>
      <c r="P25" s="1047"/>
      <c r="Q25" s="1043"/>
      <c r="R25" s="1046"/>
      <c r="S25" s="1044"/>
      <c r="T25" s="1043"/>
      <c r="U25" s="1047"/>
      <c r="V25" s="1043"/>
      <c r="W25" s="1046"/>
      <c r="X25" s="1044"/>
      <c r="Y25" s="1043"/>
      <c r="Z25" s="1047"/>
      <c r="AA25" s="1043"/>
      <c r="AB25" s="1046"/>
      <c r="AC25" s="1044"/>
      <c r="AD25" s="1043"/>
      <c r="AE25" s="1047"/>
      <c r="AF25" s="1043"/>
      <c r="AG25" s="1046"/>
      <c r="AH25" s="1044"/>
      <c r="AI25" s="1043"/>
      <c r="AJ25" s="1047"/>
      <c r="AK25" s="1043"/>
      <c r="AL25" s="1047"/>
      <c r="AM25" s="1043"/>
      <c r="AN25" s="1046"/>
      <c r="AO25" s="1044"/>
      <c r="AP25" s="1043"/>
      <c r="AQ25" s="1047"/>
      <c r="AR25" s="1043"/>
      <c r="AS25" s="1046"/>
      <c r="AT25" s="1044"/>
      <c r="AU25" s="1043"/>
      <c r="AV25" s="1047"/>
      <c r="AW25" s="1043"/>
      <c r="AX25" s="1046"/>
      <c r="AY25" s="1046"/>
      <c r="AZ25" s="1046"/>
      <c r="BA25" s="1047"/>
      <c r="BB25" s="1043"/>
      <c r="BC25" s="1046"/>
      <c r="BD25" s="1044"/>
      <c r="BE25" s="1043"/>
      <c r="BF25" s="1048"/>
      <c r="BG25" s="1048"/>
      <c r="BH25" s="1007">
        <f t="shared" si="1"/>
        <v>0</v>
      </c>
      <c r="BI25" s="1041"/>
      <c r="BJ25" s="1007">
        <f t="shared" si="2"/>
        <v>0</v>
      </c>
      <c r="BK25" s="998"/>
    </row>
    <row r="26" spans="1:63" s="1080" customFormat="1" ht="15.75" customHeight="1" thickBot="1" x14ac:dyDescent="0.3">
      <c r="A26" s="2240"/>
      <c r="B26" s="2248" t="s">
        <v>540</v>
      </c>
      <c r="C26" s="2249"/>
      <c r="D26" s="1073">
        <f t="shared" ref="D26:K26" si="12">SUM(D27:D50)</f>
        <v>0</v>
      </c>
      <c r="E26" s="1074">
        <f t="shared" ref="E26:F26" si="13">SUM(E27:E50)</f>
        <v>0</v>
      </c>
      <c r="F26" s="1075">
        <f t="shared" si="13"/>
        <v>0</v>
      </c>
      <c r="G26" s="1076">
        <f t="shared" si="12"/>
        <v>0</v>
      </c>
      <c r="H26" s="1077">
        <f t="shared" si="12"/>
        <v>0</v>
      </c>
      <c r="I26" s="1075">
        <f t="shared" si="12"/>
        <v>42350</v>
      </c>
      <c r="J26" s="1074">
        <f t="shared" si="12"/>
        <v>33341.550000000003</v>
      </c>
      <c r="K26" s="1078">
        <f t="shared" si="12"/>
        <v>174032</v>
      </c>
      <c r="L26" s="1074">
        <f t="shared" ref="L26:BF26" si="14">SUM(L27:L50)</f>
        <v>0</v>
      </c>
      <c r="M26" s="1077">
        <f t="shared" si="14"/>
        <v>6364119.0499999998</v>
      </c>
      <c r="N26" s="1075">
        <f t="shared" si="14"/>
        <v>33342</v>
      </c>
      <c r="O26" s="1074">
        <f t="shared" si="14"/>
        <v>69775.44</v>
      </c>
      <c r="P26" s="1078">
        <f t="shared" si="14"/>
        <v>2861059</v>
      </c>
      <c r="Q26" s="1074">
        <f t="shared" si="14"/>
        <v>148294.92000000001</v>
      </c>
      <c r="R26" s="1077">
        <f t="shared" si="14"/>
        <v>22240</v>
      </c>
      <c r="S26" s="1075">
        <f t="shared" si="14"/>
        <v>333864</v>
      </c>
      <c r="T26" s="1074">
        <f t="shared" si="14"/>
        <v>39325</v>
      </c>
      <c r="U26" s="1078">
        <f t="shared" si="14"/>
        <v>76033.55</v>
      </c>
      <c r="V26" s="1074">
        <f t="shared" si="14"/>
        <v>44510</v>
      </c>
      <c r="W26" s="1077">
        <f t="shared" si="14"/>
        <v>51492</v>
      </c>
      <c r="X26" s="1075">
        <f t="shared" si="14"/>
        <v>0</v>
      </c>
      <c r="Y26" s="1074">
        <f t="shared" si="14"/>
        <v>0</v>
      </c>
      <c r="Z26" s="1078">
        <f t="shared" si="14"/>
        <v>78970</v>
      </c>
      <c r="AA26" s="1074">
        <f t="shared" si="14"/>
        <v>5139636.47</v>
      </c>
      <c r="AB26" s="1077">
        <f t="shared" si="14"/>
        <v>0</v>
      </c>
      <c r="AC26" s="1075">
        <f t="shared" si="14"/>
        <v>8470</v>
      </c>
      <c r="AD26" s="1074">
        <f t="shared" si="14"/>
        <v>182393</v>
      </c>
      <c r="AE26" s="1078">
        <f>SUM(AE27:AE50)</f>
        <v>2629523.2400000002</v>
      </c>
      <c r="AF26" s="1074">
        <f t="shared" si="14"/>
        <v>1409854</v>
      </c>
      <c r="AG26" s="1077">
        <f t="shared" si="14"/>
        <v>0</v>
      </c>
      <c r="AH26" s="1075">
        <f t="shared" si="14"/>
        <v>2500000</v>
      </c>
      <c r="AI26" s="1074">
        <f t="shared" si="14"/>
        <v>0</v>
      </c>
      <c r="AJ26" s="1078">
        <f t="shared" si="14"/>
        <v>2500000</v>
      </c>
      <c r="AK26" s="1074">
        <f t="shared" si="14"/>
        <v>31274</v>
      </c>
      <c r="AL26" s="1078">
        <f t="shared" si="14"/>
        <v>0</v>
      </c>
      <c r="AM26" s="1074">
        <f t="shared" si="14"/>
        <v>16597</v>
      </c>
      <c r="AN26" s="1077">
        <f t="shared" si="14"/>
        <v>0</v>
      </c>
      <c r="AO26" s="1075">
        <f t="shared" si="14"/>
        <v>0</v>
      </c>
      <c r="AP26" s="1074">
        <f t="shared" si="14"/>
        <v>30000</v>
      </c>
      <c r="AQ26" s="1078">
        <f t="shared" si="14"/>
        <v>0</v>
      </c>
      <c r="AR26" s="1074">
        <f t="shared" si="14"/>
        <v>0</v>
      </c>
      <c r="AS26" s="1077">
        <f t="shared" si="14"/>
        <v>43000</v>
      </c>
      <c r="AT26" s="1075">
        <f t="shared" si="14"/>
        <v>80000</v>
      </c>
      <c r="AU26" s="1074">
        <f t="shared" si="14"/>
        <v>0</v>
      </c>
      <c r="AV26" s="1078">
        <f t="shared" si="14"/>
        <v>0</v>
      </c>
      <c r="AW26" s="1074">
        <f t="shared" si="14"/>
        <v>0</v>
      </c>
      <c r="AX26" s="1077">
        <f t="shared" si="14"/>
        <v>104700</v>
      </c>
      <c r="AY26" s="1077">
        <f t="shared" si="14"/>
        <v>0</v>
      </c>
      <c r="AZ26" s="1077">
        <f t="shared" si="14"/>
        <v>886406</v>
      </c>
      <c r="BA26" s="1078">
        <f t="shared" si="14"/>
        <v>550000</v>
      </c>
      <c r="BB26" s="1074">
        <f t="shared" si="14"/>
        <v>0</v>
      </c>
      <c r="BC26" s="1077">
        <f t="shared" si="14"/>
        <v>0</v>
      </c>
      <c r="BD26" s="1075">
        <f t="shared" si="14"/>
        <v>384508</v>
      </c>
      <c r="BE26" s="1074">
        <f t="shared" si="14"/>
        <v>0</v>
      </c>
      <c r="BF26" s="1079">
        <f t="shared" si="14"/>
        <v>77435</v>
      </c>
      <c r="BG26" s="1079">
        <f t="shared" ref="BG26" si="15">SUM(BG27:BG50)</f>
        <v>700000</v>
      </c>
      <c r="BH26" s="1007"/>
      <c r="BI26" s="1007"/>
      <c r="BJ26" s="1007"/>
      <c r="BK26" s="1002"/>
    </row>
    <row r="27" spans="1:63" s="1080" customFormat="1" outlineLevel="1" x14ac:dyDescent="0.25">
      <c r="A27" s="2240"/>
      <c r="B27" s="1081"/>
      <c r="C27" s="1082" t="s">
        <v>1071</v>
      </c>
      <c r="D27" s="1083"/>
      <c r="E27" s="1084"/>
      <c r="F27" s="1085"/>
      <c r="G27" s="1086"/>
      <c r="H27" s="1087"/>
      <c r="I27" s="1085"/>
      <c r="J27" s="1084"/>
      <c r="K27" s="1088"/>
      <c r="L27" s="1089"/>
      <c r="M27" s="1087"/>
      <c r="N27" s="1085"/>
      <c r="O27" s="1089"/>
      <c r="P27" s="1088"/>
      <c r="Q27" s="1089"/>
      <c r="R27" s="1087"/>
      <c r="S27" s="1085">
        <f>494396-162532</f>
        <v>331864</v>
      </c>
      <c r="T27" s="1089"/>
      <c r="U27" s="1088"/>
      <c r="V27" s="1089"/>
      <c r="W27" s="1087"/>
      <c r="X27" s="1085"/>
      <c r="Y27" s="1089">
        <v>0</v>
      </c>
      <c r="Z27" s="1089">
        <v>68970</v>
      </c>
      <c r="AA27" s="1089"/>
      <c r="AB27" s="1087"/>
      <c r="AC27" s="1085">
        <v>8470</v>
      </c>
      <c r="AD27" s="1089">
        <v>6050</v>
      </c>
      <c r="AE27" s="1088"/>
      <c r="AF27" s="1089"/>
      <c r="AG27" s="1087"/>
      <c r="AH27" s="1085"/>
      <c r="AI27" s="1089"/>
      <c r="AJ27" s="1088"/>
      <c r="AK27" s="1089"/>
      <c r="AL27" s="1088"/>
      <c r="AM27" s="1089"/>
      <c r="AN27" s="1087"/>
      <c r="AO27" s="1085"/>
      <c r="AP27" s="1089"/>
      <c r="AQ27" s="1088"/>
      <c r="AR27" s="1089"/>
      <c r="AS27" s="1087"/>
      <c r="AT27" s="1085"/>
      <c r="AU27" s="1089"/>
      <c r="AV27" s="1088"/>
      <c r="AW27" s="1089"/>
      <c r="AX27" s="1087"/>
      <c r="AY27" s="1087"/>
      <c r="AZ27" s="1087"/>
      <c r="BA27" s="1088"/>
      <c r="BB27" s="1089"/>
      <c r="BC27" s="1087"/>
      <c r="BD27" s="1085"/>
      <c r="BE27" s="1089"/>
      <c r="BF27" s="1090"/>
      <c r="BG27" s="1090"/>
      <c r="BH27" s="1007">
        <f t="shared" si="1"/>
        <v>415354</v>
      </c>
      <c r="BI27" s="1041" t="e">
        <f>'Výdaje kapitol celkem'!BS69-'Výdaje kapitol celkem'!BS64-BI28</f>
        <v>#REF!</v>
      </c>
      <c r="BJ27" s="1007" t="e">
        <f t="shared" si="2"/>
        <v>#REF!</v>
      </c>
      <c r="BK27" s="998"/>
    </row>
    <row r="28" spans="1:63" s="1080" customFormat="1" outlineLevel="1" x14ac:dyDescent="0.25">
      <c r="A28" s="2240"/>
      <c r="B28" s="1081"/>
      <c r="C28" s="1082" t="s">
        <v>1066</v>
      </c>
      <c r="D28" s="1083"/>
      <c r="E28" s="1091"/>
      <c r="F28" s="1085"/>
      <c r="G28" s="1086"/>
      <c r="H28" s="1087"/>
      <c r="I28" s="1085"/>
      <c r="J28" s="1091"/>
      <c r="K28" s="1088"/>
      <c r="L28" s="1089"/>
      <c r="M28" s="1087">
        <v>529119.05000000005</v>
      </c>
      <c r="N28" s="1085"/>
      <c r="O28" s="1089"/>
      <c r="P28" s="1088"/>
      <c r="Q28" s="1089">
        <f>16210.37+38115</f>
        <v>54325.37</v>
      </c>
      <c r="R28" s="1087"/>
      <c r="S28" s="1085">
        <v>2000</v>
      </c>
      <c r="T28" s="1089"/>
      <c r="U28" s="1088"/>
      <c r="V28" s="1089"/>
      <c r="W28" s="1087">
        <v>18150</v>
      </c>
      <c r="X28" s="1085"/>
      <c r="Y28" s="1089"/>
      <c r="Z28" s="1089">
        <v>10000</v>
      </c>
      <c r="AA28" s="1089"/>
      <c r="AB28" s="1087"/>
      <c r="AC28" s="1085"/>
      <c r="AD28" s="1089"/>
      <c r="AE28" s="1088"/>
      <c r="AF28" s="1089"/>
      <c r="AG28" s="1087"/>
      <c r="AH28" s="1085"/>
      <c r="AI28" s="1089"/>
      <c r="AJ28" s="1088"/>
      <c r="AK28" s="1089"/>
      <c r="AL28" s="1088"/>
      <c r="AM28" s="1089"/>
      <c r="AN28" s="1087"/>
      <c r="AO28" s="1085"/>
      <c r="AP28" s="1089"/>
      <c r="AQ28" s="1088"/>
      <c r="AR28" s="1089"/>
      <c r="AS28" s="1087"/>
      <c r="AT28" s="1085"/>
      <c r="AU28" s="1089"/>
      <c r="AV28" s="1088"/>
      <c r="AW28" s="1089"/>
      <c r="AX28" s="1087"/>
      <c r="AY28" s="1087"/>
      <c r="AZ28" s="1087">
        <f>1500000-603594-10000</f>
        <v>886406</v>
      </c>
      <c r="BA28" s="1088"/>
      <c r="BB28" s="1089"/>
      <c r="BC28" s="1087"/>
      <c r="BD28" s="1085"/>
      <c r="BE28" s="1089"/>
      <c r="BF28" s="1090"/>
      <c r="BG28" s="1090"/>
      <c r="BH28" s="1007">
        <f t="shared" si="1"/>
        <v>1500000.42</v>
      </c>
      <c r="BI28" s="1041" t="e">
        <f>'Investice celkem  2021'!#REF!</f>
        <v>#REF!</v>
      </c>
      <c r="BJ28" s="1007" t="e">
        <f t="shared" si="2"/>
        <v>#REF!</v>
      </c>
      <c r="BK28" s="998"/>
    </row>
    <row r="29" spans="1:63" s="1080" customFormat="1" outlineLevel="1" x14ac:dyDescent="0.25">
      <c r="A29" s="2240"/>
      <c r="B29" s="1081"/>
      <c r="C29" s="1082" t="s">
        <v>1077</v>
      </c>
      <c r="D29" s="1083"/>
      <c r="E29" s="1091"/>
      <c r="F29" s="1085"/>
      <c r="G29" s="1086"/>
      <c r="H29" s="1087"/>
      <c r="I29" s="1085"/>
      <c r="J29" s="1091"/>
      <c r="K29" s="1088"/>
      <c r="L29" s="1089"/>
      <c r="M29" s="1087"/>
      <c r="N29" s="1085"/>
      <c r="O29" s="1089"/>
      <c r="P29" s="1088"/>
      <c r="Q29" s="1089"/>
      <c r="R29" s="1087"/>
      <c r="S29" s="1085"/>
      <c r="T29" s="1089"/>
      <c r="U29" s="1088"/>
      <c r="V29" s="1089"/>
      <c r="W29" s="1087"/>
      <c r="X29" s="1085"/>
      <c r="Y29" s="1089"/>
      <c r="Z29" s="1088"/>
      <c r="AA29" s="1089"/>
      <c r="AB29" s="1087"/>
      <c r="AC29" s="1085"/>
      <c r="AD29" s="1089"/>
      <c r="AE29" s="1088"/>
      <c r="AF29" s="1089"/>
      <c r="AG29" s="1087"/>
      <c r="AH29" s="1085"/>
      <c r="AI29" s="1089"/>
      <c r="AJ29" s="1088"/>
      <c r="AK29" s="1089"/>
      <c r="AL29" s="1088"/>
      <c r="AM29" s="1089"/>
      <c r="AN29" s="1087"/>
      <c r="AO29" s="1085"/>
      <c r="AP29" s="1089"/>
      <c r="AQ29" s="1088"/>
      <c r="AR29" s="1089"/>
      <c r="AS29" s="1087"/>
      <c r="AT29" s="1085"/>
      <c r="AU29" s="1089"/>
      <c r="AV29" s="1088"/>
      <c r="AW29" s="1089"/>
      <c r="AX29" s="1087"/>
      <c r="AY29" s="1087"/>
      <c r="AZ29" s="1087"/>
      <c r="BA29" s="1088"/>
      <c r="BB29" s="1089"/>
      <c r="BC29" s="1087"/>
      <c r="BD29" s="1085">
        <v>70000</v>
      </c>
      <c r="BE29" s="1089"/>
      <c r="BF29" s="1090"/>
      <c r="BG29" s="1090"/>
      <c r="BH29" s="1007">
        <f t="shared" si="1"/>
        <v>70000</v>
      </c>
      <c r="BI29" s="1041">
        <f>'Výdaje kapitol celkem'!DL69</f>
        <v>0</v>
      </c>
      <c r="BJ29" s="1007">
        <f t="shared" si="2"/>
        <v>-70000</v>
      </c>
      <c r="BK29" s="998"/>
    </row>
    <row r="30" spans="1:63" s="1080" customFormat="1" outlineLevel="1" x14ac:dyDescent="0.25">
      <c r="A30" s="2240"/>
      <c r="B30" s="1081"/>
      <c r="C30" s="1082" t="s">
        <v>176</v>
      </c>
      <c r="D30" s="1083"/>
      <c r="E30" s="1089"/>
      <c r="F30" s="1085"/>
      <c r="G30" s="1086"/>
      <c r="H30" s="1087"/>
      <c r="I30" s="1085"/>
      <c r="J30" s="1089"/>
      <c r="K30" s="1088"/>
      <c r="L30" s="1089"/>
      <c r="M30" s="1087"/>
      <c r="N30" s="1085"/>
      <c r="O30" s="1089"/>
      <c r="P30" s="1088"/>
      <c r="Q30" s="1089"/>
      <c r="R30" s="1087"/>
      <c r="S30" s="1085"/>
      <c r="T30" s="1089"/>
      <c r="U30" s="1088"/>
      <c r="V30" s="1089"/>
      <c r="W30" s="1087"/>
      <c r="X30" s="1085"/>
      <c r="Y30" s="1089"/>
      <c r="Z30" s="1088"/>
      <c r="AA30" s="1089"/>
      <c r="AB30" s="1087"/>
      <c r="AC30" s="1085"/>
      <c r="AD30" s="1089"/>
      <c r="AE30" s="1088"/>
      <c r="AF30" s="1089"/>
      <c r="AG30" s="1087"/>
      <c r="AH30" s="1085"/>
      <c r="AI30" s="1089"/>
      <c r="AJ30" s="1088"/>
      <c r="AK30" s="1089"/>
      <c r="AL30" s="1088"/>
      <c r="AM30" s="1089"/>
      <c r="AN30" s="1087"/>
      <c r="AO30" s="1085"/>
      <c r="AP30" s="1089"/>
      <c r="AQ30" s="1088"/>
      <c r="AR30" s="1089"/>
      <c r="AS30" s="1087"/>
      <c r="AT30" s="1085"/>
      <c r="AU30" s="1089"/>
      <c r="AV30" s="1088"/>
      <c r="AW30" s="1089"/>
      <c r="AX30" s="1087"/>
      <c r="AY30" s="1087"/>
      <c r="AZ30" s="1087"/>
      <c r="BA30" s="1088"/>
      <c r="BB30" s="1089"/>
      <c r="BC30" s="1087"/>
      <c r="BD30" s="1085"/>
      <c r="BE30" s="1089"/>
      <c r="BF30" s="1090"/>
      <c r="BG30" s="1090"/>
      <c r="BH30" s="1007">
        <f t="shared" si="1"/>
        <v>0</v>
      </c>
      <c r="BI30" s="1041">
        <f>'Výdaje kapitol celkem'!AS69</f>
        <v>60000</v>
      </c>
      <c r="BJ30" s="1007">
        <f t="shared" si="2"/>
        <v>60000</v>
      </c>
      <c r="BK30" s="998"/>
    </row>
    <row r="31" spans="1:63" s="1080" customFormat="1" outlineLevel="1" x14ac:dyDescent="0.25">
      <c r="A31" s="2240"/>
      <c r="B31" s="1081"/>
      <c r="C31" s="1082" t="s">
        <v>311</v>
      </c>
      <c r="D31" s="1083"/>
      <c r="E31" s="1089"/>
      <c r="F31" s="1085"/>
      <c r="G31" s="1086"/>
      <c r="H31" s="1087"/>
      <c r="I31" s="1085"/>
      <c r="J31" s="1089"/>
      <c r="K31" s="1088"/>
      <c r="L31" s="1089"/>
      <c r="M31" s="1087"/>
      <c r="N31" s="1085"/>
      <c r="O31" s="1089"/>
      <c r="P31" s="1088"/>
      <c r="Q31" s="1089"/>
      <c r="R31" s="1087"/>
      <c r="S31" s="1085"/>
      <c r="T31" s="1089"/>
      <c r="U31" s="1088"/>
      <c r="V31" s="1089"/>
      <c r="W31" s="1087"/>
      <c r="X31" s="1085"/>
      <c r="Y31" s="1089"/>
      <c r="Z31" s="1088"/>
      <c r="AA31" s="1089"/>
      <c r="AB31" s="1087"/>
      <c r="AC31" s="1085"/>
      <c r="AD31" s="1089"/>
      <c r="AE31" s="1088"/>
      <c r="AF31" s="1089"/>
      <c r="AG31" s="1087"/>
      <c r="AH31" s="1085"/>
      <c r="AI31" s="1089"/>
      <c r="AJ31" s="1088"/>
      <c r="AK31" s="1089"/>
      <c r="AL31" s="1088"/>
      <c r="AM31" s="1089"/>
      <c r="AN31" s="1087"/>
      <c r="AO31" s="1085"/>
      <c r="AP31" s="1089"/>
      <c r="AQ31" s="1088"/>
      <c r="AR31" s="1089"/>
      <c r="AS31" s="1087"/>
      <c r="AT31" s="1085"/>
      <c r="AU31" s="1089"/>
      <c r="AV31" s="1088"/>
      <c r="AW31" s="1089"/>
      <c r="AX31" s="1087"/>
      <c r="AY31" s="1087"/>
      <c r="AZ31" s="1087"/>
      <c r="BA31" s="1088"/>
      <c r="BB31" s="1089"/>
      <c r="BC31" s="1087"/>
      <c r="BD31" s="1085"/>
      <c r="BE31" s="1089"/>
      <c r="BF31" s="1090"/>
      <c r="BG31" s="1090"/>
      <c r="BH31" s="1007">
        <f t="shared" si="1"/>
        <v>0</v>
      </c>
      <c r="BI31" s="1041">
        <f>'Výdaje kapitol celkem'!BH69</f>
        <v>0</v>
      </c>
      <c r="BJ31" s="1007">
        <f t="shared" si="2"/>
        <v>0</v>
      </c>
      <c r="BK31" s="998"/>
    </row>
    <row r="32" spans="1:63" s="1080" customFormat="1" outlineLevel="1" x14ac:dyDescent="0.25">
      <c r="A32" s="2240"/>
      <c r="B32" s="1081"/>
      <c r="C32" s="1082" t="s">
        <v>183</v>
      </c>
      <c r="D32" s="1083"/>
      <c r="E32" s="1089"/>
      <c r="F32" s="1085"/>
      <c r="G32" s="1086"/>
      <c r="H32" s="1087"/>
      <c r="I32" s="1085"/>
      <c r="J32" s="1089"/>
      <c r="K32" s="1088">
        <v>174032</v>
      </c>
      <c r="L32" s="1089"/>
      <c r="M32" s="1087"/>
      <c r="N32" s="1085"/>
      <c r="O32" s="1089"/>
      <c r="P32" s="1088"/>
      <c r="Q32" s="1089"/>
      <c r="R32" s="1087"/>
      <c r="S32" s="1085"/>
      <c r="T32" s="1089"/>
      <c r="U32" s="1088"/>
      <c r="V32" s="1089">
        <v>31460</v>
      </c>
      <c r="W32" s="1087"/>
      <c r="X32" s="1085"/>
      <c r="Y32" s="1089"/>
      <c r="Z32" s="1088"/>
      <c r="AA32" s="1089"/>
      <c r="AB32" s="1087"/>
      <c r="AC32" s="1085"/>
      <c r="AD32" s="1089"/>
      <c r="AE32" s="1088"/>
      <c r="AF32" s="1089"/>
      <c r="AG32" s="1087"/>
      <c r="AH32" s="1085"/>
      <c r="AI32" s="1089"/>
      <c r="AJ32" s="1088"/>
      <c r="AK32" s="1089"/>
      <c r="AL32" s="1088"/>
      <c r="AM32" s="1089"/>
      <c r="AN32" s="1087"/>
      <c r="AO32" s="1085"/>
      <c r="AP32" s="1089"/>
      <c r="AQ32" s="1088"/>
      <c r="AR32" s="1089"/>
      <c r="AS32" s="1087"/>
      <c r="AT32" s="1085"/>
      <c r="AU32" s="1089"/>
      <c r="AV32" s="1088"/>
      <c r="AW32" s="1089"/>
      <c r="AX32" s="1087"/>
      <c r="AY32" s="1087"/>
      <c r="AZ32" s="1087"/>
      <c r="BA32" s="1088"/>
      <c r="BB32" s="1089"/>
      <c r="BC32" s="1087"/>
      <c r="BD32" s="1085">
        <v>64508</v>
      </c>
      <c r="BE32" s="1089"/>
      <c r="BF32" s="1090"/>
      <c r="BG32" s="1090"/>
      <c r="BH32" s="1007">
        <f t="shared" si="1"/>
        <v>270000</v>
      </c>
      <c r="BI32" s="1041">
        <f>'Výdaje kapitol celkem'!BP69</f>
        <v>660000</v>
      </c>
      <c r="BJ32" s="1007">
        <f t="shared" si="2"/>
        <v>390000</v>
      </c>
      <c r="BK32" s="998"/>
    </row>
    <row r="33" spans="1:63" s="1080" customFormat="1" outlineLevel="1" x14ac:dyDescent="0.25">
      <c r="A33" s="2240"/>
      <c r="B33" s="1081"/>
      <c r="C33" s="1082" t="s">
        <v>931</v>
      </c>
      <c r="D33" s="1083"/>
      <c r="E33" s="1089"/>
      <c r="F33" s="1085"/>
      <c r="G33" s="1086"/>
      <c r="H33" s="1087"/>
      <c r="I33" s="1085"/>
      <c r="J33" s="1089"/>
      <c r="K33" s="1088"/>
      <c r="L33" s="1089"/>
      <c r="M33" s="1087"/>
      <c r="N33" s="1085"/>
      <c r="O33" s="1089"/>
      <c r="P33" s="1088"/>
      <c r="Q33" s="1089"/>
      <c r="R33" s="1087"/>
      <c r="S33" s="1085"/>
      <c r="T33" s="1089"/>
      <c r="U33" s="1088"/>
      <c r="V33" s="1089"/>
      <c r="W33" s="1087"/>
      <c r="X33" s="1087"/>
      <c r="Y33" s="1089"/>
      <c r="Z33" s="1088"/>
      <c r="AA33" s="1089"/>
      <c r="AB33" s="1087"/>
      <c r="AC33" s="1085"/>
      <c r="AD33" s="1089"/>
      <c r="AE33" s="1088"/>
      <c r="AF33" s="1089"/>
      <c r="AG33" s="1087"/>
      <c r="AH33" s="1085"/>
      <c r="AI33" s="1089"/>
      <c r="AJ33" s="1088"/>
      <c r="AK33" s="1089"/>
      <c r="AL33" s="1088"/>
      <c r="AM33" s="1089"/>
      <c r="AN33" s="1087"/>
      <c r="AO33" s="1085"/>
      <c r="AP33" s="1089"/>
      <c r="AQ33" s="1088"/>
      <c r="AR33" s="1089"/>
      <c r="AS33" s="1087"/>
      <c r="AT33" s="1085"/>
      <c r="AU33" s="1089"/>
      <c r="AV33" s="1088"/>
      <c r="AW33" s="1089"/>
      <c r="AX33" s="1087"/>
      <c r="AY33" s="1087"/>
      <c r="AZ33" s="1087"/>
      <c r="BA33" s="1088"/>
      <c r="BB33" s="1089"/>
      <c r="BC33" s="1087"/>
      <c r="BD33" s="1085"/>
      <c r="BE33" s="1089"/>
      <c r="BF33" s="1090"/>
      <c r="BG33" s="1090"/>
      <c r="BH33" s="1007">
        <f t="shared" si="1"/>
        <v>0</v>
      </c>
      <c r="BI33" s="1041">
        <f>'Výdaje kapitol celkem'!DC69</f>
        <v>0</v>
      </c>
      <c r="BJ33" s="1007">
        <f t="shared" si="2"/>
        <v>0</v>
      </c>
      <c r="BK33" s="998"/>
    </row>
    <row r="34" spans="1:63" s="1080" customFormat="1" outlineLevel="1" x14ac:dyDescent="0.25">
      <c r="A34" s="2240"/>
      <c r="B34" s="1081"/>
      <c r="C34" s="1082" t="s">
        <v>312</v>
      </c>
      <c r="D34" s="1083"/>
      <c r="E34" s="1089"/>
      <c r="F34" s="1085"/>
      <c r="G34" s="1086"/>
      <c r="H34" s="1087"/>
      <c r="I34" s="1085"/>
      <c r="J34" s="1089"/>
      <c r="K34" s="1088"/>
      <c r="L34" s="1089"/>
      <c r="M34" s="1087"/>
      <c r="N34" s="1085"/>
      <c r="O34" s="1089"/>
      <c r="P34" s="1088"/>
      <c r="Q34" s="1089"/>
      <c r="R34" s="1087"/>
      <c r="S34" s="1085"/>
      <c r="T34" s="1089"/>
      <c r="U34" s="1088"/>
      <c r="V34" s="1089"/>
      <c r="W34" s="1087"/>
      <c r="X34" s="1085"/>
      <c r="Y34" s="1089"/>
      <c r="Z34" s="1088"/>
      <c r="AA34" s="1089"/>
      <c r="AB34" s="1087"/>
      <c r="AC34" s="1085"/>
      <c r="AD34" s="1089"/>
      <c r="AE34" s="1088"/>
      <c r="AF34" s="1089"/>
      <c r="AG34" s="1087"/>
      <c r="AH34" s="1085"/>
      <c r="AI34" s="1089"/>
      <c r="AJ34" s="1088"/>
      <c r="AK34" s="1089"/>
      <c r="AL34" s="1088"/>
      <c r="AM34" s="1089"/>
      <c r="AN34" s="1087"/>
      <c r="AO34" s="1085"/>
      <c r="AP34" s="1089"/>
      <c r="AQ34" s="1088"/>
      <c r="AR34" s="1089"/>
      <c r="AS34" s="1087"/>
      <c r="AT34" s="1085"/>
      <c r="AU34" s="1089"/>
      <c r="AV34" s="1088"/>
      <c r="AW34" s="1089"/>
      <c r="AX34" s="1087"/>
      <c r="AY34" s="1087"/>
      <c r="AZ34" s="1087"/>
      <c r="BA34" s="1088"/>
      <c r="BB34" s="1089"/>
      <c r="BC34" s="1087"/>
      <c r="BD34" s="1085"/>
      <c r="BE34" s="1089"/>
      <c r="BF34" s="1090"/>
      <c r="BG34" s="1090"/>
      <c r="BH34" s="1007">
        <f t="shared" si="1"/>
        <v>0</v>
      </c>
      <c r="BI34" s="1041">
        <f>'Výdaje kapitol celkem'!DE69</f>
        <v>0</v>
      </c>
      <c r="BJ34" s="1007">
        <f t="shared" si="2"/>
        <v>0</v>
      </c>
      <c r="BK34" s="998"/>
    </row>
    <row r="35" spans="1:63" s="1080" customFormat="1" outlineLevel="1" x14ac:dyDescent="0.25">
      <c r="A35" s="2240"/>
      <c r="B35" s="1081"/>
      <c r="C35" s="1082" t="s">
        <v>560</v>
      </c>
      <c r="D35" s="1083"/>
      <c r="E35" s="1089"/>
      <c r="F35" s="1085"/>
      <c r="G35" s="1086"/>
      <c r="H35" s="1087"/>
      <c r="I35" s="1085"/>
      <c r="J35" s="1089">
        <v>33341.550000000003</v>
      </c>
      <c r="K35" s="1088"/>
      <c r="L35" s="1089"/>
      <c r="M35" s="1087"/>
      <c r="N35" s="1085">
        <v>33342</v>
      </c>
      <c r="O35" s="1089"/>
      <c r="P35" s="1088">
        <v>2861059</v>
      </c>
      <c r="Q35" s="1089">
        <f>33341.55+12100</f>
        <v>45441.55</v>
      </c>
      <c r="R35" s="1087"/>
      <c r="S35" s="1085"/>
      <c r="T35" s="1089">
        <v>12100</v>
      </c>
      <c r="U35" s="1088">
        <f>33342-11220+33341.55</f>
        <v>55463.55</v>
      </c>
      <c r="V35" s="1089"/>
      <c r="W35" s="1087">
        <v>33342</v>
      </c>
      <c r="X35" s="1085"/>
      <c r="Y35" s="1089"/>
      <c r="Z35" s="1088"/>
      <c r="AA35" s="1089">
        <f>4643705.87+462583+33347.6</f>
        <v>5139636.47</v>
      </c>
      <c r="AB35" s="1087"/>
      <c r="AC35" s="1085"/>
      <c r="AD35" s="1089">
        <v>50723</v>
      </c>
      <c r="AE35" s="1089">
        <f>2629523.24-2500000-6926</f>
        <v>122597.24000000022</v>
      </c>
      <c r="AF35" s="1089">
        <v>1409854</v>
      </c>
      <c r="AG35" s="1087"/>
      <c r="AH35" s="1085"/>
      <c r="AI35" s="1089"/>
      <c r="AJ35" s="1088"/>
      <c r="AK35" s="1089">
        <f>6300000-949401-179689-4643706-495930</f>
        <v>31274</v>
      </c>
      <c r="AL35" s="1088"/>
      <c r="AM35" s="1089"/>
      <c r="AN35" s="1087"/>
      <c r="AO35" s="1085"/>
      <c r="AP35" s="1089"/>
      <c r="AQ35" s="1088"/>
      <c r="AR35" s="1089"/>
      <c r="AS35" s="1087"/>
      <c r="AT35" s="1085"/>
      <c r="AU35" s="1089"/>
      <c r="AV35" s="1088"/>
      <c r="AW35" s="1089"/>
      <c r="AX35" s="1087"/>
      <c r="AY35" s="1087"/>
      <c r="AZ35" s="1087"/>
      <c r="BA35" s="1088"/>
      <c r="BB35" s="1089"/>
      <c r="BC35" s="1087"/>
      <c r="BD35" s="1085"/>
      <c r="BE35" s="1089"/>
      <c r="BF35" s="1090"/>
      <c r="BG35" s="1090"/>
      <c r="BH35" s="1007">
        <f t="shared" si="1"/>
        <v>9828174.3599999994</v>
      </c>
      <c r="BI35" s="1041">
        <f>'Výdaje kapitol celkem'!CP69+'Výdaje kapitol celkem'!DH69</f>
        <v>0</v>
      </c>
      <c r="BJ35" s="1007">
        <f t="shared" si="2"/>
        <v>-9828174.3599999994</v>
      </c>
      <c r="BK35" s="998"/>
    </row>
    <row r="36" spans="1:63" s="1080" customFormat="1" outlineLevel="1" x14ac:dyDescent="0.25">
      <c r="A36" s="2240"/>
      <c r="B36" s="1081"/>
      <c r="C36" s="1082" t="s">
        <v>185</v>
      </c>
      <c r="D36" s="1083"/>
      <c r="E36" s="1089"/>
      <c r="F36" s="1085"/>
      <c r="G36" s="1086"/>
      <c r="H36" s="1087"/>
      <c r="I36" s="1085"/>
      <c r="J36" s="1089"/>
      <c r="K36" s="1088"/>
      <c r="L36" s="1089"/>
      <c r="M36" s="1087"/>
      <c r="N36" s="1085"/>
      <c r="O36" s="1089"/>
      <c r="P36" s="1088"/>
      <c r="Q36" s="1089"/>
      <c r="R36" s="1087"/>
      <c r="S36" s="1085"/>
      <c r="T36" s="1089"/>
      <c r="U36" s="1088"/>
      <c r="V36" s="1089"/>
      <c r="W36" s="1087"/>
      <c r="X36" s="1085"/>
      <c r="Y36" s="1089"/>
      <c r="Z36" s="1088"/>
      <c r="AA36" s="1089"/>
      <c r="AB36" s="1087"/>
      <c r="AC36" s="1085"/>
      <c r="AD36" s="1089"/>
      <c r="AE36" s="1088"/>
      <c r="AF36" s="1089"/>
      <c r="AG36" s="1087"/>
      <c r="AH36" s="1085"/>
      <c r="AI36" s="1089"/>
      <c r="AJ36" s="1088"/>
      <c r="AK36" s="1089"/>
      <c r="AL36" s="1088"/>
      <c r="AM36" s="1089"/>
      <c r="AN36" s="1087"/>
      <c r="AO36" s="1085"/>
      <c r="AP36" s="1089"/>
      <c r="AQ36" s="1088"/>
      <c r="AR36" s="1089"/>
      <c r="AS36" s="1087"/>
      <c r="AT36" s="1085"/>
      <c r="AU36" s="1089"/>
      <c r="AV36" s="1088"/>
      <c r="AW36" s="1089"/>
      <c r="AX36" s="1087"/>
      <c r="AY36" s="1087"/>
      <c r="AZ36" s="1087"/>
      <c r="BA36" s="1088">
        <v>500000</v>
      </c>
      <c r="BB36" s="1089"/>
      <c r="BC36" s="1087"/>
      <c r="BD36" s="1085"/>
      <c r="BE36" s="1089"/>
      <c r="BF36" s="1090"/>
      <c r="BG36" s="1090"/>
      <c r="BH36" s="1007">
        <f t="shared" si="1"/>
        <v>500000</v>
      </c>
      <c r="BI36" s="1041">
        <f>'Výdaje kapitol celkem'!BW69</f>
        <v>0</v>
      </c>
      <c r="BJ36" s="1007">
        <f t="shared" si="2"/>
        <v>-500000</v>
      </c>
      <c r="BK36" s="998"/>
    </row>
    <row r="37" spans="1:63" s="1080" customFormat="1" outlineLevel="1" x14ac:dyDescent="0.25">
      <c r="A37" s="2240"/>
      <c r="B37" s="1081"/>
      <c r="C37" s="1082" t="s">
        <v>186</v>
      </c>
      <c r="D37" s="1083"/>
      <c r="E37" s="1089"/>
      <c r="F37" s="1085"/>
      <c r="G37" s="1086"/>
      <c r="H37" s="1087"/>
      <c r="I37" s="1085"/>
      <c r="J37" s="1089"/>
      <c r="K37" s="1088"/>
      <c r="L37" s="1089"/>
      <c r="M37" s="1087"/>
      <c r="N37" s="1085"/>
      <c r="O37" s="1089"/>
      <c r="P37" s="1088"/>
      <c r="Q37" s="1089"/>
      <c r="R37" s="1087"/>
      <c r="S37" s="1085"/>
      <c r="T37" s="1089"/>
      <c r="U37" s="1088"/>
      <c r="V37" s="1089"/>
      <c r="W37" s="1087"/>
      <c r="X37" s="1085"/>
      <c r="Y37" s="1089"/>
      <c r="Z37" s="1088"/>
      <c r="AA37" s="1089"/>
      <c r="AB37" s="1087"/>
      <c r="AC37" s="1085"/>
      <c r="AD37" s="1089"/>
      <c r="AE37" s="1089"/>
      <c r="AF37" s="1089"/>
      <c r="AG37" s="1087"/>
      <c r="AH37" s="2136">
        <v>2500000</v>
      </c>
      <c r="AI37" s="1089"/>
      <c r="AJ37" s="2136">
        <v>2500000</v>
      </c>
      <c r="AK37" s="1089"/>
      <c r="AL37" s="1088"/>
      <c r="AM37" s="1089"/>
      <c r="AN37" s="1087"/>
      <c r="AO37" s="1085"/>
      <c r="AP37" s="1089"/>
      <c r="AQ37" s="1088"/>
      <c r="AR37" s="1089"/>
      <c r="AS37" s="1087"/>
      <c r="AT37" s="1085"/>
      <c r="AU37" s="1089"/>
      <c r="AV37" s="1088"/>
      <c r="AW37" s="1089"/>
      <c r="AX37" s="1087"/>
      <c r="AY37" s="1087"/>
      <c r="AZ37" s="1087"/>
      <c r="BA37" s="1088">
        <v>50000</v>
      </c>
      <c r="BB37" s="1087"/>
      <c r="BC37" s="1087"/>
      <c r="BD37" s="1085"/>
      <c r="BE37" s="1089"/>
      <c r="BF37" s="1090"/>
      <c r="BG37" s="1090"/>
      <c r="BH37" s="1007">
        <f t="shared" si="1"/>
        <v>5050000</v>
      </c>
      <c r="BI37" s="1041">
        <f>'Výdaje kapitol celkem'!CC69</f>
        <v>850000</v>
      </c>
      <c r="BJ37" s="1007">
        <f t="shared" si="2"/>
        <v>-4200000</v>
      </c>
      <c r="BK37" s="998"/>
    </row>
    <row r="38" spans="1:63" s="1080" customFormat="1" outlineLevel="1" x14ac:dyDescent="0.25">
      <c r="A38" s="2240"/>
      <c r="B38" s="1081"/>
      <c r="C38" s="1082" t="s">
        <v>187</v>
      </c>
      <c r="D38" s="1083"/>
      <c r="E38" s="1089"/>
      <c r="F38" s="1085"/>
      <c r="G38" s="1086"/>
      <c r="H38" s="1087"/>
      <c r="I38" s="1085"/>
      <c r="J38" s="1089"/>
      <c r="K38" s="1088"/>
      <c r="L38" s="1089"/>
      <c r="M38" s="1087"/>
      <c r="N38" s="1085"/>
      <c r="O38" s="1089"/>
      <c r="P38" s="1088"/>
      <c r="Q38" s="1089"/>
      <c r="R38" s="1087"/>
      <c r="S38" s="1085"/>
      <c r="T38" s="1089"/>
      <c r="U38" s="1088"/>
      <c r="V38" s="1089"/>
      <c r="W38" s="1087"/>
      <c r="X38" s="1085"/>
      <c r="Y38" s="1089"/>
      <c r="Z38" s="1088"/>
      <c r="AA38" s="1089"/>
      <c r="AB38" s="1087"/>
      <c r="AC38" s="1085"/>
      <c r="AD38" s="1089"/>
      <c r="AE38" s="1088"/>
      <c r="AF38" s="1089"/>
      <c r="AG38" s="1087"/>
      <c r="AH38" s="1085"/>
      <c r="AI38" s="1089"/>
      <c r="AJ38" s="1088"/>
      <c r="AK38" s="1089"/>
      <c r="AL38" s="1088"/>
      <c r="AM38" s="1089"/>
      <c r="AN38" s="1087"/>
      <c r="AO38" s="1085"/>
      <c r="AP38" s="1089"/>
      <c r="AQ38" s="1088"/>
      <c r="AR38" s="1089"/>
      <c r="AS38" s="1087"/>
      <c r="AT38" s="1085"/>
      <c r="AU38" s="1089"/>
      <c r="AV38" s="1088"/>
      <c r="AW38" s="1089"/>
      <c r="AX38" s="1087"/>
      <c r="AY38" s="1087"/>
      <c r="AZ38" s="1087"/>
      <c r="BA38" s="1088"/>
      <c r="BB38" s="1089"/>
      <c r="BC38" s="1087"/>
      <c r="BD38" s="1085"/>
      <c r="BE38" s="1089"/>
      <c r="BF38" s="1090"/>
      <c r="BG38" s="1090">
        <v>500000</v>
      </c>
      <c r="BH38" s="1007">
        <f t="shared" si="1"/>
        <v>500000</v>
      </c>
      <c r="BI38" s="1041">
        <f>'Výdaje kapitol celkem'!CI69</f>
        <v>0</v>
      </c>
      <c r="BJ38" s="1007">
        <f t="shared" si="2"/>
        <v>-500000</v>
      </c>
      <c r="BK38" s="998"/>
    </row>
    <row r="39" spans="1:63" s="1080" customFormat="1" outlineLevel="1" x14ac:dyDescent="0.25">
      <c r="A39" s="2240"/>
      <c r="B39" s="1081"/>
      <c r="C39" s="1082" t="s">
        <v>1050</v>
      </c>
      <c r="D39" s="1083"/>
      <c r="E39" s="1089"/>
      <c r="F39" s="1085"/>
      <c r="G39" s="1086"/>
      <c r="H39" s="1087"/>
      <c r="I39" s="1085"/>
      <c r="J39" s="1089"/>
      <c r="K39" s="1088"/>
      <c r="L39" s="1089"/>
      <c r="M39" s="1087"/>
      <c r="N39" s="1085"/>
      <c r="O39" s="1089"/>
      <c r="P39" s="1088"/>
      <c r="Q39" s="1089"/>
      <c r="R39" s="1087"/>
      <c r="S39" s="1085"/>
      <c r="T39" s="1089"/>
      <c r="U39" s="1088"/>
      <c r="V39" s="1089"/>
      <c r="W39" s="1087"/>
      <c r="X39" s="1085"/>
      <c r="Y39" s="1089"/>
      <c r="Z39" s="1088"/>
      <c r="AA39" s="1089"/>
      <c r="AB39" s="1087"/>
      <c r="AC39" s="1085"/>
      <c r="AD39" s="1089"/>
      <c r="AE39" s="1088"/>
      <c r="AF39" s="1089"/>
      <c r="AG39" s="1087"/>
      <c r="AH39" s="1085"/>
      <c r="AI39" s="1089"/>
      <c r="AJ39" s="1088"/>
      <c r="AK39" s="1089"/>
      <c r="AL39" s="1088"/>
      <c r="AM39" s="1089"/>
      <c r="AN39" s="1087"/>
      <c r="AO39" s="1085"/>
      <c r="AP39" s="1089"/>
      <c r="AQ39" s="1088"/>
      <c r="AR39" s="1089"/>
      <c r="AS39" s="1087"/>
      <c r="AT39" s="1085"/>
      <c r="AU39" s="1089"/>
      <c r="AV39" s="1088"/>
      <c r="AW39" s="1089"/>
      <c r="AX39" s="1087"/>
      <c r="AY39" s="1087"/>
      <c r="AZ39" s="1087"/>
      <c r="BA39" s="1088"/>
      <c r="BB39" s="1089"/>
      <c r="BC39" s="1087"/>
      <c r="BD39" s="1085"/>
      <c r="BE39" s="1089"/>
      <c r="BF39" s="1090"/>
      <c r="BG39" s="1090"/>
      <c r="BH39" s="1007">
        <f t="shared" si="1"/>
        <v>0</v>
      </c>
      <c r="BI39" s="1041">
        <f>'Výdaje kapitol celkem'!BL69</f>
        <v>30000</v>
      </c>
      <c r="BJ39" s="1007">
        <f t="shared" si="2"/>
        <v>30000</v>
      </c>
      <c r="BK39" s="998"/>
    </row>
    <row r="40" spans="1:63" s="1080" customFormat="1" outlineLevel="1" x14ac:dyDescent="0.25">
      <c r="A40" s="2240"/>
      <c r="B40" s="1081"/>
      <c r="C40" s="1082" t="s">
        <v>1051</v>
      </c>
      <c r="D40" s="1083"/>
      <c r="E40" s="1089"/>
      <c r="F40" s="1085"/>
      <c r="G40" s="1086"/>
      <c r="H40" s="1087"/>
      <c r="I40" s="1085"/>
      <c r="J40" s="1089"/>
      <c r="K40" s="1088"/>
      <c r="L40" s="1089"/>
      <c r="M40" s="1087"/>
      <c r="N40" s="1085"/>
      <c r="O40" s="1089"/>
      <c r="P40" s="1088"/>
      <c r="Q40" s="1089"/>
      <c r="R40" s="1087"/>
      <c r="S40" s="1085"/>
      <c r="T40" s="1089"/>
      <c r="U40" s="1088"/>
      <c r="V40" s="1089"/>
      <c r="W40" s="1087"/>
      <c r="X40" s="1085"/>
      <c r="Y40" s="1089"/>
      <c r="Z40" s="1088"/>
      <c r="AA40" s="1089"/>
      <c r="AB40" s="1087"/>
      <c r="AC40" s="1085"/>
      <c r="AD40" s="1089"/>
      <c r="AE40" s="1089"/>
      <c r="AF40" s="1089"/>
      <c r="AG40" s="1087"/>
      <c r="AH40" s="1085"/>
      <c r="AI40" s="1089"/>
      <c r="AJ40" s="1088"/>
      <c r="AK40" s="1089"/>
      <c r="AL40" s="1088"/>
      <c r="AM40" s="1089"/>
      <c r="AN40" s="1087"/>
      <c r="AO40" s="1085"/>
      <c r="AP40" s="1089"/>
      <c r="AQ40" s="1088"/>
      <c r="AR40" s="1089"/>
      <c r="AS40" s="1087"/>
      <c r="AT40" s="1085"/>
      <c r="AU40" s="1089"/>
      <c r="AV40" s="1088"/>
      <c r="AW40" s="1089"/>
      <c r="AX40" s="1087"/>
      <c r="AY40" s="1087"/>
      <c r="AZ40" s="1087"/>
      <c r="BA40" s="1088"/>
      <c r="BB40" s="1089"/>
      <c r="BC40" s="1087"/>
      <c r="BD40" s="1085"/>
      <c r="BE40" s="1089"/>
      <c r="BF40" s="1090"/>
      <c r="BG40" s="1090">
        <v>200000</v>
      </c>
      <c r="BH40" s="1007">
        <f t="shared" si="1"/>
        <v>200000</v>
      </c>
      <c r="BI40" s="1041">
        <v>200000</v>
      </c>
      <c r="BJ40" s="1007">
        <f t="shared" si="2"/>
        <v>0</v>
      </c>
      <c r="BK40" s="998"/>
    </row>
    <row r="41" spans="1:63" s="1080" customFormat="1" outlineLevel="1" x14ac:dyDescent="0.25">
      <c r="A41" s="2240"/>
      <c r="B41" s="1081"/>
      <c r="C41" s="1082" t="s">
        <v>172</v>
      </c>
      <c r="D41" s="1083"/>
      <c r="E41" s="1089"/>
      <c r="F41" s="1085"/>
      <c r="G41" s="1086"/>
      <c r="H41" s="1087"/>
      <c r="I41" s="1085"/>
      <c r="J41" s="1089"/>
      <c r="K41" s="1088"/>
      <c r="L41" s="1089"/>
      <c r="M41" s="1087"/>
      <c r="N41" s="1085"/>
      <c r="O41" s="1089"/>
      <c r="P41" s="1088"/>
      <c r="Q41" s="1089"/>
      <c r="R41" s="1087"/>
      <c r="S41" s="1085"/>
      <c r="T41" s="1089"/>
      <c r="U41" s="1088"/>
      <c r="V41" s="1089"/>
      <c r="W41" s="1087"/>
      <c r="X41" s="1085"/>
      <c r="Y41" s="1089"/>
      <c r="Z41" s="1088"/>
      <c r="AA41" s="1089"/>
      <c r="AB41" s="1087"/>
      <c r="AC41" s="1085"/>
      <c r="AD41" s="1089"/>
      <c r="AE41" s="1088"/>
      <c r="AF41" s="1089"/>
      <c r="AG41" s="1087"/>
      <c r="AH41" s="1085"/>
      <c r="AI41" s="1089"/>
      <c r="AJ41" s="1088"/>
      <c r="AK41" s="1089"/>
      <c r="AL41" s="1088"/>
      <c r="AM41" s="1089"/>
      <c r="AN41" s="1087"/>
      <c r="AO41" s="1085"/>
      <c r="AP41" s="1089"/>
      <c r="AQ41" s="1088"/>
      <c r="AR41" s="1089"/>
      <c r="AS41" s="1087"/>
      <c r="AT41" s="1085">
        <v>80000</v>
      </c>
      <c r="AU41" s="1089"/>
      <c r="AV41" s="1088"/>
      <c r="AW41" s="1089"/>
      <c r="AX41" s="1087"/>
      <c r="AY41" s="1087"/>
      <c r="AZ41" s="1087"/>
      <c r="BA41" s="1088"/>
      <c r="BB41" s="1089"/>
      <c r="BC41" s="1087"/>
      <c r="BD41" s="1085"/>
      <c r="BE41" s="1089"/>
      <c r="BF41" s="1090"/>
      <c r="BG41" s="1090"/>
      <c r="BH41" s="1007">
        <f t="shared" si="1"/>
        <v>80000</v>
      </c>
      <c r="BI41" s="1041">
        <f>'Výdaje kapitol celkem'!AJ69</f>
        <v>700000</v>
      </c>
      <c r="BJ41" s="1007">
        <f t="shared" si="2"/>
        <v>620000</v>
      </c>
      <c r="BK41" s="998"/>
    </row>
    <row r="42" spans="1:63" s="1080" customFormat="1" outlineLevel="1" x14ac:dyDescent="0.25">
      <c r="A42" s="2240"/>
      <c r="B42" s="1081"/>
      <c r="C42" s="1082" t="s">
        <v>175</v>
      </c>
      <c r="D42" s="1083"/>
      <c r="E42" s="1089"/>
      <c r="F42" s="1085"/>
      <c r="G42" s="1086"/>
      <c r="H42" s="1087"/>
      <c r="I42" s="1085"/>
      <c r="J42" s="1089"/>
      <c r="K42" s="1088"/>
      <c r="L42" s="1089"/>
      <c r="M42" s="1087"/>
      <c r="N42" s="1085"/>
      <c r="O42" s="1089"/>
      <c r="P42" s="1088"/>
      <c r="Q42" s="1089"/>
      <c r="R42" s="1087"/>
      <c r="S42" s="1085"/>
      <c r="T42" s="1089"/>
      <c r="U42" s="1088"/>
      <c r="V42" s="1089"/>
      <c r="W42" s="1087"/>
      <c r="X42" s="1085"/>
      <c r="Y42" s="1089"/>
      <c r="Z42" s="1088"/>
      <c r="AA42" s="1089"/>
      <c r="AB42" s="1087"/>
      <c r="AC42" s="1085"/>
      <c r="AD42" s="1089"/>
      <c r="AE42" s="1088"/>
      <c r="AF42" s="1089"/>
      <c r="AG42" s="1087"/>
      <c r="AH42" s="1085"/>
      <c r="AI42" s="1089"/>
      <c r="AJ42" s="1088"/>
      <c r="AK42" s="1089"/>
      <c r="AL42" s="1088"/>
      <c r="AM42" s="1089"/>
      <c r="AN42" s="1087"/>
      <c r="AO42" s="1085"/>
      <c r="AP42" s="1089"/>
      <c r="AQ42" s="1088"/>
      <c r="AR42" s="1089"/>
      <c r="AS42" s="1087"/>
      <c r="AT42" s="1085"/>
      <c r="AU42" s="1089"/>
      <c r="AV42" s="1088"/>
      <c r="AW42" s="1089"/>
      <c r="AX42" s="1087"/>
      <c r="AY42" s="1087"/>
      <c r="AZ42" s="1087"/>
      <c r="BA42" s="1088"/>
      <c r="BB42" s="1089"/>
      <c r="BC42" s="1087"/>
      <c r="BD42" s="1085"/>
      <c r="BE42" s="1089"/>
      <c r="BF42" s="1090"/>
      <c r="BG42" s="1090"/>
      <c r="BH42" s="1007">
        <f t="shared" si="1"/>
        <v>0</v>
      </c>
      <c r="BI42" s="1041">
        <f>'Výdaje kapitol celkem'!AM69</f>
        <v>0</v>
      </c>
      <c r="BJ42" s="1007">
        <f t="shared" si="2"/>
        <v>0</v>
      </c>
      <c r="BK42" s="998"/>
    </row>
    <row r="43" spans="1:63" s="1080" customFormat="1" outlineLevel="1" x14ac:dyDescent="0.25">
      <c r="A43" s="2240"/>
      <c r="B43" s="1081"/>
      <c r="C43" s="1082" t="s">
        <v>1075</v>
      </c>
      <c r="D43" s="1083"/>
      <c r="E43" s="1089"/>
      <c r="F43" s="1085"/>
      <c r="G43" s="1086"/>
      <c r="H43" s="1087"/>
      <c r="I43" s="1085"/>
      <c r="J43" s="1089"/>
      <c r="K43" s="1088"/>
      <c r="L43" s="1089"/>
      <c r="M43" s="1087"/>
      <c r="N43" s="1085"/>
      <c r="O43" s="1089"/>
      <c r="P43" s="1088"/>
      <c r="Q43" s="1089"/>
      <c r="R43" s="1087"/>
      <c r="S43" s="1085"/>
      <c r="T43" s="1089"/>
      <c r="U43" s="1088"/>
      <c r="V43" s="1089"/>
      <c r="W43" s="1087"/>
      <c r="X43" s="1085"/>
      <c r="Y43" s="1089"/>
      <c r="Z43" s="1088"/>
      <c r="AA43" s="1089"/>
      <c r="AB43" s="1087"/>
      <c r="AC43" s="1085"/>
      <c r="AD43" s="1089"/>
      <c r="AE43" s="1088"/>
      <c r="AF43" s="1089"/>
      <c r="AG43" s="1087"/>
      <c r="AH43" s="1085"/>
      <c r="AI43" s="1089"/>
      <c r="AJ43" s="1088"/>
      <c r="AK43" s="1089"/>
      <c r="AL43" s="1088"/>
      <c r="AM43" s="1089"/>
      <c r="AN43" s="1087"/>
      <c r="AO43" s="1085"/>
      <c r="AP43" s="1089">
        <v>30000</v>
      </c>
      <c r="AQ43" s="1088"/>
      <c r="AR43" s="1089"/>
      <c r="AS43" s="1087"/>
      <c r="AT43" s="1085"/>
      <c r="AU43" s="1089"/>
      <c r="AV43" s="1088"/>
      <c r="AW43" s="1089"/>
      <c r="AX43" s="1087"/>
      <c r="AY43" s="1087"/>
      <c r="AZ43" s="1087"/>
      <c r="BA43" s="1088"/>
      <c r="BB43" s="1089"/>
      <c r="BC43" s="1087"/>
      <c r="BD43" s="1085"/>
      <c r="BE43" s="1089"/>
      <c r="BF43" s="1090"/>
      <c r="BG43" s="1090"/>
      <c r="BH43" s="1007">
        <f t="shared" si="1"/>
        <v>30000</v>
      </c>
      <c r="BI43" s="1041">
        <f>'Výdaje kapitol celkem'!AV69</f>
        <v>30000</v>
      </c>
      <c r="BJ43" s="1007">
        <f t="shared" si="2"/>
        <v>0</v>
      </c>
      <c r="BK43" s="998"/>
    </row>
    <row r="44" spans="1:63" s="1080" customFormat="1" outlineLevel="1" x14ac:dyDescent="0.25">
      <c r="A44" s="2240"/>
      <c r="B44" s="1081"/>
      <c r="C44" s="1082" t="s">
        <v>1074</v>
      </c>
      <c r="D44" s="1083"/>
      <c r="E44" s="1089"/>
      <c r="F44" s="1085"/>
      <c r="G44" s="1086"/>
      <c r="H44" s="1087"/>
      <c r="I44" s="1085"/>
      <c r="J44" s="1089"/>
      <c r="K44" s="1088"/>
      <c r="L44" s="1089"/>
      <c r="M44" s="1087"/>
      <c r="N44" s="1085"/>
      <c r="O44" s="1089"/>
      <c r="P44" s="1088"/>
      <c r="Q44" s="1089"/>
      <c r="R44" s="1087"/>
      <c r="S44" s="1085"/>
      <c r="T44" s="1089"/>
      <c r="U44" s="1088"/>
      <c r="V44" s="1089">
        <v>7000</v>
      </c>
      <c r="W44" s="1087"/>
      <c r="X44" s="1085"/>
      <c r="Y44" s="1089"/>
      <c r="Z44" s="1088"/>
      <c r="AA44" s="1089"/>
      <c r="AB44" s="1087"/>
      <c r="AC44" s="1085"/>
      <c r="AD44" s="1089"/>
      <c r="AE44" s="1088"/>
      <c r="AF44" s="1089"/>
      <c r="AG44" s="1087"/>
      <c r="AH44" s="1085"/>
      <c r="AI44" s="1089"/>
      <c r="AJ44" s="1088"/>
      <c r="AK44" s="1089"/>
      <c r="AL44" s="1088"/>
      <c r="AM44" s="1089"/>
      <c r="AN44" s="1087"/>
      <c r="AO44" s="1085"/>
      <c r="AP44" s="1089"/>
      <c r="AQ44" s="1088"/>
      <c r="AR44" s="1089"/>
      <c r="AS44" s="1087"/>
      <c r="AT44" s="1085"/>
      <c r="AU44" s="1089"/>
      <c r="AV44" s="1088"/>
      <c r="AW44" s="1089"/>
      <c r="AX44" s="1087">
        <v>84700</v>
      </c>
      <c r="AY44" s="1087"/>
      <c r="AZ44" s="1087"/>
      <c r="BA44" s="1088"/>
      <c r="BB44" s="1089"/>
      <c r="BC44" s="1087"/>
      <c r="BD44" s="1085"/>
      <c r="BE44" s="1089"/>
      <c r="BF44" s="1090"/>
      <c r="BG44" s="1090"/>
      <c r="BH44" s="1007">
        <f t="shared" si="1"/>
        <v>91700</v>
      </c>
      <c r="BI44" s="1041">
        <f>'Výdaje kapitol celkem'!AA69</f>
        <v>0</v>
      </c>
      <c r="BJ44" s="1007">
        <f t="shared" si="2"/>
        <v>-91700</v>
      </c>
      <c r="BK44" s="998"/>
    </row>
    <row r="45" spans="1:63" s="1080" customFormat="1" outlineLevel="1" x14ac:dyDescent="0.25">
      <c r="A45" s="2240"/>
      <c r="B45" s="1081"/>
      <c r="C45" s="1082" t="s">
        <v>171</v>
      </c>
      <c r="D45" s="1083"/>
      <c r="E45" s="1089"/>
      <c r="F45" s="1085"/>
      <c r="G45" s="1086"/>
      <c r="H45" s="1087"/>
      <c r="I45" s="1085"/>
      <c r="J45" s="1089"/>
      <c r="K45" s="1088"/>
      <c r="L45" s="1089"/>
      <c r="M45" s="1087"/>
      <c r="N45" s="1085"/>
      <c r="O45" s="1089"/>
      <c r="P45" s="1088"/>
      <c r="Q45" s="1089"/>
      <c r="R45" s="1087"/>
      <c r="S45" s="1085"/>
      <c r="T45" s="1089"/>
      <c r="U45" s="1088"/>
      <c r="V45" s="1089"/>
      <c r="W45" s="1087"/>
      <c r="X45" s="1085"/>
      <c r="Y45" s="1089"/>
      <c r="Z45" s="1088"/>
      <c r="AA45" s="1089"/>
      <c r="AB45" s="1087"/>
      <c r="AC45" s="1085"/>
      <c r="AD45" s="1089"/>
      <c r="AE45" s="1088"/>
      <c r="AF45" s="1089"/>
      <c r="AG45" s="1087"/>
      <c r="AH45" s="1085"/>
      <c r="AI45" s="1089"/>
      <c r="AJ45" s="1088"/>
      <c r="AK45" s="1089"/>
      <c r="AL45" s="1088"/>
      <c r="AM45" s="1089"/>
      <c r="AN45" s="1087"/>
      <c r="AO45" s="1085"/>
      <c r="AP45" s="1089"/>
      <c r="AQ45" s="1088"/>
      <c r="AR45" s="1089"/>
      <c r="AS45" s="1087">
        <f>100000-57000</f>
        <v>43000</v>
      </c>
      <c r="AT45" s="1085"/>
      <c r="AU45" s="1089"/>
      <c r="AV45" s="1088"/>
      <c r="AW45" s="1089"/>
      <c r="AX45" s="1087"/>
      <c r="AY45" s="1087"/>
      <c r="AZ45" s="1087"/>
      <c r="BA45" s="1088"/>
      <c r="BB45" s="1089"/>
      <c r="BC45" s="1087"/>
      <c r="BD45" s="1085"/>
      <c r="BE45" s="1089"/>
      <c r="BF45" s="1090"/>
      <c r="BG45" s="1090"/>
      <c r="BH45" s="1007">
        <f t="shared" si="1"/>
        <v>43000</v>
      </c>
      <c r="BI45" s="1041">
        <f>'Výdaje kapitol celkem'!AG69</f>
        <v>60000</v>
      </c>
      <c r="BJ45" s="1007">
        <f t="shared" si="2"/>
        <v>17000</v>
      </c>
      <c r="BK45" s="998"/>
    </row>
    <row r="46" spans="1:63" s="1080" customFormat="1" outlineLevel="1" x14ac:dyDescent="0.25">
      <c r="A46" s="2240"/>
      <c r="B46" s="1081"/>
      <c r="C46" s="1082" t="s">
        <v>141</v>
      </c>
      <c r="D46" s="1083"/>
      <c r="E46" s="1089"/>
      <c r="F46" s="1085"/>
      <c r="G46" s="1086"/>
      <c r="H46" s="1087"/>
      <c r="I46" s="1085"/>
      <c r="J46" s="1089"/>
      <c r="K46" s="1088"/>
      <c r="L46" s="1089"/>
      <c r="M46" s="1087">
        <v>5835000</v>
      </c>
      <c r="N46" s="1085"/>
      <c r="O46" s="1089">
        <v>15325.44</v>
      </c>
      <c r="P46" s="1088"/>
      <c r="Q46" s="1089"/>
      <c r="R46" s="1087">
        <v>22240</v>
      </c>
      <c r="S46" s="1085"/>
      <c r="T46" s="1089"/>
      <c r="U46" s="1088"/>
      <c r="V46" s="1089"/>
      <c r="W46" s="1087"/>
      <c r="X46" s="1085"/>
      <c r="Y46" s="1089"/>
      <c r="Z46" s="1088"/>
      <c r="AA46" s="1089"/>
      <c r="AB46" s="1087"/>
      <c r="AC46" s="1085"/>
      <c r="AD46" s="1089"/>
      <c r="AE46" s="1088">
        <v>2500000</v>
      </c>
      <c r="AF46" s="1089"/>
      <c r="AG46" s="1087"/>
      <c r="AH46" s="1085"/>
      <c r="AI46" s="1089"/>
      <c r="AJ46" s="1088"/>
      <c r="AK46" s="1089"/>
      <c r="AL46" s="1088"/>
      <c r="AM46" s="1089"/>
      <c r="AN46" s="1087"/>
      <c r="AO46" s="1085"/>
      <c r="AP46" s="1089"/>
      <c r="AQ46" s="1088"/>
      <c r="AR46" s="1089"/>
      <c r="AS46" s="1087"/>
      <c r="AT46" s="1085"/>
      <c r="AU46" s="1089"/>
      <c r="AV46" s="1088"/>
      <c r="AW46" s="1089"/>
      <c r="AX46" s="1087"/>
      <c r="AY46" s="1087"/>
      <c r="AZ46" s="1087"/>
      <c r="BA46" s="1088"/>
      <c r="BB46" s="1089"/>
      <c r="BC46" s="1087"/>
      <c r="BD46" s="1085"/>
      <c r="BE46" s="1089"/>
      <c r="BF46" s="1090">
        <f>150000-35000-22240-15325</f>
        <v>77435</v>
      </c>
      <c r="BG46" s="1090"/>
      <c r="BH46" s="1007">
        <f t="shared" si="1"/>
        <v>8450000.4400000013</v>
      </c>
      <c r="BI46" s="1041">
        <f>'Výdaje kapitol celkem'!H64</f>
        <v>80000</v>
      </c>
      <c r="BJ46" s="1007">
        <f t="shared" si="2"/>
        <v>-8370000.4400000013</v>
      </c>
      <c r="BK46" s="998"/>
    </row>
    <row r="47" spans="1:63" s="1080" customFormat="1" outlineLevel="1" x14ac:dyDescent="0.25">
      <c r="A47" s="2240"/>
      <c r="B47" s="1081"/>
      <c r="C47" s="1082" t="s">
        <v>192</v>
      </c>
      <c r="D47" s="1083"/>
      <c r="E47" s="1089"/>
      <c r="F47" s="1085"/>
      <c r="G47" s="1086"/>
      <c r="H47" s="1087"/>
      <c r="I47" s="1085"/>
      <c r="J47" s="1089"/>
      <c r="K47" s="1088"/>
      <c r="L47" s="1089"/>
      <c r="M47" s="1087"/>
      <c r="N47" s="1085"/>
      <c r="O47" s="1089"/>
      <c r="P47" s="1088"/>
      <c r="Q47" s="1089">
        <v>18883</v>
      </c>
      <c r="R47" s="1087"/>
      <c r="S47" s="1085"/>
      <c r="T47" s="1089"/>
      <c r="U47" s="1088">
        <v>14520</v>
      </c>
      <c r="V47" s="1089"/>
      <c r="W47" s="1087"/>
      <c r="X47" s="1085"/>
      <c r="Y47" s="1089"/>
      <c r="Z47" s="1088"/>
      <c r="AA47" s="1089"/>
      <c r="AB47" s="1087"/>
      <c r="AC47" s="1085"/>
      <c r="AD47" s="1089"/>
      <c r="AE47" s="1088"/>
      <c r="AF47" s="1089"/>
      <c r="AG47" s="1087"/>
      <c r="AH47" s="1085"/>
      <c r="AI47" s="1089"/>
      <c r="AJ47" s="1088"/>
      <c r="AK47" s="1089"/>
      <c r="AL47" s="1088"/>
      <c r="AM47" s="1089">
        <v>16597</v>
      </c>
      <c r="AN47" s="1087"/>
      <c r="AO47" s="1085"/>
      <c r="AP47" s="1089"/>
      <c r="AQ47" s="1088"/>
      <c r="AR47" s="1089"/>
      <c r="AS47" s="1087"/>
      <c r="AT47" s="1085"/>
      <c r="AU47" s="1089"/>
      <c r="AV47" s="1088"/>
      <c r="AW47" s="1089"/>
      <c r="AX47" s="1087"/>
      <c r="AY47" s="1087"/>
      <c r="AZ47" s="1087"/>
      <c r="BA47" s="1088"/>
      <c r="BB47" s="1089"/>
      <c r="BC47" s="1087"/>
      <c r="BD47" s="1085"/>
      <c r="BE47" s="1089"/>
      <c r="BF47" s="1090"/>
      <c r="BG47" s="1090"/>
      <c r="BH47" s="1007">
        <f t="shared" si="1"/>
        <v>50000</v>
      </c>
      <c r="BI47" s="1041">
        <f>'Výdaje kapitol celkem'!CW69</f>
        <v>130000</v>
      </c>
      <c r="BJ47" s="1007">
        <f t="shared" si="2"/>
        <v>80000</v>
      </c>
      <c r="BK47" s="998"/>
    </row>
    <row r="48" spans="1:63" s="1080" customFormat="1" outlineLevel="1" x14ac:dyDescent="0.25">
      <c r="A48" s="2240"/>
      <c r="B48" s="1081"/>
      <c r="C48" s="1082" t="s">
        <v>1076</v>
      </c>
      <c r="D48" s="1083"/>
      <c r="E48" s="1089"/>
      <c r="F48" s="1085"/>
      <c r="G48" s="1086"/>
      <c r="H48" s="1087"/>
      <c r="I48" s="1085"/>
      <c r="J48" s="1089"/>
      <c r="K48" s="1088"/>
      <c r="L48" s="1089"/>
      <c r="M48" s="1087"/>
      <c r="N48" s="1085"/>
      <c r="O48" s="1089"/>
      <c r="P48" s="1088"/>
      <c r="Q48" s="1089"/>
      <c r="R48" s="1087"/>
      <c r="S48" s="1085"/>
      <c r="T48" s="1089"/>
      <c r="U48" s="1088"/>
      <c r="V48" s="1089"/>
      <c r="W48" s="1087"/>
      <c r="X48" s="1085"/>
      <c r="Y48" s="1089"/>
      <c r="Z48" s="1088"/>
      <c r="AA48" s="1089"/>
      <c r="AB48" s="1087"/>
      <c r="AC48" s="1085"/>
      <c r="AD48" s="1089"/>
      <c r="AE48" s="1088"/>
      <c r="AF48" s="1089"/>
      <c r="AG48" s="1087"/>
      <c r="AH48" s="1085"/>
      <c r="AI48" s="1089"/>
      <c r="AJ48" s="1088"/>
      <c r="AK48" s="1089"/>
      <c r="AL48" s="1088"/>
      <c r="AM48" s="1089"/>
      <c r="AN48" s="1087"/>
      <c r="AO48" s="1085"/>
      <c r="AP48" s="1089"/>
      <c r="AQ48" s="1088"/>
      <c r="AR48" s="1089"/>
      <c r="AS48" s="1087"/>
      <c r="AT48" s="1085"/>
      <c r="AU48" s="1089"/>
      <c r="AV48" s="1088"/>
      <c r="AW48" s="1089"/>
      <c r="AX48" s="1087">
        <v>20000</v>
      </c>
      <c r="AY48" s="1087"/>
      <c r="AZ48" s="1087"/>
      <c r="BA48" s="1088"/>
      <c r="BB48" s="1089"/>
      <c r="BC48" s="1087"/>
      <c r="BD48" s="1085"/>
      <c r="BE48" s="1089"/>
      <c r="BF48" s="1090"/>
      <c r="BG48" s="1090"/>
      <c r="BH48" s="1007">
        <f t="shared" si="1"/>
        <v>20000</v>
      </c>
      <c r="BI48" s="1041">
        <f>'Výdaje kapitol celkem'!DK69</f>
        <v>60000</v>
      </c>
      <c r="BJ48" s="1007">
        <f t="shared" si="2"/>
        <v>40000</v>
      </c>
      <c r="BK48" s="998"/>
    </row>
    <row r="49" spans="1:63" s="1080" customFormat="1" outlineLevel="1" x14ac:dyDescent="0.25">
      <c r="A49" s="2240"/>
      <c r="B49" s="1081"/>
      <c r="C49" s="1082" t="s">
        <v>1052</v>
      </c>
      <c r="D49" s="1083"/>
      <c r="E49" s="1089"/>
      <c r="F49" s="1085"/>
      <c r="G49" s="1086"/>
      <c r="H49" s="1087"/>
      <c r="I49" s="1085"/>
      <c r="J49" s="1089"/>
      <c r="K49" s="1088"/>
      <c r="L49" s="1089"/>
      <c r="M49" s="1087"/>
      <c r="N49" s="1085"/>
      <c r="O49" s="1089"/>
      <c r="P49" s="1088"/>
      <c r="Q49" s="1089"/>
      <c r="R49" s="1087"/>
      <c r="S49" s="1085"/>
      <c r="T49" s="1089"/>
      <c r="U49" s="1088"/>
      <c r="V49" s="1089"/>
      <c r="W49" s="1087"/>
      <c r="X49" s="1085"/>
      <c r="Y49" s="1089"/>
      <c r="Z49" s="1088"/>
      <c r="AA49" s="1089"/>
      <c r="AB49" s="1087"/>
      <c r="AC49" s="1085"/>
      <c r="AD49" s="1089"/>
      <c r="AE49" s="1088"/>
      <c r="AF49" s="1089"/>
      <c r="AG49" s="1087"/>
      <c r="AH49" s="1085"/>
      <c r="AI49" s="1089"/>
      <c r="AJ49" s="1088"/>
      <c r="AK49" s="1089"/>
      <c r="AL49" s="1088"/>
      <c r="AM49" s="1089"/>
      <c r="AN49" s="1087"/>
      <c r="AO49" s="1085"/>
      <c r="AP49" s="1089"/>
      <c r="AQ49" s="1088"/>
      <c r="AR49" s="1089"/>
      <c r="AS49" s="1087"/>
      <c r="AT49" s="1085"/>
      <c r="AU49" s="1089"/>
      <c r="AV49" s="1088"/>
      <c r="AW49" s="1089"/>
      <c r="AX49" s="1087"/>
      <c r="AY49" s="1087"/>
      <c r="AZ49" s="1087"/>
      <c r="BA49" s="1088"/>
      <c r="BB49" s="1089"/>
      <c r="BC49" s="1087"/>
      <c r="BD49" s="1085">
        <v>250000</v>
      </c>
      <c r="BE49" s="1089"/>
      <c r="BF49" s="1090"/>
      <c r="BG49" s="1090"/>
      <c r="BH49" s="1007">
        <f t="shared" si="1"/>
        <v>250000</v>
      </c>
      <c r="BI49" s="1041">
        <f>'Výdaje kapitol celkem'!BO69</f>
        <v>250000</v>
      </c>
      <c r="BJ49" s="1007">
        <f t="shared" si="2"/>
        <v>0</v>
      </c>
      <c r="BK49" s="998"/>
    </row>
    <row r="50" spans="1:63" s="1080" customFormat="1" outlineLevel="1" x14ac:dyDescent="0.25">
      <c r="A50" s="2240"/>
      <c r="B50" s="1081"/>
      <c r="C50" s="1082" t="s">
        <v>345</v>
      </c>
      <c r="D50" s="1083"/>
      <c r="E50" s="1089"/>
      <c r="F50" s="1085"/>
      <c r="G50" s="1086"/>
      <c r="H50" s="1087"/>
      <c r="I50" s="1085">
        <v>42350</v>
      </c>
      <c r="J50" s="1089"/>
      <c r="K50" s="1088"/>
      <c r="L50" s="1089"/>
      <c r="M50" s="1087"/>
      <c r="N50" s="1085"/>
      <c r="O50" s="1089">
        <v>54450</v>
      </c>
      <c r="P50" s="1088"/>
      <c r="Q50" s="1089">
        <f>8470+21175</f>
        <v>29645</v>
      </c>
      <c r="R50" s="1087"/>
      <c r="S50" s="1085"/>
      <c r="T50" s="1089">
        <v>27225</v>
      </c>
      <c r="U50" s="1088">
        <v>6050</v>
      </c>
      <c r="V50" s="1089">
        <v>6050</v>
      </c>
      <c r="W50" s="1089"/>
      <c r="X50" s="1085"/>
      <c r="Y50" s="1089"/>
      <c r="Z50" s="1088"/>
      <c r="AA50" s="1089"/>
      <c r="AB50" s="1087"/>
      <c r="AC50" s="1089"/>
      <c r="AD50" s="1089">
        <v>125620</v>
      </c>
      <c r="AE50" s="1089">
        <v>6926</v>
      </c>
      <c r="AF50" s="1089"/>
      <c r="AG50" s="1087"/>
      <c r="AH50" s="1085"/>
      <c r="AI50" s="1089"/>
      <c r="AJ50" s="1088"/>
      <c r="AK50" s="1089"/>
      <c r="AL50" s="1088"/>
      <c r="AM50" s="1089"/>
      <c r="AN50" s="1087"/>
      <c r="AO50" s="1085"/>
      <c r="AP50" s="1089"/>
      <c r="AQ50" s="1088"/>
      <c r="AR50" s="1089"/>
      <c r="AS50" s="1087"/>
      <c r="AT50" s="1085"/>
      <c r="AU50" s="1089"/>
      <c r="AV50" s="1088"/>
      <c r="AW50" s="1089"/>
      <c r="AX50" s="1087"/>
      <c r="AY50" s="1087"/>
      <c r="AZ50" s="1087"/>
      <c r="BA50" s="1088"/>
      <c r="BB50" s="1089"/>
      <c r="BC50" s="1087"/>
      <c r="BD50" s="1085"/>
      <c r="BE50" s="1089"/>
      <c r="BF50" s="1090"/>
      <c r="BG50" s="1090"/>
      <c r="BH50" s="1007">
        <f t="shared" si="1"/>
        <v>298316</v>
      </c>
      <c r="BI50" s="1041">
        <f>'Výdaje kapitol celkem'!AP69</f>
        <v>100000</v>
      </c>
      <c r="BJ50" s="1007">
        <f>+BI50-BH50</f>
        <v>-198316</v>
      </c>
      <c r="BK50" s="998"/>
    </row>
    <row r="51" spans="1:63" s="1020" customFormat="1" ht="14.25" thickBot="1" x14ac:dyDescent="0.3">
      <c r="A51" s="2240"/>
      <c r="B51" s="2244" t="s">
        <v>541</v>
      </c>
      <c r="C51" s="2245"/>
      <c r="D51" s="1065">
        <f t="shared" ref="D51:BF51" si="16">D23+D24+D25-D26</f>
        <v>0</v>
      </c>
      <c r="E51" s="1066">
        <f t="shared" ref="E51:F51" si="17">E23+E24+E25-E26</f>
        <v>0</v>
      </c>
      <c r="F51" s="1067">
        <f t="shared" si="17"/>
        <v>0</v>
      </c>
      <c r="G51" s="1068">
        <f t="shared" si="16"/>
        <v>3162297</v>
      </c>
      <c r="H51" s="1069">
        <f t="shared" si="16"/>
        <v>6663029.0807985468</v>
      </c>
      <c r="I51" s="1067">
        <f t="shared" si="16"/>
        <v>5583426.0807985468</v>
      </c>
      <c r="J51" s="1066">
        <f t="shared" si="16"/>
        <v>9517124.1628183797</v>
      </c>
      <c r="K51" s="1070">
        <f t="shared" si="16"/>
        <v>6220312.2178053008</v>
      </c>
      <c r="L51" s="1066">
        <f t="shared" si="16"/>
        <v>12735571.884471966</v>
      </c>
      <c r="M51" s="1069">
        <f t="shared" si="16"/>
        <v>2317876.8344719661</v>
      </c>
      <c r="N51" s="1067">
        <f t="shared" si="16"/>
        <v>3895300.5011386327</v>
      </c>
      <c r="O51" s="1066">
        <f t="shared" si="16"/>
        <v>2666950.7865923354</v>
      </c>
      <c r="P51" s="1070">
        <f t="shared" si="16"/>
        <v>3574009.7865923354</v>
      </c>
      <c r="Q51" s="1066">
        <f t="shared" si="16"/>
        <v>982381.8665923354</v>
      </c>
      <c r="R51" s="1069">
        <f t="shared" si="16"/>
        <v>-711380.13340766449</v>
      </c>
      <c r="S51" s="1067">
        <f t="shared" si="16"/>
        <v>1942403.8665923355</v>
      </c>
      <c r="T51" s="1066">
        <f t="shared" si="16"/>
        <v>3526820.9473908818</v>
      </c>
      <c r="U51" s="1070">
        <f t="shared" si="16"/>
        <v>2176332.3973908825</v>
      </c>
      <c r="V51" s="1066">
        <f t="shared" si="16"/>
        <v>742036.70871270529</v>
      </c>
      <c r="W51" s="1069">
        <f t="shared" si="16"/>
        <v>454275.70871270541</v>
      </c>
      <c r="X51" s="1067">
        <f t="shared" si="16"/>
        <v>568474.20871270541</v>
      </c>
      <c r="Y51" s="1066">
        <f t="shared" si="16"/>
        <v>3868801.9487127056</v>
      </c>
      <c r="Z51" s="1070">
        <f t="shared" si="16"/>
        <v>8767711.4587127045</v>
      </c>
      <c r="AA51" s="1066">
        <f t="shared" si="16"/>
        <v>3764473.978712705</v>
      </c>
      <c r="AB51" s="1069">
        <f t="shared" si="16"/>
        <v>8094743.6287127044</v>
      </c>
      <c r="AC51" s="1067">
        <f t="shared" si="16"/>
        <v>5923585.6287127044</v>
      </c>
      <c r="AD51" s="1066">
        <f>AD23+AD24+AD25-AD26</f>
        <v>4315986.6287127044</v>
      </c>
      <c r="AE51" s="1070">
        <f>AE23+AE24+AE25-AE26</f>
        <v>5948435.6587127037</v>
      </c>
      <c r="AF51" s="1066">
        <f t="shared" si="16"/>
        <v>5128467.6587127037</v>
      </c>
      <c r="AG51" s="1069">
        <f t="shared" si="16"/>
        <v>3683198.1573579097</v>
      </c>
      <c r="AH51" s="1067">
        <f t="shared" si="16"/>
        <v>3975527.2978329211</v>
      </c>
      <c r="AI51" s="1066">
        <f t="shared" si="16"/>
        <v>1995628.9466934958</v>
      </c>
      <c r="AJ51" s="1070">
        <f t="shared" si="16"/>
        <v>-858659.08877966669</v>
      </c>
      <c r="AK51" s="1066">
        <f t="shared" si="16"/>
        <v>-1331666.4705204826</v>
      </c>
      <c r="AL51" s="1070">
        <f t="shared" si="16"/>
        <v>1164068.5726578468</v>
      </c>
      <c r="AM51" s="1066">
        <f t="shared" si="16"/>
        <v>1990216.4547016148</v>
      </c>
      <c r="AN51" s="1069">
        <f t="shared" si="16"/>
        <v>-1152906.8327528224</v>
      </c>
      <c r="AO51" s="1067">
        <f t="shared" si="16"/>
        <v>-2045061.086673636</v>
      </c>
      <c r="AP51" s="1066">
        <f t="shared" si="16"/>
        <v>2038504.7546172438</v>
      </c>
      <c r="AQ51" s="1070">
        <f t="shared" si="16"/>
        <v>-779764.71319330717</v>
      </c>
      <c r="AR51" s="1066">
        <f t="shared" si="16"/>
        <v>-2636939.652761925</v>
      </c>
      <c r="AS51" s="1069">
        <f t="shared" si="16"/>
        <v>-1695783.952966196</v>
      </c>
      <c r="AT51" s="1067">
        <f t="shared" si="16"/>
        <v>-1650446.7359405681</v>
      </c>
      <c r="AU51" s="1066">
        <f t="shared" si="16"/>
        <v>-2158696.3798728641</v>
      </c>
      <c r="AV51" s="1070">
        <f t="shared" si="16"/>
        <v>-1993479.3489748926</v>
      </c>
      <c r="AW51" s="1066">
        <f t="shared" si="16"/>
        <v>785492.30097109091</v>
      </c>
      <c r="AX51" s="1069">
        <f t="shared" si="16"/>
        <v>-581164.19289602223</v>
      </c>
      <c r="AY51" s="1069">
        <f t="shared" si="16"/>
        <v>606272.01254363172</v>
      </c>
      <c r="AZ51" s="1069">
        <f t="shared" si="16"/>
        <v>-2180345.0900663803</v>
      </c>
      <c r="BA51" s="1070">
        <f t="shared" si="16"/>
        <v>-1416219.3052340574</v>
      </c>
      <c r="BB51" s="1066">
        <f t="shared" si="16"/>
        <v>2903591.590963189</v>
      </c>
      <c r="BC51" s="1069">
        <f t="shared" si="16"/>
        <v>623958.93682728778</v>
      </c>
      <c r="BD51" s="1067">
        <f t="shared" si="16"/>
        <v>-1739633.6651457301</v>
      </c>
      <c r="BE51" s="1066">
        <f t="shared" si="16"/>
        <v>-1566486.6578842914</v>
      </c>
      <c r="BF51" s="1071">
        <f t="shared" si="16"/>
        <v>3219590.0721135503</v>
      </c>
      <c r="BG51" s="1071">
        <f t="shared" ref="BG51" si="18">BG23+BG24+BG25-BG26</f>
        <v>-833082.92788644973</v>
      </c>
      <c r="BH51" s="1007"/>
      <c r="BI51" s="1041"/>
      <c r="BJ51" s="1007"/>
      <c r="BK51" s="998"/>
    </row>
    <row r="52" spans="1:63" ht="18" customHeight="1" x14ac:dyDescent="0.25">
      <c r="A52" s="2239" t="s">
        <v>274</v>
      </c>
      <c r="B52" s="1081"/>
      <c r="C52" s="1064" t="s">
        <v>146</v>
      </c>
      <c r="D52" s="1042"/>
      <c r="E52" s="1043"/>
      <c r="F52" s="1044"/>
      <c r="G52" s="1045"/>
      <c r="H52" s="1046"/>
      <c r="I52" s="1044"/>
      <c r="J52" s="1043">
        <v>1379329</v>
      </c>
      <c r="K52" s="1047"/>
      <c r="L52" s="1043"/>
      <c r="M52" s="1046"/>
      <c r="N52" s="1044"/>
      <c r="O52" s="1043">
        <v>1379329</v>
      </c>
      <c r="P52" s="1047"/>
      <c r="Q52" s="1043"/>
      <c r="R52" s="1046"/>
      <c r="S52" s="1044">
        <v>0</v>
      </c>
      <c r="T52" s="1043">
        <v>1335632</v>
      </c>
      <c r="U52" s="1043"/>
      <c r="V52" s="1092"/>
      <c r="W52" s="1043"/>
      <c r="X52" s="1043"/>
      <c r="Y52" s="1043"/>
      <c r="Z52" s="1043"/>
      <c r="AA52" s="1093"/>
      <c r="AB52" s="1046">
        <v>1335632</v>
      </c>
      <c r="AC52" s="1043"/>
      <c r="AD52" s="1043"/>
      <c r="AE52" s="1043"/>
      <c r="AF52" s="1043">
        <v>1335632</v>
      </c>
      <c r="AG52" s="1094"/>
      <c r="AH52" s="1043"/>
      <c r="AI52" s="1044">
        <v>1335632</v>
      </c>
      <c r="AJ52" s="1043"/>
      <c r="AK52" s="1043"/>
      <c r="AL52" s="1047"/>
      <c r="AM52" s="1093">
        <f>1379329+223026</f>
        <v>1602355</v>
      </c>
      <c r="AN52" s="1047"/>
      <c r="AO52" s="1095"/>
      <c r="AP52" s="1043"/>
      <c r="AQ52" s="1043">
        <f>1379329+300000</f>
        <v>1679329</v>
      </c>
      <c r="AR52" s="1043"/>
      <c r="AS52" s="1096"/>
      <c r="AT52" s="1044"/>
      <c r="AU52" s="1043"/>
      <c r="AV52" s="1047"/>
      <c r="AW52" s="1043"/>
      <c r="AX52" s="1046">
        <f>1379329+300000</f>
        <v>1679329</v>
      </c>
      <c r="AY52" s="1046"/>
      <c r="AZ52" s="1046"/>
      <c r="BA52" s="1047"/>
      <c r="BB52" s="1043">
        <f>1379329+300000</f>
        <v>1679329</v>
      </c>
      <c r="BC52" s="1046"/>
      <c r="BD52" s="1044"/>
      <c r="BE52" s="1043"/>
      <c r="BF52" s="1048">
        <f>1379325+300000+43697</f>
        <v>1723022</v>
      </c>
      <c r="BG52" s="1048"/>
      <c r="BH52" s="1007">
        <f t="shared" si="1"/>
        <v>16464550</v>
      </c>
      <c r="BI52" s="1041">
        <f>'Souhrn příjmů a výdajů 2021'!I150</f>
        <v>19016744</v>
      </c>
      <c r="BJ52" s="1007">
        <f>+BI52-BH52</f>
        <v>2552194</v>
      </c>
      <c r="BK52" s="998"/>
    </row>
    <row r="53" spans="1:63" s="1106" customFormat="1" ht="15.75" customHeight="1" x14ac:dyDescent="0.25">
      <c r="A53" s="2240"/>
      <c r="B53" s="1097"/>
      <c r="C53" s="1098" t="s">
        <v>542</v>
      </c>
      <c r="D53" s="1099"/>
      <c r="E53" s="1100"/>
      <c r="F53" s="1100"/>
      <c r="G53" s="1101"/>
      <c r="H53" s="1102"/>
      <c r="I53" s="1103"/>
      <c r="J53" s="1104"/>
      <c r="K53" s="1100"/>
      <c r="L53" s="1104"/>
      <c r="M53" s="1102"/>
      <c r="N53" s="1103"/>
      <c r="O53" s="1104"/>
      <c r="P53" s="1100"/>
      <c r="Q53" s="1104"/>
      <c r="R53" s="1102"/>
      <c r="S53" s="1103"/>
      <c r="T53" s="1104"/>
      <c r="U53" s="1100"/>
      <c r="V53" s="1104"/>
      <c r="W53" s="1102"/>
      <c r="X53" s="1103"/>
      <c r="Y53" s="1104"/>
      <c r="Z53" s="1100"/>
      <c r="AA53" s="1104"/>
      <c r="AB53" s="1102"/>
      <c r="AC53" s="1103"/>
      <c r="AD53" s="1104"/>
      <c r="AE53" s="1100"/>
      <c r="AF53" s="1104"/>
      <c r="AG53" s="1102"/>
      <c r="AH53" s="1103"/>
      <c r="AI53" s="1104"/>
      <c r="AJ53" s="1100"/>
      <c r="AK53" s="1104"/>
      <c r="AL53" s="1100"/>
      <c r="AM53" s="1104"/>
      <c r="AN53" s="1102"/>
      <c r="AO53" s="1103"/>
      <c r="AP53" s="1104"/>
      <c r="AQ53" s="1100"/>
      <c r="AR53" s="1104"/>
      <c r="AS53" s="1102"/>
      <c r="AT53" s="1103"/>
      <c r="AU53" s="1104"/>
      <c r="AV53" s="1100"/>
      <c r="AW53" s="1104"/>
      <c r="AX53" s="1102"/>
      <c r="AY53" s="1102"/>
      <c r="AZ53" s="1102"/>
      <c r="BA53" s="1100"/>
      <c r="BB53" s="1104"/>
      <c r="BC53" s="1102"/>
      <c r="BD53" s="1103"/>
      <c r="BE53" s="1104"/>
      <c r="BF53" s="1105"/>
      <c r="BG53" s="1105"/>
      <c r="BH53" s="1007">
        <f t="shared" si="1"/>
        <v>0</v>
      </c>
      <c r="BI53" s="1041"/>
      <c r="BJ53" s="1041">
        <f>+BI53-BH53</f>
        <v>0</v>
      </c>
      <c r="BK53" s="998"/>
    </row>
    <row r="54" spans="1:63" ht="12.75" customHeight="1" x14ac:dyDescent="0.25">
      <c r="A54" s="2240"/>
      <c r="B54" s="1081"/>
      <c r="C54" s="1064" t="s">
        <v>543</v>
      </c>
      <c r="D54" s="1042"/>
      <c r="E54" s="1043"/>
      <c r="F54" s="1044"/>
      <c r="G54" s="1045"/>
      <c r="H54" s="1046"/>
      <c r="I54" s="1044"/>
      <c r="J54" s="1043"/>
      <c r="K54" s="1047"/>
      <c r="L54" s="1043"/>
      <c r="M54" s="1046"/>
      <c r="N54" s="1044"/>
      <c r="O54" s="1043"/>
      <c r="P54" s="1047"/>
      <c r="Q54" s="1043"/>
      <c r="R54" s="1046"/>
      <c r="S54" s="1044"/>
      <c r="T54" s="1043"/>
      <c r="U54" s="1047"/>
      <c r="V54" s="1043"/>
      <c r="W54" s="1046"/>
      <c r="X54" s="1044"/>
      <c r="Y54" s="1043"/>
      <c r="Z54" s="1047"/>
      <c r="AA54" s="1043"/>
      <c r="AB54" s="1046"/>
      <c r="AC54" s="1044"/>
      <c r="AD54" s="1043"/>
      <c r="AE54" s="1047"/>
      <c r="AF54" s="1043"/>
      <c r="AG54" s="1046"/>
      <c r="AH54" s="1044"/>
      <c r="AI54" s="1043"/>
      <c r="AJ54" s="1047"/>
      <c r="AK54" s="1043"/>
      <c r="AL54" s="1047"/>
      <c r="AM54" s="1043"/>
      <c r="AN54" s="1046"/>
      <c r="AO54" s="1044"/>
      <c r="AP54" s="1043"/>
      <c r="AQ54" s="1047"/>
      <c r="AR54" s="1043"/>
      <c r="AS54" s="1046"/>
      <c r="AT54" s="1044"/>
      <c r="AU54" s="1043"/>
      <c r="AV54" s="1047"/>
      <c r="AW54" s="1043"/>
      <c r="AX54" s="1046"/>
      <c r="AY54" s="1046"/>
      <c r="AZ54" s="1046"/>
      <c r="BA54" s="1047"/>
      <c r="BB54" s="1043"/>
      <c r="BC54" s="1046"/>
      <c r="BD54" s="1044"/>
      <c r="BE54" s="1043"/>
      <c r="BF54" s="1048"/>
      <c r="BG54" s="1048"/>
      <c r="BH54" s="1007">
        <f t="shared" si="1"/>
        <v>0</v>
      </c>
      <c r="BI54" s="1041"/>
      <c r="BJ54" s="1007">
        <f t="shared" si="2"/>
        <v>0</v>
      </c>
      <c r="BK54" s="998"/>
    </row>
    <row r="55" spans="1:63" ht="20.25" customHeight="1" thickBot="1" x14ac:dyDescent="0.3">
      <c r="A55" s="2241"/>
      <c r="B55" s="2250" t="s">
        <v>544</v>
      </c>
      <c r="C55" s="2251"/>
      <c r="D55" s="1107">
        <f t="shared" ref="D55:I55" si="19">+D52+D53+D54</f>
        <v>0</v>
      </c>
      <c r="E55" s="1108">
        <f t="shared" si="19"/>
        <v>0</v>
      </c>
      <c r="F55" s="1109">
        <f>+F52+F53+F54</f>
        <v>0</v>
      </c>
      <c r="G55" s="1110">
        <f t="shared" si="19"/>
        <v>0</v>
      </c>
      <c r="H55" s="1111">
        <f t="shared" si="19"/>
        <v>0</v>
      </c>
      <c r="I55" s="1109">
        <f t="shared" si="19"/>
        <v>0</v>
      </c>
      <c r="J55" s="1108">
        <f>+J52+J53+J54</f>
        <v>1379329</v>
      </c>
      <c r="K55" s="1112">
        <f>+K52+K53+K54</f>
        <v>0</v>
      </c>
      <c r="L55" s="1108">
        <f t="shared" ref="L55:N55" si="20">+L52+L53+L54</f>
        <v>0</v>
      </c>
      <c r="M55" s="1111">
        <f t="shared" si="20"/>
        <v>0</v>
      </c>
      <c r="N55" s="1109">
        <f t="shared" si="20"/>
        <v>0</v>
      </c>
      <c r="O55" s="1108">
        <f>+O52+O53+O54</f>
        <v>1379329</v>
      </c>
      <c r="P55" s="1112">
        <f>+P52+P53+P54</f>
        <v>0</v>
      </c>
      <c r="Q55" s="1108">
        <f t="shared" ref="Q55:S55" si="21">+Q52+Q53+Q54</f>
        <v>0</v>
      </c>
      <c r="R55" s="1111">
        <f t="shared" si="21"/>
        <v>0</v>
      </c>
      <c r="S55" s="1109">
        <f t="shared" si="21"/>
        <v>0</v>
      </c>
      <c r="T55" s="1108">
        <f>+T52+T53+T54</f>
        <v>1335632</v>
      </c>
      <c r="U55" s="1112">
        <f>+U52+U53+U54</f>
        <v>0</v>
      </c>
      <c r="V55" s="1108">
        <f t="shared" ref="V55:X55" si="22">+V52+V53+V54</f>
        <v>0</v>
      </c>
      <c r="W55" s="1111">
        <f t="shared" si="22"/>
        <v>0</v>
      </c>
      <c r="X55" s="1109">
        <f t="shared" si="22"/>
        <v>0</v>
      </c>
      <c r="Y55" s="1108">
        <f>+Y52+Y53+Y54</f>
        <v>0</v>
      </c>
      <c r="Z55" s="1112">
        <f>+Z52+Z53+Z54</f>
        <v>0</v>
      </c>
      <c r="AA55" s="1108">
        <f t="shared" ref="AA55:AC55" si="23">+AA52+AA53+AA54</f>
        <v>0</v>
      </c>
      <c r="AB55" s="1111">
        <f t="shared" si="23"/>
        <v>1335632</v>
      </c>
      <c r="AC55" s="1109">
        <f t="shared" si="23"/>
        <v>0</v>
      </c>
      <c r="AD55" s="1108">
        <f>+AD52+AD53+AD54</f>
        <v>0</v>
      </c>
      <c r="AE55" s="1112">
        <f>+AE52+AE53+AE54</f>
        <v>0</v>
      </c>
      <c r="AF55" s="1108">
        <f t="shared" ref="AF55:AH55" si="24">+AF52+AF53+AF54</f>
        <v>1335632</v>
      </c>
      <c r="AG55" s="1111">
        <f t="shared" si="24"/>
        <v>0</v>
      </c>
      <c r="AH55" s="1109">
        <f t="shared" si="24"/>
        <v>0</v>
      </c>
      <c r="AI55" s="1108">
        <f>+AI52+AI53+AI54</f>
        <v>1335632</v>
      </c>
      <c r="AJ55" s="1112">
        <f>+AJ52+AJ53+AJ54</f>
        <v>0</v>
      </c>
      <c r="AK55" s="1108">
        <f>+AK52+AK53+AK54</f>
        <v>0</v>
      </c>
      <c r="AL55" s="1112">
        <f>+AL52+AL53+AL54</f>
        <v>0</v>
      </c>
      <c r="AM55" s="1108">
        <f t="shared" ref="AM55:AO55" si="25">+AM52+AM53+AM54</f>
        <v>1602355</v>
      </c>
      <c r="AN55" s="1111">
        <f t="shared" si="25"/>
        <v>0</v>
      </c>
      <c r="AO55" s="1109">
        <f t="shared" si="25"/>
        <v>0</v>
      </c>
      <c r="AP55" s="1108">
        <f>+AP52+AP53+AP54</f>
        <v>0</v>
      </c>
      <c r="AQ55" s="1112">
        <f>+AQ52+AQ53+AQ54</f>
        <v>1679329</v>
      </c>
      <c r="AR55" s="1108">
        <f t="shared" ref="AR55:AT55" si="26">+AR52+AR53+AR54</f>
        <v>0</v>
      </c>
      <c r="AS55" s="1111">
        <f t="shared" si="26"/>
        <v>0</v>
      </c>
      <c r="AT55" s="1109">
        <f t="shared" si="26"/>
        <v>0</v>
      </c>
      <c r="AU55" s="1108">
        <f>+AU52+AU53+AU54</f>
        <v>0</v>
      </c>
      <c r="AV55" s="1112">
        <f>+AV52+AV53+AV54</f>
        <v>0</v>
      </c>
      <c r="AW55" s="1108">
        <f t="shared" ref="AW55:AY55" si="27">+AW52+AW53+AW54</f>
        <v>0</v>
      </c>
      <c r="AX55" s="1111">
        <f t="shared" si="27"/>
        <v>1679329</v>
      </c>
      <c r="AY55" s="1111">
        <f t="shared" si="27"/>
        <v>0</v>
      </c>
      <c r="AZ55" s="1111">
        <f>+AZ52+AZ53+AZ54</f>
        <v>0</v>
      </c>
      <c r="BA55" s="1112">
        <f>+BA52+BA53+BA54</f>
        <v>0</v>
      </c>
      <c r="BB55" s="1108">
        <f t="shared" ref="BB55:BD55" si="28">+BB52+BB53+BB54</f>
        <v>1679329</v>
      </c>
      <c r="BC55" s="1111">
        <f t="shared" si="28"/>
        <v>0</v>
      </c>
      <c r="BD55" s="1109">
        <f t="shared" si="28"/>
        <v>0</v>
      </c>
      <c r="BE55" s="1108">
        <f>+BE52+BE53+BE54</f>
        <v>0</v>
      </c>
      <c r="BF55" s="1113">
        <f>+BF52+BF53+BF54</f>
        <v>1723022</v>
      </c>
      <c r="BG55" s="1113">
        <f>+BG52+BG53+BG54</f>
        <v>0</v>
      </c>
      <c r="BH55" s="1041"/>
      <c r="BI55" s="1041"/>
      <c r="BJ55" s="1007"/>
      <c r="BK55" s="998"/>
    </row>
    <row r="56" spans="1:63" s="1020" customFormat="1" ht="15.75" customHeight="1" thickBot="1" x14ac:dyDescent="0.3">
      <c r="A56" s="1114"/>
      <c r="B56" s="2246" t="s">
        <v>156</v>
      </c>
      <c r="C56" s="2247"/>
      <c r="D56" s="1115">
        <f t="shared" ref="D56:BF56" si="29">D51-D55</f>
        <v>0</v>
      </c>
      <c r="E56" s="1116">
        <f>E51-E55</f>
        <v>0</v>
      </c>
      <c r="F56" s="1117">
        <f t="shared" si="29"/>
        <v>0</v>
      </c>
      <c r="G56" s="1118">
        <f t="shared" si="29"/>
        <v>3162297</v>
      </c>
      <c r="H56" s="1119">
        <f t="shared" si="29"/>
        <v>6663029.0807985468</v>
      </c>
      <c r="I56" s="1117">
        <f t="shared" si="29"/>
        <v>5583426.0807985468</v>
      </c>
      <c r="J56" s="1116">
        <f t="shared" si="29"/>
        <v>8137795.1628183797</v>
      </c>
      <c r="K56" s="1120">
        <f t="shared" si="29"/>
        <v>6220312.2178053008</v>
      </c>
      <c r="L56" s="1116">
        <f t="shared" si="29"/>
        <v>12735571.884471966</v>
      </c>
      <c r="M56" s="1119">
        <f t="shared" si="29"/>
        <v>2317876.8344719661</v>
      </c>
      <c r="N56" s="1117">
        <f t="shared" si="29"/>
        <v>3895300.5011386327</v>
      </c>
      <c r="O56" s="1116">
        <f>O51-O55</f>
        <v>1287621.7865923354</v>
      </c>
      <c r="P56" s="1120">
        <f t="shared" si="29"/>
        <v>3574009.7865923354</v>
      </c>
      <c r="Q56" s="1116">
        <f t="shared" si="29"/>
        <v>982381.8665923354</v>
      </c>
      <c r="R56" s="1119">
        <f t="shared" si="29"/>
        <v>-711380.13340766449</v>
      </c>
      <c r="S56" s="1117">
        <f t="shared" si="29"/>
        <v>1942403.8665923355</v>
      </c>
      <c r="T56" s="1116">
        <f t="shared" si="29"/>
        <v>2191188.9473908818</v>
      </c>
      <c r="U56" s="1120">
        <f t="shared" si="29"/>
        <v>2176332.3973908825</v>
      </c>
      <c r="V56" s="1116">
        <f t="shared" si="29"/>
        <v>742036.70871270529</v>
      </c>
      <c r="W56" s="1119">
        <f t="shared" si="29"/>
        <v>454275.70871270541</v>
      </c>
      <c r="X56" s="1117">
        <f t="shared" si="29"/>
        <v>568474.20871270541</v>
      </c>
      <c r="Y56" s="1116">
        <f t="shared" si="29"/>
        <v>3868801.9487127056</v>
      </c>
      <c r="Z56" s="1120">
        <f t="shared" si="29"/>
        <v>8767711.4587127045</v>
      </c>
      <c r="AA56" s="1116">
        <f t="shared" si="29"/>
        <v>3764473.978712705</v>
      </c>
      <c r="AB56" s="1119">
        <f t="shared" si="29"/>
        <v>6759111.6287127044</v>
      </c>
      <c r="AC56" s="1117">
        <f t="shared" si="29"/>
        <v>5923585.6287127044</v>
      </c>
      <c r="AD56" s="1116">
        <f>AD51-AD55</f>
        <v>4315986.6287127044</v>
      </c>
      <c r="AE56" s="1120">
        <f>AE51-AE55</f>
        <v>5948435.6587127037</v>
      </c>
      <c r="AF56" s="1116">
        <f t="shared" si="29"/>
        <v>3792835.6587127037</v>
      </c>
      <c r="AG56" s="1119">
        <f t="shared" si="29"/>
        <v>3683198.1573579097</v>
      </c>
      <c r="AH56" s="1117">
        <f t="shared" si="29"/>
        <v>3975527.2978329211</v>
      </c>
      <c r="AI56" s="1116">
        <f t="shared" si="29"/>
        <v>659996.94669349585</v>
      </c>
      <c r="AJ56" s="1120">
        <f t="shared" si="29"/>
        <v>-858659.08877966669</v>
      </c>
      <c r="AK56" s="1116">
        <f t="shared" si="29"/>
        <v>-1331666.4705204826</v>
      </c>
      <c r="AL56" s="1120">
        <f t="shared" si="29"/>
        <v>1164068.5726578468</v>
      </c>
      <c r="AM56" s="1116">
        <f t="shared" si="29"/>
        <v>387861.4547016148</v>
      </c>
      <c r="AN56" s="1119">
        <f t="shared" si="29"/>
        <v>-1152906.8327528224</v>
      </c>
      <c r="AO56" s="1117">
        <f t="shared" si="29"/>
        <v>-2045061.086673636</v>
      </c>
      <c r="AP56" s="1116">
        <f t="shared" si="29"/>
        <v>2038504.7546172438</v>
      </c>
      <c r="AQ56" s="1120">
        <f t="shared" si="29"/>
        <v>-2459093.7131933072</v>
      </c>
      <c r="AR56" s="1116">
        <f t="shared" si="29"/>
        <v>-2636939.652761925</v>
      </c>
      <c r="AS56" s="1119">
        <f t="shared" si="29"/>
        <v>-1695783.952966196</v>
      </c>
      <c r="AT56" s="1117">
        <f t="shared" si="29"/>
        <v>-1650446.7359405681</v>
      </c>
      <c r="AU56" s="1116">
        <f t="shared" si="29"/>
        <v>-2158696.3798728641</v>
      </c>
      <c r="AV56" s="1120">
        <f t="shared" si="29"/>
        <v>-1993479.3489748926</v>
      </c>
      <c r="AW56" s="1116">
        <f t="shared" si="29"/>
        <v>785492.30097109091</v>
      </c>
      <c r="AX56" s="1119">
        <f t="shared" si="29"/>
        <v>-2260493.1928960225</v>
      </c>
      <c r="AY56" s="1119">
        <f t="shared" si="29"/>
        <v>606272.01254363172</v>
      </c>
      <c r="AZ56" s="1119">
        <f t="shared" si="29"/>
        <v>-2180345.0900663803</v>
      </c>
      <c r="BA56" s="1120">
        <f t="shared" si="29"/>
        <v>-1416219.3052340574</v>
      </c>
      <c r="BB56" s="1116">
        <f t="shared" si="29"/>
        <v>1224262.590963189</v>
      </c>
      <c r="BC56" s="1119">
        <f t="shared" si="29"/>
        <v>623958.93682728778</v>
      </c>
      <c r="BD56" s="1117">
        <f t="shared" si="29"/>
        <v>-1739633.6651457301</v>
      </c>
      <c r="BE56" s="1116">
        <f t="shared" si="29"/>
        <v>-1566486.6578842914</v>
      </c>
      <c r="BF56" s="1121">
        <f t="shared" si="29"/>
        <v>1496568.0721135503</v>
      </c>
      <c r="BG56" s="1121">
        <f t="shared" ref="BG56" si="30">BG51-BG55</f>
        <v>-833082.92788644973</v>
      </c>
      <c r="BH56" s="1007"/>
      <c r="BI56" s="1041"/>
      <c r="BJ56" s="1007"/>
      <c r="BK56" s="998"/>
    </row>
    <row r="57" spans="1:63" s="1080" customFormat="1" ht="14.25" thickBot="1" x14ac:dyDescent="0.3">
      <c r="A57" s="1122"/>
      <c r="B57" s="1123" t="s">
        <v>1053</v>
      </c>
      <c r="C57" s="1124"/>
      <c r="D57" s="1125">
        <v>5000000</v>
      </c>
      <c r="E57" s="1125">
        <v>5000000</v>
      </c>
      <c r="F57" s="1125">
        <v>5000000</v>
      </c>
      <c r="G57" s="1126">
        <v>5000000</v>
      </c>
      <c r="H57" s="1125">
        <v>5000000</v>
      </c>
      <c r="I57" s="1125">
        <v>5000000</v>
      </c>
      <c r="J57" s="1125">
        <v>5000000</v>
      </c>
      <c r="K57" s="1125">
        <v>5000000</v>
      </c>
      <c r="L57" s="1127">
        <v>5000000</v>
      </c>
      <c r="M57" s="1125">
        <v>5000000</v>
      </c>
      <c r="N57" s="1125">
        <v>5000000</v>
      </c>
      <c r="O57" s="1125">
        <v>5000000</v>
      </c>
      <c r="P57" s="1125">
        <v>5000000</v>
      </c>
      <c r="Q57" s="1127">
        <v>5000000</v>
      </c>
      <c r="R57" s="1125">
        <v>5000000</v>
      </c>
      <c r="S57" s="1125">
        <v>5000000</v>
      </c>
      <c r="T57" s="1125">
        <v>5000000</v>
      </c>
      <c r="U57" s="1125">
        <v>5000000</v>
      </c>
      <c r="V57" s="1127">
        <v>5000000</v>
      </c>
      <c r="W57" s="1125">
        <v>5000000</v>
      </c>
      <c r="X57" s="1125">
        <v>5000000</v>
      </c>
      <c r="Y57" s="1125">
        <v>5000000</v>
      </c>
      <c r="Z57" s="1125">
        <v>5000000</v>
      </c>
      <c r="AA57" s="1127">
        <v>5000000</v>
      </c>
      <c r="AB57" s="1125">
        <v>5000000</v>
      </c>
      <c r="AC57" s="1125">
        <v>5000000</v>
      </c>
      <c r="AD57" s="1125">
        <v>5000000</v>
      </c>
      <c r="AE57" s="1125">
        <v>5000000</v>
      </c>
      <c r="AF57" s="1127">
        <v>5000000</v>
      </c>
      <c r="AG57" s="1125">
        <v>5000000</v>
      </c>
      <c r="AH57" s="1125">
        <v>5000000</v>
      </c>
      <c r="AI57" s="1125">
        <v>5000000</v>
      </c>
      <c r="AJ57" s="1125">
        <v>5000000</v>
      </c>
      <c r="AK57" s="1127">
        <v>5000000</v>
      </c>
      <c r="AL57" s="1125">
        <v>5000000</v>
      </c>
      <c r="AM57" s="1127">
        <v>5000000</v>
      </c>
      <c r="AN57" s="1125">
        <v>5000000</v>
      </c>
      <c r="AO57" s="1125">
        <v>5000000</v>
      </c>
      <c r="AP57" s="1127">
        <v>5000000</v>
      </c>
      <c r="AQ57" s="1125">
        <v>5000000</v>
      </c>
      <c r="AR57" s="1127">
        <v>5000000</v>
      </c>
      <c r="AS57" s="1125">
        <v>5000000</v>
      </c>
      <c r="AT57" s="1125">
        <v>5000000</v>
      </c>
      <c r="AU57" s="1127">
        <v>5000000</v>
      </c>
      <c r="AV57" s="1125">
        <v>5000000</v>
      </c>
      <c r="AW57" s="1127">
        <v>5000000</v>
      </c>
      <c r="AX57" s="1125">
        <v>5000000</v>
      </c>
      <c r="AY57" s="1128">
        <v>5000000</v>
      </c>
      <c r="AZ57" s="1125">
        <v>5000000</v>
      </c>
      <c r="BA57" s="1125">
        <v>5000000</v>
      </c>
      <c r="BB57" s="1127">
        <v>5000000</v>
      </c>
      <c r="BC57" s="1125">
        <v>5000000</v>
      </c>
      <c r="BD57" s="1125">
        <v>5000000</v>
      </c>
      <c r="BE57" s="1127">
        <v>5000000</v>
      </c>
      <c r="BF57" s="1129">
        <v>5000000</v>
      </c>
      <c r="BG57" s="1129">
        <v>5000000</v>
      </c>
      <c r="BH57" s="1007"/>
      <c r="BI57" s="1041"/>
      <c r="BJ57" s="1007"/>
      <c r="BK57" s="998"/>
    </row>
    <row r="58" spans="1:63" s="1020" customFormat="1" ht="15.75" customHeight="1" thickBot="1" x14ac:dyDescent="0.3">
      <c r="A58" s="1130"/>
      <c r="B58" s="2246"/>
      <c r="C58" s="2247"/>
      <c r="D58" s="1115">
        <f>+D56+D57</f>
        <v>5000000</v>
      </c>
      <c r="E58" s="1116">
        <f t="shared" ref="E58:BF58" si="31">+E56+E57</f>
        <v>5000000</v>
      </c>
      <c r="F58" s="1117">
        <f t="shared" si="31"/>
        <v>5000000</v>
      </c>
      <c r="G58" s="1118">
        <f t="shared" si="31"/>
        <v>8162297</v>
      </c>
      <c r="H58" s="1119">
        <f t="shared" si="31"/>
        <v>11663029.080798548</v>
      </c>
      <c r="I58" s="1117">
        <f t="shared" si="31"/>
        <v>10583426.080798548</v>
      </c>
      <c r="J58" s="1116">
        <f t="shared" si="31"/>
        <v>13137795.16281838</v>
      </c>
      <c r="K58" s="1120">
        <f t="shared" si="31"/>
        <v>11220312.2178053</v>
      </c>
      <c r="L58" s="1116">
        <f t="shared" si="31"/>
        <v>17735571.884471968</v>
      </c>
      <c r="M58" s="1119">
        <f t="shared" si="31"/>
        <v>7317876.8344719661</v>
      </c>
      <c r="N58" s="1117">
        <f t="shared" si="31"/>
        <v>8895300.5011386331</v>
      </c>
      <c r="O58" s="1116">
        <f t="shared" si="31"/>
        <v>6287621.7865923354</v>
      </c>
      <c r="P58" s="1120">
        <f t="shared" si="31"/>
        <v>8574009.7865923345</v>
      </c>
      <c r="Q58" s="1116">
        <f t="shared" si="31"/>
        <v>5982381.8665923355</v>
      </c>
      <c r="R58" s="1119">
        <f t="shared" si="31"/>
        <v>4288619.8665923355</v>
      </c>
      <c r="S58" s="1117">
        <f t="shared" si="31"/>
        <v>6942403.8665923355</v>
      </c>
      <c r="T58" s="1116">
        <f>+T56+T57</f>
        <v>7191188.9473908823</v>
      </c>
      <c r="U58" s="1120">
        <f t="shared" si="31"/>
        <v>7176332.3973908825</v>
      </c>
      <c r="V58" s="1116">
        <f t="shared" si="31"/>
        <v>5742036.7087127054</v>
      </c>
      <c r="W58" s="1119">
        <f t="shared" si="31"/>
        <v>5454275.7087127054</v>
      </c>
      <c r="X58" s="1117">
        <f t="shared" si="31"/>
        <v>5568474.2087127054</v>
      </c>
      <c r="Y58" s="1116">
        <f t="shared" si="31"/>
        <v>8868801.9487127066</v>
      </c>
      <c r="Z58" s="1120">
        <f t="shared" si="31"/>
        <v>13767711.458712704</v>
      </c>
      <c r="AA58" s="1116">
        <f t="shared" si="31"/>
        <v>8764473.978712704</v>
      </c>
      <c r="AB58" s="1119">
        <f t="shared" si="31"/>
        <v>11759111.628712704</v>
      </c>
      <c r="AC58" s="1117">
        <f t="shared" si="31"/>
        <v>10923585.628712704</v>
      </c>
      <c r="AD58" s="1116">
        <f>+AD56+AD57</f>
        <v>9315986.6287127044</v>
      </c>
      <c r="AE58" s="1120">
        <f>+AE56+AE57</f>
        <v>10948435.658712704</v>
      </c>
      <c r="AF58" s="1116">
        <f t="shared" si="31"/>
        <v>8792835.6587127037</v>
      </c>
      <c r="AG58" s="1119">
        <f t="shared" si="31"/>
        <v>8683198.1573579088</v>
      </c>
      <c r="AH58" s="1117">
        <f t="shared" si="31"/>
        <v>8975527.2978329211</v>
      </c>
      <c r="AI58" s="1116">
        <f t="shared" si="31"/>
        <v>5659996.9466934958</v>
      </c>
      <c r="AJ58" s="1120">
        <f t="shared" si="31"/>
        <v>4141340.9112203335</v>
      </c>
      <c r="AK58" s="1116">
        <f t="shared" si="31"/>
        <v>3668333.5294795176</v>
      </c>
      <c r="AL58" s="1120">
        <f t="shared" si="31"/>
        <v>6164068.5726578468</v>
      </c>
      <c r="AM58" s="1116">
        <f t="shared" si="31"/>
        <v>5387861.4547016146</v>
      </c>
      <c r="AN58" s="1119">
        <f t="shared" si="31"/>
        <v>3847093.1672471776</v>
      </c>
      <c r="AO58" s="1117">
        <f t="shared" si="31"/>
        <v>2954938.913326364</v>
      </c>
      <c r="AP58" s="1116">
        <f t="shared" si="31"/>
        <v>7038504.754617244</v>
      </c>
      <c r="AQ58" s="1120">
        <f t="shared" si="31"/>
        <v>2540906.2868066928</v>
      </c>
      <c r="AR58" s="1116">
        <f t="shared" si="31"/>
        <v>2363060.347238075</v>
      </c>
      <c r="AS58" s="1119">
        <f t="shared" si="31"/>
        <v>3304216.047033804</v>
      </c>
      <c r="AT58" s="1117">
        <f t="shared" si="31"/>
        <v>3349553.2640594319</v>
      </c>
      <c r="AU58" s="1116">
        <f t="shared" si="31"/>
        <v>2841303.6201271359</v>
      </c>
      <c r="AV58" s="1120">
        <f t="shared" si="31"/>
        <v>3006520.6510251071</v>
      </c>
      <c r="AW58" s="1116">
        <f t="shared" si="31"/>
        <v>5785492.3009710908</v>
      </c>
      <c r="AX58" s="1119">
        <f t="shared" si="31"/>
        <v>2739506.8071039775</v>
      </c>
      <c r="AY58" s="1119">
        <f t="shared" si="31"/>
        <v>5606272.0125436317</v>
      </c>
      <c r="AZ58" s="1119">
        <f t="shared" si="31"/>
        <v>2819654.9099336197</v>
      </c>
      <c r="BA58" s="1120">
        <f t="shared" si="31"/>
        <v>3583780.6947659426</v>
      </c>
      <c r="BB58" s="1116">
        <f t="shared" si="31"/>
        <v>6224262.5909631886</v>
      </c>
      <c r="BC58" s="1119">
        <f t="shared" si="31"/>
        <v>5623958.936827288</v>
      </c>
      <c r="BD58" s="1117">
        <f t="shared" si="31"/>
        <v>3260366.3348542699</v>
      </c>
      <c r="BE58" s="1116">
        <f t="shared" si="31"/>
        <v>3433513.3421157086</v>
      </c>
      <c r="BF58" s="1121">
        <f t="shared" si="31"/>
        <v>6496568.0721135503</v>
      </c>
      <c r="BG58" s="1121">
        <f t="shared" ref="BG58" si="32">+BG56+BG57</f>
        <v>4166917.0721135503</v>
      </c>
      <c r="BH58" s="1007"/>
      <c r="BI58" s="1041"/>
      <c r="BJ58" s="1007"/>
      <c r="BK58" s="998"/>
    </row>
    <row r="59" spans="1:63" s="1080" customFormat="1" x14ac:dyDescent="0.25">
      <c r="A59" s="1002"/>
      <c r="B59" s="1002"/>
      <c r="C59" s="1002" t="s">
        <v>277</v>
      </c>
      <c r="D59" s="1002"/>
      <c r="E59" s="1002"/>
      <c r="F59" s="1007">
        <f>4500000-F56</f>
        <v>4500000</v>
      </c>
      <c r="G59" s="1007">
        <f>3162297-G56</f>
        <v>0</v>
      </c>
      <c r="H59" s="1007">
        <f>6663029-H56</f>
        <v>-8.079854678362608E-2</v>
      </c>
      <c r="I59" s="1007">
        <f>5583426-I56</f>
        <v>-8.079854678362608E-2</v>
      </c>
      <c r="J59" s="1007">
        <f>8137795-J56</f>
        <v>-0.16281837970018387</v>
      </c>
      <c r="K59" s="1007">
        <f>6220312-K56</f>
        <v>-0.21780530083924532</v>
      </c>
      <c r="L59" s="1007">
        <f>12735572-L56</f>
        <v>0.1155280340462923</v>
      </c>
      <c r="M59" s="1007">
        <f>2317877-M56</f>
        <v>0.16552803386002779</v>
      </c>
      <c r="N59" s="1007">
        <f>3895301-N56</f>
        <v>0.49886136734858155</v>
      </c>
      <c r="O59" s="1007">
        <f>1287622-O56</f>
        <v>0.21340766455978155</v>
      </c>
      <c r="P59" s="1007">
        <f>3574010-P56</f>
        <v>0.21340766455978155</v>
      </c>
      <c r="Q59" s="1007">
        <f>982382-Q56</f>
        <v>0.13340766460169107</v>
      </c>
      <c r="R59" s="1007">
        <f>-711380-R56</f>
        <v>0.13340766448527575</v>
      </c>
      <c r="S59" s="1007">
        <f>1942404-S56</f>
        <v>0.13340766448527575</v>
      </c>
      <c r="T59" s="1007">
        <f>2191189-T56</f>
        <v>5.2609118167310953E-2</v>
      </c>
      <c r="U59" s="1007">
        <f>2176332-U56</f>
        <v>-0.39739088248461485</v>
      </c>
      <c r="V59" s="1007">
        <f>742037-V56</f>
        <v>0.29128729470539838</v>
      </c>
      <c r="W59" s="1007">
        <f>454276-W56</f>
        <v>0.29128729458898306</v>
      </c>
      <c r="X59" s="1007">
        <f>568474-X56</f>
        <v>-0.20871270541101694</v>
      </c>
      <c r="Y59" s="1007">
        <f>3868802-Y56</f>
        <v>5.1287294365465641E-2</v>
      </c>
      <c r="Z59" s="1007">
        <f>8767711-Z56</f>
        <v>-0.45871270447969437</v>
      </c>
      <c r="AA59" s="1007">
        <f>3764474-AA56</f>
        <v>2.1287295036017895E-2</v>
      </c>
      <c r="AB59" s="1007">
        <f>6759112-AB56</f>
        <v>0.37128729559481144</v>
      </c>
      <c r="AC59" s="1007">
        <f>5923586-AC56</f>
        <v>0.37128729559481144</v>
      </c>
      <c r="AD59" s="1007">
        <f>4315987-AD56</f>
        <v>0.37128729559481144</v>
      </c>
      <c r="AE59" s="1007">
        <f>5948436-AE56</f>
        <v>0.34128729626536369</v>
      </c>
      <c r="AF59" s="1007">
        <f>3792836-AF56</f>
        <v>0.34128729626536369</v>
      </c>
      <c r="AG59" s="1002"/>
      <c r="AH59" s="1002"/>
      <c r="AI59" s="1002"/>
      <c r="AJ59" s="1002"/>
      <c r="AK59" s="1002"/>
      <c r="AL59" s="1002"/>
      <c r="AM59" s="1002"/>
      <c r="AN59" s="1002"/>
      <c r="AO59" s="1002"/>
      <c r="AP59" s="1002"/>
      <c r="AQ59" s="1002"/>
      <c r="AR59" s="1002"/>
      <c r="AS59" s="1002"/>
      <c r="AT59" s="1002"/>
      <c r="AU59" s="1002"/>
      <c r="AV59" s="1002"/>
      <c r="AW59" s="1002"/>
      <c r="AX59" s="1002"/>
      <c r="AY59" s="1002"/>
      <c r="AZ59" s="1002"/>
      <c r="BA59" s="1002"/>
      <c r="BB59" s="1002"/>
      <c r="BC59" s="1002"/>
      <c r="BD59" s="1002"/>
      <c r="BE59" s="1002"/>
      <c r="BF59" s="1002"/>
      <c r="BG59" s="1002"/>
      <c r="BH59" s="1002"/>
      <c r="BI59" s="1002"/>
      <c r="BJ59" s="1002"/>
      <c r="BK59" s="1002"/>
    </row>
    <row r="60" spans="1:63" s="2160" customFormat="1" x14ac:dyDescent="0.25">
      <c r="A60" s="1131" t="s">
        <v>650</v>
      </c>
      <c r="B60" s="1131"/>
      <c r="C60" s="1131"/>
      <c r="D60" s="1131"/>
      <c r="E60" s="1131"/>
      <c r="F60" s="1131"/>
      <c r="G60" s="1007">
        <v>3162297</v>
      </c>
      <c r="H60" s="1007">
        <v>7857811</v>
      </c>
      <c r="I60" s="1007">
        <v>5583426</v>
      </c>
      <c r="J60" s="1007">
        <v>8137795</v>
      </c>
      <c r="K60" s="1007">
        <v>6220312</v>
      </c>
      <c r="L60" s="1007">
        <v>12735542</v>
      </c>
      <c r="M60" s="1007">
        <v>2317877</v>
      </c>
      <c r="N60" s="1007">
        <v>3895301</v>
      </c>
      <c r="O60" s="1007">
        <v>1287622</v>
      </c>
      <c r="P60" s="1007">
        <v>3574010</v>
      </c>
      <c r="Q60" s="1007">
        <v>982382</v>
      </c>
      <c r="R60" s="1007">
        <v>-711380</v>
      </c>
      <c r="S60" s="1007">
        <v>1942404</v>
      </c>
      <c r="T60" s="1007">
        <v>2191189</v>
      </c>
      <c r="U60" s="1007">
        <v>2176331</v>
      </c>
      <c r="V60" s="1007">
        <v>742036</v>
      </c>
      <c r="W60" s="1007">
        <v>454276</v>
      </c>
      <c r="X60" s="1007">
        <v>568474</v>
      </c>
      <c r="Y60" s="1007">
        <v>3868801.9487127056</v>
      </c>
      <c r="Z60" s="1007">
        <v>8767711.4587127045</v>
      </c>
      <c r="AA60" s="1007">
        <v>3764473.978712705</v>
      </c>
      <c r="AB60" s="1007">
        <v>6759111.6287127044</v>
      </c>
      <c r="AC60" s="1007">
        <v>5923585.6287127044</v>
      </c>
      <c r="AD60" s="1007">
        <v>4315986.6287127044</v>
      </c>
      <c r="AE60" s="1007">
        <v>5948435.6587127037</v>
      </c>
      <c r="AF60" s="1007">
        <v>3792835.6587127037</v>
      </c>
      <c r="AG60" s="1007">
        <v>2452277</v>
      </c>
      <c r="AH60" s="1007">
        <v>2452277</v>
      </c>
      <c r="AI60" s="1007">
        <v>2452277</v>
      </c>
      <c r="AJ60" s="1007">
        <v>2452277</v>
      </c>
      <c r="AK60" s="1007">
        <v>2452277</v>
      </c>
      <c r="AL60" s="1007">
        <v>2452277</v>
      </c>
      <c r="AM60" s="1007">
        <v>2452277</v>
      </c>
      <c r="AN60" s="1007">
        <v>2452277</v>
      </c>
      <c r="AO60" s="1007">
        <v>2452277</v>
      </c>
      <c r="AP60" s="1007">
        <v>2452277</v>
      </c>
      <c r="AQ60" s="1007">
        <v>2452277</v>
      </c>
      <c r="AR60" s="1007">
        <v>2452277</v>
      </c>
      <c r="AS60" s="1007">
        <v>2452277</v>
      </c>
      <c r="AT60" s="1007">
        <v>2452277</v>
      </c>
      <c r="AU60" s="1007">
        <v>2452277</v>
      </c>
      <c r="AV60" s="1007">
        <v>2452277</v>
      </c>
      <c r="AW60" s="1007">
        <v>2452277</v>
      </c>
      <c r="AX60" s="1007">
        <v>2452277</v>
      </c>
      <c r="AY60" s="1007">
        <v>2452277</v>
      </c>
      <c r="AZ60" s="1007">
        <v>2452277</v>
      </c>
      <c r="BA60" s="1007">
        <v>2452277</v>
      </c>
      <c r="BB60" s="1007">
        <v>2452277</v>
      </c>
      <c r="BC60" s="1007">
        <v>2452277</v>
      </c>
      <c r="BD60" s="1007">
        <v>2452277</v>
      </c>
      <c r="BE60" s="1007">
        <v>2452277</v>
      </c>
      <c r="BF60" s="1007">
        <v>2452277</v>
      </c>
      <c r="BG60" s="1007">
        <v>2452277</v>
      </c>
      <c r="BH60" s="1007"/>
      <c r="BI60" s="1041"/>
      <c r="BJ60" s="1007"/>
      <c r="BK60" s="1041"/>
    </row>
    <row r="61" spans="1:63" x14ac:dyDescent="0.25">
      <c r="A61" s="752"/>
      <c r="B61" s="752"/>
      <c r="C61" s="752"/>
      <c r="D61" s="752"/>
      <c r="E61" s="752"/>
      <c r="F61" s="752"/>
      <c r="G61" s="1131"/>
      <c r="H61" s="1131"/>
      <c r="I61" s="1131"/>
      <c r="J61" s="1131"/>
      <c r="K61" s="1131"/>
      <c r="L61" s="1131"/>
      <c r="M61" s="1131"/>
      <c r="N61" s="1131"/>
      <c r="O61" s="1131"/>
      <c r="P61" s="752"/>
      <c r="Q61" s="752"/>
      <c r="R61" s="752"/>
      <c r="S61" s="752"/>
      <c r="T61" s="752"/>
      <c r="U61" s="752"/>
      <c r="V61" s="752"/>
      <c r="W61" s="752"/>
      <c r="X61" s="752"/>
      <c r="Y61" s="752"/>
      <c r="Z61" s="752"/>
      <c r="AA61" s="752"/>
      <c r="AB61" s="752"/>
      <c r="AC61" s="752"/>
      <c r="AD61" s="752"/>
      <c r="AE61" s="752"/>
      <c r="AF61" s="752"/>
      <c r="AG61" s="752"/>
      <c r="AH61" s="752"/>
      <c r="AI61" s="752"/>
      <c r="AJ61" s="752"/>
      <c r="AK61" s="752"/>
      <c r="AL61" s="752"/>
      <c r="AM61" s="752"/>
      <c r="AN61" s="752"/>
      <c r="AO61" s="752"/>
      <c r="AP61" s="752"/>
      <c r="AQ61" s="752"/>
      <c r="AR61" s="752"/>
      <c r="AS61" s="752"/>
      <c r="AT61" s="752"/>
      <c r="AU61" s="752"/>
      <c r="AV61" s="752"/>
      <c r="AW61" s="752"/>
      <c r="AX61" s="752"/>
      <c r="AY61" s="752"/>
      <c r="AZ61" s="752"/>
      <c r="BA61" s="752"/>
      <c r="BB61" s="752"/>
      <c r="BC61" s="752"/>
      <c r="BD61" s="752"/>
      <c r="BE61" s="752"/>
      <c r="BF61" s="752"/>
      <c r="BG61" s="752"/>
      <c r="BH61" s="1002"/>
      <c r="BI61" s="998"/>
      <c r="BJ61" s="1002"/>
      <c r="BK61" s="998"/>
    </row>
  </sheetData>
  <mergeCells count="14">
    <mergeCell ref="B56:C56"/>
    <mergeCell ref="B58:C58"/>
    <mergeCell ref="A24:A51"/>
    <mergeCell ref="B26:C26"/>
    <mergeCell ref="B51:C51"/>
    <mergeCell ref="A52:A55"/>
    <mergeCell ref="B55:C55"/>
    <mergeCell ref="A3:C4"/>
    <mergeCell ref="A5:C5"/>
    <mergeCell ref="B11:C11"/>
    <mergeCell ref="A6:A23"/>
    <mergeCell ref="B12:C12"/>
    <mergeCell ref="B19:C19"/>
    <mergeCell ref="B23:C23"/>
  </mergeCells>
  <pageMargins left="0.51181102362204722" right="0.51181102362204722" top="0.19685039370078741" bottom="0.19685039370078741" header="0.31496062992125984" footer="0.31496062992125984"/>
  <pageSetup paperSize="9" scale="16" orientation="landscape" horizontalDpi="4294967293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8"/>
  <sheetViews>
    <sheetView topLeftCell="A16" workbookViewId="0">
      <selection activeCell="F54" sqref="F54"/>
    </sheetView>
  </sheetViews>
  <sheetFormatPr defaultColWidth="13" defaultRowHeight="12.75" x14ac:dyDescent="0.2"/>
  <cols>
    <col min="1" max="1" width="5.5703125" style="227" customWidth="1"/>
    <col min="2" max="2" width="13" style="227"/>
    <col min="3" max="3" width="52.7109375" style="227" customWidth="1"/>
    <col min="4" max="4" width="13" style="443"/>
    <col min="5" max="5" width="15.5703125" style="443" customWidth="1"/>
    <col min="6" max="6" width="14.42578125" style="443" customWidth="1"/>
    <col min="7" max="7" width="15.5703125" style="443" customWidth="1"/>
    <col min="8" max="8" width="2.28515625" style="443" customWidth="1"/>
    <col min="9" max="9" width="13" style="443"/>
    <col min="10" max="10" width="13" style="443" customWidth="1"/>
    <col min="11" max="11" width="16.85546875" style="443" customWidth="1"/>
    <col min="12" max="12" width="13" style="443"/>
    <col min="13" max="13" width="15.140625" style="443" customWidth="1"/>
    <col min="14" max="14" width="17.140625" style="443" customWidth="1"/>
    <col min="15" max="15" width="12.28515625" style="443" customWidth="1"/>
    <col min="16" max="16" width="12.140625" style="443" customWidth="1"/>
    <col min="17" max="17" width="15.7109375" style="443" customWidth="1"/>
    <col min="18" max="18" width="12.28515625" style="443" customWidth="1"/>
    <col min="19" max="19" width="13.7109375" style="443" customWidth="1"/>
    <col min="20" max="20" width="18.140625" style="443" customWidth="1"/>
    <col min="21" max="21" width="13" style="443"/>
    <col min="22" max="22" width="13" style="443" customWidth="1"/>
    <col min="23" max="23" width="17.140625" style="443" customWidth="1"/>
    <col min="24" max="24" width="8.140625" style="443" customWidth="1"/>
    <col min="25" max="25" width="8.5703125" style="443" customWidth="1"/>
    <col min="26" max="26" width="15" style="443" customWidth="1"/>
    <col min="27" max="27" width="10.140625" style="443" customWidth="1"/>
    <col min="28" max="28" width="9.42578125" style="443" customWidth="1"/>
    <col min="29" max="29" width="16.5703125" style="443" customWidth="1"/>
    <col min="30" max="30" width="12.5703125" style="443" customWidth="1"/>
    <col min="31" max="31" width="13" style="443" customWidth="1"/>
    <col min="32" max="32" width="17.5703125" style="443" customWidth="1"/>
    <col min="33" max="33" width="13" style="443"/>
    <col min="34" max="34" width="13" style="443" customWidth="1"/>
    <col min="35" max="35" width="18.5703125" style="443" customWidth="1"/>
    <col min="36" max="36" width="13" style="443"/>
    <col min="37" max="37" width="12.5703125" style="443" customWidth="1"/>
    <col min="38" max="38" width="15" style="443" customWidth="1"/>
    <col min="39" max="39" width="12.7109375" style="443" customWidth="1"/>
    <col min="40" max="40" width="13" style="443" customWidth="1"/>
    <col min="41" max="41" width="15" style="443" customWidth="1"/>
    <col min="42" max="42" width="12.7109375" style="443" customWidth="1"/>
    <col min="43" max="43" width="13" style="443" customWidth="1"/>
    <col min="44" max="44" width="16.7109375" style="443" customWidth="1"/>
    <col min="45" max="45" width="13" style="443" customWidth="1"/>
    <col min="46" max="46" width="12.85546875" style="443" customWidth="1"/>
    <col min="47" max="47" width="15" style="443" customWidth="1"/>
    <col min="48" max="16384" width="13" style="227"/>
  </cols>
  <sheetData>
    <row r="1" spans="1:47" ht="52.5" thickTop="1" thickBot="1" x14ac:dyDescent="0.25">
      <c r="A1" s="192" t="s">
        <v>1321</v>
      </c>
      <c r="B1" s="193" t="s">
        <v>1322</v>
      </c>
      <c r="C1" s="194" t="s">
        <v>1323</v>
      </c>
      <c r="D1" s="195" t="s">
        <v>1324</v>
      </c>
      <c r="E1" s="195" t="s">
        <v>1325</v>
      </c>
      <c r="F1" s="196" t="s">
        <v>1326</v>
      </c>
      <c r="G1" s="197" t="s">
        <v>1327</v>
      </c>
      <c r="H1" s="229"/>
      <c r="I1" s="198" t="s">
        <v>1328</v>
      </c>
      <c r="J1" s="198" t="s">
        <v>1329</v>
      </c>
      <c r="K1" s="199" t="s">
        <v>1330</v>
      </c>
      <c r="L1" s="200" t="s">
        <v>1331</v>
      </c>
      <c r="M1" s="201" t="s">
        <v>1332</v>
      </c>
      <c r="N1" s="202" t="s">
        <v>1333</v>
      </c>
      <c r="O1" s="203" t="s">
        <v>1334</v>
      </c>
      <c r="P1" s="204" t="s">
        <v>1335</v>
      </c>
      <c r="Q1" s="205" t="s">
        <v>1336</v>
      </c>
      <c r="R1" s="206" t="s">
        <v>1337</v>
      </c>
      <c r="S1" s="207" t="s">
        <v>1338</v>
      </c>
      <c r="T1" s="208" t="s">
        <v>1339</v>
      </c>
      <c r="U1" s="209" t="s">
        <v>1340</v>
      </c>
      <c r="V1" s="210" t="s">
        <v>1341</v>
      </c>
      <c r="W1" s="211" t="s">
        <v>1342</v>
      </c>
      <c r="X1" s="212"/>
      <c r="Y1" s="213"/>
      <c r="Z1" s="214" t="s">
        <v>1343</v>
      </c>
      <c r="AA1" s="215"/>
      <c r="AB1" s="216"/>
      <c r="AC1" s="217" t="s">
        <v>1344</v>
      </c>
      <c r="AD1" s="218" t="s">
        <v>1345</v>
      </c>
      <c r="AE1" s="219" t="s">
        <v>1346</v>
      </c>
      <c r="AF1" s="220" t="s">
        <v>1347</v>
      </c>
      <c r="AG1" s="230" t="s">
        <v>1348</v>
      </c>
      <c r="AH1" s="231" t="s">
        <v>1349</v>
      </c>
      <c r="AI1" s="232" t="s">
        <v>1350</v>
      </c>
      <c r="AJ1" s="221" t="s">
        <v>1351</v>
      </c>
      <c r="AK1" s="221" t="s">
        <v>1352</v>
      </c>
      <c r="AL1" s="222" t="s">
        <v>1353</v>
      </c>
      <c r="AM1" s="223" t="s">
        <v>1354</v>
      </c>
      <c r="AN1" s="223" t="s">
        <v>1355</v>
      </c>
      <c r="AO1" s="224" t="s">
        <v>1356</v>
      </c>
      <c r="AP1" s="233" t="s">
        <v>1357</v>
      </c>
      <c r="AQ1" s="234" t="s">
        <v>1358</v>
      </c>
      <c r="AR1" s="235" t="s">
        <v>1359</v>
      </c>
      <c r="AS1" s="225" t="s">
        <v>1360</v>
      </c>
      <c r="AT1" s="225" t="s">
        <v>1361</v>
      </c>
      <c r="AU1" s="226" t="s">
        <v>1362</v>
      </c>
    </row>
    <row r="2" spans="1:47" x14ac:dyDescent="0.2">
      <c r="A2" s="236">
        <v>1</v>
      </c>
      <c r="B2" s="237" t="s">
        <v>1363</v>
      </c>
      <c r="C2" s="238" t="s">
        <v>1579</v>
      </c>
      <c r="D2" s="239">
        <f>SUM(I2,L2,AG2)</f>
        <v>24295000</v>
      </c>
      <c r="E2" s="240">
        <f>SUM(J2,M2,AH2)</f>
        <v>12147480</v>
      </c>
      <c r="F2" s="241">
        <f>E2/D2</f>
        <v>0.49999917678534678</v>
      </c>
      <c r="G2" s="242">
        <f>SUM(K2,N2,AI2)</f>
        <v>33627833.419999994</v>
      </c>
      <c r="H2" s="243"/>
      <c r="I2" s="244">
        <v>3667039</v>
      </c>
      <c r="J2" s="240">
        <v>1833516</v>
      </c>
      <c r="K2" s="244">
        <v>4259927.08</v>
      </c>
      <c r="L2" s="245">
        <f>SUM(O2,R2,U2,X2,AA2,AD2)</f>
        <v>20627961</v>
      </c>
      <c r="M2" s="246">
        <f>SUM(P2,S2,V2,Y2,AB2,AE2)</f>
        <v>10313964</v>
      </c>
      <c r="N2" s="247">
        <f>SUM(Q2,T2,W2,Z2,AC2,AF2)</f>
        <v>29367906.339999996</v>
      </c>
      <c r="O2" s="248">
        <v>1450000</v>
      </c>
      <c r="P2" s="249">
        <v>724998</v>
      </c>
      <c r="Q2" s="250">
        <v>2655481.36</v>
      </c>
      <c r="R2" s="251">
        <v>7200000</v>
      </c>
      <c r="S2" s="249">
        <v>3600000</v>
      </c>
      <c r="T2" s="250">
        <f>SUM(T3:T4)</f>
        <v>4950000</v>
      </c>
      <c r="U2" s="252">
        <v>570000</v>
      </c>
      <c r="V2" s="253">
        <v>285000</v>
      </c>
      <c r="W2" s="250">
        <v>80264.7</v>
      </c>
      <c r="X2" s="254"/>
      <c r="Y2" s="255"/>
      <c r="Z2" s="250">
        <v>2368118</v>
      </c>
      <c r="AA2" s="254"/>
      <c r="AB2" s="255"/>
      <c r="AC2" s="250">
        <v>2866736</v>
      </c>
      <c r="AD2" s="244">
        <v>11407961</v>
      </c>
      <c r="AE2" s="253">
        <v>5703966</v>
      </c>
      <c r="AF2" s="256">
        <v>16447306.279999999</v>
      </c>
      <c r="AG2" s="244">
        <f>SUM(AJ2,AM2,AP2,AS2)</f>
        <v>0</v>
      </c>
      <c r="AH2" s="240">
        <f t="shared" ref="AH2:AI33" si="0">SUM(AK2,AN2,AQ2,AT2)</f>
        <v>0</v>
      </c>
      <c r="AI2" s="256">
        <f t="shared" si="0"/>
        <v>0</v>
      </c>
      <c r="AJ2" s="248"/>
      <c r="AK2" s="257"/>
      <c r="AL2" s="250"/>
      <c r="AM2" s="248"/>
      <c r="AN2" s="257"/>
      <c r="AO2" s="258"/>
      <c r="AP2" s="259"/>
      <c r="AQ2" s="257"/>
      <c r="AR2" s="260"/>
      <c r="AS2" s="248"/>
      <c r="AT2" s="257"/>
      <c r="AU2" s="256"/>
    </row>
    <row r="3" spans="1:47" x14ac:dyDescent="0.2">
      <c r="A3" s="236"/>
      <c r="B3" s="261" t="s">
        <v>1363</v>
      </c>
      <c r="C3" s="238" t="s">
        <v>685</v>
      </c>
      <c r="D3" s="239">
        <v>14900000</v>
      </c>
      <c r="E3" s="240"/>
      <c r="F3" s="241"/>
      <c r="G3" s="242">
        <f>SUM(K3,N3,AI3)</f>
        <v>0</v>
      </c>
      <c r="H3" s="243"/>
      <c r="I3" s="244"/>
      <c r="J3" s="240"/>
      <c r="K3" s="262"/>
      <c r="L3" s="245"/>
      <c r="M3" s="246"/>
      <c r="N3" s="247">
        <f>SUM(Q3,T3,W3,Z3,AC3,AF3)</f>
        <v>0</v>
      </c>
      <c r="O3" s="248"/>
      <c r="P3" s="249"/>
      <c r="Q3" s="250"/>
      <c r="R3" s="251"/>
      <c r="S3" s="249"/>
      <c r="T3" s="250"/>
      <c r="U3" s="252"/>
      <c r="V3" s="253"/>
      <c r="W3" s="250"/>
      <c r="X3" s="254"/>
      <c r="Y3" s="255"/>
      <c r="Z3" s="250"/>
      <c r="AA3" s="254"/>
      <c r="AB3" s="255"/>
      <c r="AC3" s="250"/>
      <c r="AD3" s="244"/>
      <c r="AE3" s="253"/>
      <c r="AF3" s="256"/>
      <c r="AG3" s="248"/>
      <c r="AH3" s="240"/>
      <c r="AI3" s="256"/>
      <c r="AJ3" s="248"/>
      <c r="AK3" s="257"/>
      <c r="AL3" s="250"/>
      <c r="AM3" s="248"/>
      <c r="AN3" s="257"/>
      <c r="AO3" s="258"/>
      <c r="AP3" s="259"/>
      <c r="AQ3" s="257"/>
      <c r="AR3" s="260"/>
      <c r="AS3" s="248"/>
      <c r="AT3" s="257"/>
      <c r="AU3" s="256"/>
    </row>
    <row r="4" spans="1:47" x14ac:dyDescent="0.2">
      <c r="A4" s="236"/>
      <c r="B4" s="237"/>
      <c r="C4" s="238" t="s">
        <v>1580</v>
      </c>
      <c r="D4" s="239">
        <v>5370000</v>
      </c>
      <c r="E4" s="240"/>
      <c r="F4" s="241"/>
      <c r="G4" s="242">
        <f t="shared" ref="G4:G50" si="1">SUM(K4,N4,AI4)</f>
        <v>5220000</v>
      </c>
      <c r="H4" s="243"/>
      <c r="I4" s="244"/>
      <c r="J4" s="240"/>
      <c r="K4" s="258"/>
      <c r="L4" s="245"/>
      <c r="M4" s="246"/>
      <c r="N4" s="247">
        <f>SUM(Q4,T4,W4,Z4,AC4,AF4)</f>
        <v>5220000</v>
      </c>
      <c r="O4" s="248"/>
      <c r="P4" s="249"/>
      <c r="Q4" s="250">
        <v>250000</v>
      </c>
      <c r="R4" s="251"/>
      <c r="S4" s="249"/>
      <c r="T4" s="250">
        <v>4950000</v>
      </c>
      <c r="U4" s="252"/>
      <c r="V4" s="253"/>
      <c r="W4" s="250">
        <v>20000</v>
      </c>
      <c r="X4" s="254"/>
      <c r="Y4" s="255"/>
      <c r="Z4" s="250"/>
      <c r="AA4" s="254"/>
      <c r="AB4" s="255"/>
      <c r="AC4" s="250"/>
      <c r="AD4" s="244"/>
      <c r="AE4" s="253"/>
      <c r="AF4" s="256"/>
      <c r="AG4" s="248"/>
      <c r="AH4" s="240"/>
      <c r="AI4" s="256"/>
      <c r="AJ4" s="248"/>
      <c r="AK4" s="257"/>
      <c r="AL4" s="250"/>
      <c r="AM4" s="248"/>
      <c r="AN4" s="257"/>
      <c r="AO4" s="258"/>
      <c r="AP4" s="259"/>
      <c r="AQ4" s="257"/>
      <c r="AR4" s="260"/>
      <c r="AS4" s="248"/>
      <c r="AT4" s="257"/>
      <c r="AU4" s="256"/>
    </row>
    <row r="5" spans="1:47" x14ac:dyDescent="0.2">
      <c r="A5" s="236"/>
      <c r="B5" s="261" t="s">
        <v>1581</v>
      </c>
      <c r="C5" s="238" t="s">
        <v>1582</v>
      </c>
      <c r="D5" s="239">
        <v>80000</v>
      </c>
      <c r="E5" s="240"/>
      <c r="F5" s="241"/>
      <c r="G5" s="242">
        <f t="shared" si="1"/>
        <v>80000</v>
      </c>
      <c r="H5" s="243"/>
      <c r="I5" s="244"/>
      <c r="J5" s="240"/>
      <c r="K5" s="258"/>
      <c r="L5" s="245"/>
      <c r="M5" s="246"/>
      <c r="N5" s="247">
        <f t="shared" ref="N5:N20" si="2">SUM(Q5,T5,W5,Z5,AC5,AF5)</f>
        <v>80000</v>
      </c>
      <c r="O5" s="248"/>
      <c r="P5" s="249"/>
      <c r="Q5" s="250"/>
      <c r="R5" s="251"/>
      <c r="S5" s="249"/>
      <c r="T5" s="250"/>
      <c r="U5" s="252"/>
      <c r="V5" s="253"/>
      <c r="W5" s="250"/>
      <c r="X5" s="254"/>
      <c r="Y5" s="255"/>
      <c r="Z5" s="250"/>
      <c r="AA5" s="254"/>
      <c r="AB5" s="255"/>
      <c r="AC5" s="250"/>
      <c r="AD5" s="244"/>
      <c r="AE5" s="253"/>
      <c r="AF5" s="256">
        <v>80000</v>
      </c>
      <c r="AG5" s="248"/>
      <c r="AH5" s="240"/>
      <c r="AI5" s="256"/>
      <c r="AJ5" s="248"/>
      <c r="AK5" s="257"/>
      <c r="AL5" s="250"/>
      <c r="AM5" s="248"/>
      <c r="AN5" s="257"/>
      <c r="AO5" s="258"/>
      <c r="AP5" s="259"/>
      <c r="AQ5" s="257"/>
      <c r="AR5" s="260"/>
      <c r="AS5" s="248"/>
      <c r="AT5" s="257"/>
      <c r="AU5" s="256"/>
    </row>
    <row r="6" spans="1:47" x14ac:dyDescent="0.2">
      <c r="A6" s="236"/>
      <c r="B6" s="261" t="s">
        <v>201</v>
      </c>
      <c r="C6" s="238" t="s">
        <v>1583</v>
      </c>
      <c r="D6" s="239">
        <v>60000</v>
      </c>
      <c r="E6" s="240"/>
      <c r="F6" s="241"/>
      <c r="G6" s="242">
        <f t="shared" si="1"/>
        <v>0</v>
      </c>
      <c r="H6" s="243"/>
      <c r="I6" s="244"/>
      <c r="J6" s="240"/>
      <c r="K6" s="258"/>
      <c r="L6" s="245"/>
      <c r="M6" s="246"/>
      <c r="N6" s="247">
        <f t="shared" si="2"/>
        <v>0</v>
      </c>
      <c r="O6" s="248"/>
      <c r="P6" s="249"/>
      <c r="Q6" s="250"/>
      <c r="R6" s="251"/>
      <c r="S6" s="249"/>
      <c r="T6" s="250"/>
      <c r="U6" s="252"/>
      <c r="V6" s="253"/>
      <c r="W6" s="250"/>
      <c r="X6" s="254"/>
      <c r="Y6" s="255"/>
      <c r="Z6" s="250"/>
      <c r="AA6" s="254"/>
      <c r="AB6" s="255"/>
      <c r="AC6" s="250"/>
      <c r="AD6" s="244"/>
      <c r="AE6" s="253"/>
      <c r="AF6" s="256"/>
      <c r="AG6" s="248"/>
      <c r="AH6" s="240"/>
      <c r="AI6" s="256"/>
      <c r="AJ6" s="248"/>
      <c r="AK6" s="257"/>
      <c r="AL6" s="250"/>
      <c r="AM6" s="248"/>
      <c r="AN6" s="257"/>
      <c r="AO6" s="258"/>
      <c r="AP6" s="259"/>
      <c r="AQ6" s="257"/>
      <c r="AR6" s="260"/>
      <c r="AS6" s="248"/>
      <c r="AT6" s="257"/>
      <c r="AU6" s="256"/>
    </row>
    <row r="7" spans="1:47" x14ac:dyDescent="0.2">
      <c r="A7" s="236"/>
      <c r="B7" s="261" t="s">
        <v>202</v>
      </c>
      <c r="C7" s="238" t="s">
        <v>1584</v>
      </c>
      <c r="D7" s="239">
        <v>50000</v>
      </c>
      <c r="E7" s="240"/>
      <c r="F7" s="241"/>
      <c r="G7" s="242">
        <f t="shared" si="1"/>
        <v>50000</v>
      </c>
      <c r="H7" s="243"/>
      <c r="I7" s="244"/>
      <c r="J7" s="240"/>
      <c r="K7" s="258"/>
      <c r="L7" s="245"/>
      <c r="M7" s="246"/>
      <c r="N7" s="247">
        <f t="shared" si="2"/>
        <v>50000</v>
      </c>
      <c r="O7" s="248"/>
      <c r="P7" s="249"/>
      <c r="Q7" s="250"/>
      <c r="R7" s="251"/>
      <c r="S7" s="249"/>
      <c r="T7" s="250"/>
      <c r="U7" s="252"/>
      <c r="V7" s="253"/>
      <c r="W7" s="250"/>
      <c r="X7" s="254"/>
      <c r="Y7" s="255"/>
      <c r="Z7" s="250"/>
      <c r="AA7" s="254"/>
      <c r="AB7" s="255"/>
      <c r="AC7" s="250"/>
      <c r="AD7" s="244"/>
      <c r="AE7" s="253"/>
      <c r="AF7" s="256">
        <v>50000</v>
      </c>
      <c r="AG7" s="248"/>
      <c r="AH7" s="240"/>
      <c r="AI7" s="256"/>
      <c r="AJ7" s="248"/>
      <c r="AK7" s="257"/>
      <c r="AL7" s="250"/>
      <c r="AM7" s="248"/>
      <c r="AN7" s="257"/>
      <c r="AO7" s="258"/>
      <c r="AP7" s="259"/>
      <c r="AQ7" s="257"/>
      <c r="AR7" s="260"/>
      <c r="AS7" s="248"/>
      <c r="AT7" s="257"/>
      <c r="AU7" s="256"/>
    </row>
    <row r="8" spans="1:47" x14ac:dyDescent="0.2">
      <c r="A8" s="236"/>
      <c r="B8" s="261" t="s">
        <v>204</v>
      </c>
      <c r="C8" s="238" t="s">
        <v>1585</v>
      </c>
      <c r="D8" s="239">
        <v>250000</v>
      </c>
      <c r="E8" s="240"/>
      <c r="F8" s="241"/>
      <c r="G8" s="242">
        <f t="shared" si="1"/>
        <v>150000</v>
      </c>
      <c r="H8" s="243"/>
      <c r="I8" s="244"/>
      <c r="J8" s="240"/>
      <c r="K8" s="258"/>
      <c r="L8" s="245"/>
      <c r="M8" s="246"/>
      <c r="N8" s="247">
        <f t="shared" si="2"/>
        <v>150000</v>
      </c>
      <c r="O8" s="248"/>
      <c r="P8" s="249"/>
      <c r="Q8" s="250"/>
      <c r="R8" s="251"/>
      <c r="S8" s="249"/>
      <c r="T8" s="250"/>
      <c r="U8" s="252"/>
      <c r="V8" s="253"/>
      <c r="W8" s="250"/>
      <c r="X8" s="254"/>
      <c r="Y8" s="255"/>
      <c r="Z8" s="250"/>
      <c r="AA8" s="254"/>
      <c r="AB8" s="255"/>
      <c r="AC8" s="250"/>
      <c r="AD8" s="244"/>
      <c r="AE8" s="253"/>
      <c r="AF8" s="256">
        <v>150000</v>
      </c>
      <c r="AG8" s="248"/>
      <c r="AH8" s="240"/>
      <c r="AI8" s="256"/>
      <c r="AJ8" s="248"/>
      <c r="AK8" s="257"/>
      <c r="AL8" s="250"/>
      <c r="AM8" s="248"/>
      <c r="AN8" s="257"/>
      <c r="AO8" s="258"/>
      <c r="AP8" s="259"/>
      <c r="AQ8" s="257"/>
      <c r="AR8" s="260"/>
      <c r="AS8" s="248"/>
      <c r="AT8" s="257"/>
      <c r="AU8" s="256"/>
    </row>
    <row r="9" spans="1:47" x14ac:dyDescent="0.2">
      <c r="A9" s="236"/>
      <c r="B9" s="261" t="s">
        <v>71</v>
      </c>
      <c r="C9" s="238" t="s">
        <v>1586</v>
      </c>
      <c r="D9" s="239">
        <v>50000</v>
      </c>
      <c r="E9" s="240"/>
      <c r="F9" s="241"/>
      <c r="G9" s="242">
        <f t="shared" si="1"/>
        <v>0</v>
      </c>
      <c r="H9" s="243"/>
      <c r="I9" s="244"/>
      <c r="J9" s="240"/>
      <c r="K9" s="258"/>
      <c r="L9" s="245"/>
      <c r="M9" s="246"/>
      <c r="N9" s="247">
        <f t="shared" si="2"/>
        <v>0</v>
      </c>
      <c r="O9" s="248"/>
      <c r="P9" s="249"/>
      <c r="Q9" s="250"/>
      <c r="R9" s="251"/>
      <c r="S9" s="249"/>
      <c r="T9" s="250"/>
      <c r="U9" s="252"/>
      <c r="V9" s="253"/>
      <c r="W9" s="250"/>
      <c r="X9" s="254"/>
      <c r="Y9" s="255"/>
      <c r="Z9" s="250"/>
      <c r="AA9" s="254"/>
      <c r="AB9" s="255"/>
      <c r="AC9" s="250"/>
      <c r="AD9" s="244"/>
      <c r="AE9" s="253"/>
      <c r="AF9" s="256"/>
      <c r="AG9" s="248"/>
      <c r="AH9" s="240"/>
      <c r="AI9" s="256"/>
      <c r="AJ9" s="248"/>
      <c r="AK9" s="257"/>
      <c r="AL9" s="250"/>
      <c r="AM9" s="248"/>
      <c r="AN9" s="257"/>
      <c r="AO9" s="258"/>
      <c r="AP9" s="259"/>
      <c r="AQ9" s="257"/>
      <c r="AR9" s="260"/>
      <c r="AS9" s="248"/>
      <c r="AT9" s="257"/>
      <c r="AU9" s="256"/>
    </row>
    <row r="10" spans="1:47" x14ac:dyDescent="0.2">
      <c r="A10" s="236"/>
      <c r="B10" s="261" t="s">
        <v>1587</v>
      </c>
      <c r="C10" s="238" t="s">
        <v>1588</v>
      </c>
      <c r="D10" s="239">
        <v>20000</v>
      </c>
      <c r="E10" s="240"/>
      <c r="F10" s="241"/>
      <c r="G10" s="242">
        <f>SUM(K10,N10,AI10)</f>
        <v>20000</v>
      </c>
      <c r="H10" s="243"/>
      <c r="I10" s="244"/>
      <c r="J10" s="240"/>
      <c r="K10" s="258"/>
      <c r="L10" s="245"/>
      <c r="M10" s="246"/>
      <c r="N10" s="247">
        <f>SUM(Q10,T10,W10,Z10,AC10,AF10)</f>
        <v>20000</v>
      </c>
      <c r="O10" s="248"/>
      <c r="P10" s="249"/>
      <c r="Q10" s="250"/>
      <c r="R10" s="251"/>
      <c r="S10" s="249"/>
      <c r="T10" s="250"/>
      <c r="U10" s="252"/>
      <c r="V10" s="253"/>
      <c r="W10" s="250"/>
      <c r="X10" s="254"/>
      <c r="Y10" s="255"/>
      <c r="Z10" s="250"/>
      <c r="AA10" s="254"/>
      <c r="AB10" s="255"/>
      <c r="AC10" s="250"/>
      <c r="AD10" s="244"/>
      <c r="AE10" s="253"/>
      <c r="AF10" s="256">
        <v>20000</v>
      </c>
      <c r="AG10" s="248"/>
      <c r="AH10" s="240"/>
      <c r="AI10" s="256"/>
      <c r="AJ10" s="248"/>
      <c r="AK10" s="257"/>
      <c r="AL10" s="250"/>
      <c r="AM10" s="248"/>
      <c r="AN10" s="257"/>
      <c r="AO10" s="258"/>
      <c r="AP10" s="259"/>
      <c r="AQ10" s="257"/>
      <c r="AR10" s="260"/>
      <c r="AS10" s="248"/>
      <c r="AT10" s="257"/>
      <c r="AU10" s="256"/>
    </row>
    <row r="11" spans="1:47" x14ac:dyDescent="0.2">
      <c r="A11" s="236"/>
      <c r="B11" s="261" t="s">
        <v>1589</v>
      </c>
      <c r="C11" s="238" t="s">
        <v>1590</v>
      </c>
      <c r="D11" s="239">
        <v>20000</v>
      </c>
      <c r="E11" s="240"/>
      <c r="F11" s="241"/>
      <c r="G11" s="242">
        <f>SUM(K11,N11,AI11)</f>
        <v>0</v>
      </c>
      <c r="H11" s="243"/>
      <c r="I11" s="244"/>
      <c r="J11" s="240"/>
      <c r="K11" s="258"/>
      <c r="L11" s="245"/>
      <c r="M11" s="246"/>
      <c r="N11" s="247">
        <f>SUM(Q11,T11,W11,Z11,AC11,AF11)</f>
        <v>0</v>
      </c>
      <c r="O11" s="248"/>
      <c r="P11" s="249"/>
      <c r="Q11" s="250"/>
      <c r="R11" s="251"/>
      <c r="S11" s="249"/>
      <c r="T11" s="250"/>
      <c r="U11" s="252"/>
      <c r="V11" s="253"/>
      <c r="W11" s="250"/>
      <c r="X11" s="254"/>
      <c r="Y11" s="255"/>
      <c r="Z11" s="250"/>
      <c r="AA11" s="254"/>
      <c r="AB11" s="255"/>
      <c r="AC11" s="250"/>
      <c r="AD11" s="244"/>
      <c r="AE11" s="253"/>
      <c r="AF11" s="256"/>
      <c r="AG11" s="248"/>
      <c r="AH11" s="240"/>
      <c r="AI11" s="256"/>
      <c r="AJ11" s="248"/>
      <c r="AK11" s="257"/>
      <c r="AL11" s="250"/>
      <c r="AM11" s="248"/>
      <c r="AN11" s="257"/>
      <c r="AO11" s="258"/>
      <c r="AP11" s="259"/>
      <c r="AQ11" s="257"/>
      <c r="AR11" s="260"/>
      <c r="AS11" s="248"/>
      <c r="AT11" s="257"/>
      <c r="AU11" s="256"/>
    </row>
    <row r="12" spans="1:47" x14ac:dyDescent="0.2">
      <c r="A12" s="236"/>
      <c r="B12" s="261" t="s">
        <v>1591</v>
      </c>
      <c r="C12" s="238" t="s">
        <v>1592</v>
      </c>
      <c r="D12" s="239">
        <v>20000</v>
      </c>
      <c r="E12" s="240"/>
      <c r="F12" s="241"/>
      <c r="G12" s="242">
        <v>0</v>
      </c>
      <c r="H12" s="243"/>
      <c r="I12" s="244"/>
      <c r="J12" s="240"/>
      <c r="K12" s="258"/>
      <c r="L12" s="245"/>
      <c r="M12" s="246"/>
      <c r="N12" s="247"/>
      <c r="O12" s="248"/>
      <c r="P12" s="249"/>
      <c r="Q12" s="250"/>
      <c r="R12" s="251"/>
      <c r="S12" s="249"/>
      <c r="T12" s="250"/>
      <c r="U12" s="252"/>
      <c r="V12" s="253"/>
      <c r="W12" s="250"/>
      <c r="X12" s="254"/>
      <c r="Y12" s="255"/>
      <c r="Z12" s="250"/>
      <c r="AA12" s="254"/>
      <c r="AB12" s="255"/>
      <c r="AC12" s="250"/>
      <c r="AD12" s="244"/>
      <c r="AE12" s="253"/>
      <c r="AF12" s="256"/>
      <c r="AG12" s="248"/>
      <c r="AH12" s="240"/>
      <c r="AI12" s="256"/>
      <c r="AJ12" s="248"/>
      <c r="AK12" s="257"/>
      <c r="AL12" s="250"/>
      <c r="AM12" s="248"/>
      <c r="AN12" s="257"/>
      <c r="AO12" s="258"/>
      <c r="AP12" s="259"/>
      <c r="AQ12" s="257"/>
      <c r="AR12" s="260"/>
      <c r="AS12" s="248"/>
      <c r="AT12" s="257"/>
      <c r="AU12" s="256"/>
    </row>
    <row r="13" spans="1:47" x14ac:dyDescent="0.2">
      <c r="A13" s="236"/>
      <c r="B13" s="261" t="s">
        <v>205</v>
      </c>
      <c r="C13" s="238" t="s">
        <v>1593</v>
      </c>
      <c r="D13" s="239">
        <v>20000</v>
      </c>
      <c r="E13" s="240"/>
      <c r="F13" s="241"/>
      <c r="G13" s="242">
        <f t="shared" si="1"/>
        <v>20000</v>
      </c>
      <c r="H13" s="243"/>
      <c r="I13" s="244"/>
      <c r="J13" s="240"/>
      <c r="K13" s="258"/>
      <c r="L13" s="245"/>
      <c r="M13" s="246"/>
      <c r="N13" s="247">
        <f>SUM(Q13,T13,W13,Z13,AC13,AF13)</f>
        <v>20000</v>
      </c>
      <c r="O13" s="248"/>
      <c r="P13" s="249"/>
      <c r="Q13" s="250"/>
      <c r="R13" s="251"/>
      <c r="S13" s="249"/>
      <c r="T13" s="250"/>
      <c r="U13" s="252"/>
      <c r="V13" s="253"/>
      <c r="W13" s="250"/>
      <c r="X13" s="254"/>
      <c r="Y13" s="255"/>
      <c r="Z13" s="250"/>
      <c r="AA13" s="254"/>
      <c r="AB13" s="255"/>
      <c r="AC13" s="250"/>
      <c r="AD13" s="244"/>
      <c r="AE13" s="253"/>
      <c r="AF13" s="256">
        <v>20000</v>
      </c>
      <c r="AG13" s="248"/>
      <c r="AH13" s="240"/>
      <c r="AI13" s="256"/>
      <c r="AJ13" s="248"/>
      <c r="AK13" s="257"/>
      <c r="AL13" s="250"/>
      <c r="AM13" s="248"/>
      <c r="AN13" s="257"/>
      <c r="AO13" s="258"/>
      <c r="AP13" s="259"/>
      <c r="AQ13" s="257"/>
      <c r="AR13" s="260"/>
      <c r="AS13" s="248"/>
      <c r="AT13" s="257"/>
      <c r="AU13" s="256"/>
    </row>
    <row r="14" spans="1:47" x14ac:dyDescent="0.2">
      <c r="A14" s="236"/>
      <c r="B14" s="261" t="s">
        <v>206</v>
      </c>
      <c r="C14" s="238" t="s">
        <v>1594</v>
      </c>
      <c r="D14" s="239">
        <v>20000</v>
      </c>
      <c r="E14" s="240"/>
      <c r="F14" s="241"/>
      <c r="G14" s="242">
        <f t="shared" si="1"/>
        <v>20000</v>
      </c>
      <c r="H14" s="243"/>
      <c r="I14" s="244"/>
      <c r="J14" s="240"/>
      <c r="K14" s="258"/>
      <c r="L14" s="245"/>
      <c r="M14" s="246"/>
      <c r="N14" s="247">
        <f t="shared" si="2"/>
        <v>20000</v>
      </c>
      <c r="O14" s="248"/>
      <c r="P14" s="249"/>
      <c r="Q14" s="250"/>
      <c r="R14" s="251"/>
      <c r="S14" s="249"/>
      <c r="T14" s="250"/>
      <c r="U14" s="252"/>
      <c r="V14" s="253"/>
      <c r="W14" s="250"/>
      <c r="X14" s="254"/>
      <c r="Y14" s="255"/>
      <c r="Z14" s="250"/>
      <c r="AA14" s="254"/>
      <c r="AB14" s="255"/>
      <c r="AC14" s="250"/>
      <c r="AD14" s="244"/>
      <c r="AE14" s="253"/>
      <c r="AF14" s="256">
        <v>20000</v>
      </c>
      <c r="AG14" s="248"/>
      <c r="AH14" s="240"/>
      <c r="AI14" s="256"/>
      <c r="AJ14" s="248"/>
      <c r="AK14" s="257"/>
      <c r="AL14" s="250"/>
      <c r="AM14" s="248"/>
      <c r="AN14" s="257"/>
      <c r="AO14" s="258"/>
      <c r="AP14" s="259"/>
      <c r="AQ14" s="257"/>
      <c r="AR14" s="260"/>
      <c r="AS14" s="248"/>
      <c r="AT14" s="257"/>
      <c r="AU14" s="256"/>
    </row>
    <row r="15" spans="1:47" x14ac:dyDescent="0.2">
      <c r="A15" s="236"/>
      <c r="B15" s="261" t="s">
        <v>551</v>
      </c>
      <c r="C15" s="238" t="s">
        <v>1595</v>
      </c>
      <c r="D15" s="239">
        <v>20000</v>
      </c>
      <c r="E15" s="240"/>
      <c r="F15" s="241"/>
      <c r="G15" s="242">
        <f t="shared" si="1"/>
        <v>20000</v>
      </c>
      <c r="H15" s="243"/>
      <c r="I15" s="244"/>
      <c r="J15" s="240"/>
      <c r="K15" s="258"/>
      <c r="L15" s="245"/>
      <c r="M15" s="246"/>
      <c r="N15" s="247">
        <f t="shared" si="2"/>
        <v>20000</v>
      </c>
      <c r="O15" s="248"/>
      <c r="P15" s="249"/>
      <c r="Q15" s="250"/>
      <c r="R15" s="251"/>
      <c r="S15" s="249"/>
      <c r="T15" s="250"/>
      <c r="U15" s="252"/>
      <c r="V15" s="253"/>
      <c r="W15" s="250"/>
      <c r="X15" s="254"/>
      <c r="Y15" s="255"/>
      <c r="Z15" s="250"/>
      <c r="AA15" s="254"/>
      <c r="AB15" s="255"/>
      <c r="AC15" s="250"/>
      <c r="AD15" s="244"/>
      <c r="AE15" s="253"/>
      <c r="AF15" s="256">
        <v>20000</v>
      </c>
      <c r="AG15" s="248"/>
      <c r="AH15" s="240"/>
      <c r="AI15" s="256"/>
      <c r="AJ15" s="248"/>
      <c r="AK15" s="257"/>
      <c r="AL15" s="250"/>
      <c r="AM15" s="248"/>
      <c r="AN15" s="257"/>
      <c r="AO15" s="258"/>
      <c r="AP15" s="259"/>
      <c r="AQ15" s="257"/>
      <c r="AR15" s="260"/>
      <c r="AS15" s="248"/>
      <c r="AT15" s="257"/>
      <c r="AU15" s="256"/>
    </row>
    <row r="16" spans="1:47" x14ac:dyDescent="0.2">
      <c r="A16" s="236"/>
      <c r="B16" s="261" t="s">
        <v>209</v>
      </c>
      <c r="C16" s="238" t="s">
        <v>1596</v>
      </c>
      <c r="D16" s="239">
        <v>750000</v>
      </c>
      <c r="E16" s="240"/>
      <c r="F16" s="241"/>
      <c r="G16" s="242">
        <f t="shared" si="1"/>
        <v>100000</v>
      </c>
      <c r="H16" s="243"/>
      <c r="I16" s="244"/>
      <c r="J16" s="240"/>
      <c r="K16" s="258"/>
      <c r="L16" s="245"/>
      <c r="M16" s="246"/>
      <c r="N16" s="247">
        <f t="shared" si="2"/>
        <v>100000</v>
      </c>
      <c r="O16" s="248"/>
      <c r="P16" s="249"/>
      <c r="Q16" s="250"/>
      <c r="R16" s="251"/>
      <c r="S16" s="249"/>
      <c r="T16" s="250"/>
      <c r="U16" s="252"/>
      <c r="V16" s="253"/>
      <c r="W16" s="250"/>
      <c r="X16" s="254"/>
      <c r="Y16" s="255"/>
      <c r="Z16" s="250"/>
      <c r="AA16" s="254"/>
      <c r="AB16" s="255"/>
      <c r="AC16" s="250"/>
      <c r="AD16" s="244"/>
      <c r="AE16" s="253"/>
      <c r="AF16" s="256">
        <v>100000</v>
      </c>
      <c r="AG16" s="248"/>
      <c r="AH16" s="240"/>
      <c r="AI16" s="256"/>
      <c r="AJ16" s="248"/>
      <c r="AK16" s="257"/>
      <c r="AL16" s="250"/>
      <c r="AM16" s="248"/>
      <c r="AN16" s="257"/>
      <c r="AO16" s="258"/>
      <c r="AP16" s="259"/>
      <c r="AQ16" s="257"/>
      <c r="AR16" s="260"/>
      <c r="AS16" s="248"/>
      <c r="AT16" s="257"/>
      <c r="AU16" s="256"/>
    </row>
    <row r="17" spans="1:47" x14ac:dyDescent="0.2">
      <c r="A17" s="236"/>
      <c r="B17" s="261" t="s">
        <v>214</v>
      </c>
      <c r="C17" s="238" t="s">
        <v>1597</v>
      </c>
      <c r="D17" s="239">
        <v>750000</v>
      </c>
      <c r="E17" s="240"/>
      <c r="F17" s="241"/>
      <c r="G17" s="242">
        <f t="shared" si="1"/>
        <v>750000</v>
      </c>
      <c r="H17" s="243"/>
      <c r="I17" s="244"/>
      <c r="J17" s="240"/>
      <c r="K17" s="258"/>
      <c r="L17" s="245"/>
      <c r="M17" s="246"/>
      <c r="N17" s="247">
        <f t="shared" si="2"/>
        <v>750000</v>
      </c>
      <c r="O17" s="248"/>
      <c r="P17" s="249"/>
      <c r="Q17" s="250"/>
      <c r="R17" s="251"/>
      <c r="S17" s="249"/>
      <c r="T17" s="250"/>
      <c r="U17" s="252"/>
      <c r="V17" s="253"/>
      <c r="W17" s="250"/>
      <c r="X17" s="254"/>
      <c r="Y17" s="255"/>
      <c r="Z17" s="250"/>
      <c r="AA17" s="254"/>
      <c r="AB17" s="255"/>
      <c r="AC17" s="250"/>
      <c r="AD17" s="244"/>
      <c r="AE17" s="253"/>
      <c r="AF17" s="256">
        <v>750000</v>
      </c>
      <c r="AG17" s="248"/>
      <c r="AH17" s="240"/>
      <c r="AI17" s="256"/>
      <c r="AJ17" s="248"/>
      <c r="AK17" s="257"/>
      <c r="AL17" s="250"/>
      <c r="AM17" s="248"/>
      <c r="AN17" s="257"/>
      <c r="AO17" s="258"/>
      <c r="AP17" s="259"/>
      <c r="AQ17" s="257"/>
      <c r="AR17" s="260"/>
      <c r="AS17" s="248"/>
      <c r="AT17" s="257"/>
      <c r="AU17" s="256"/>
    </row>
    <row r="18" spans="1:47" x14ac:dyDescent="0.2">
      <c r="A18" s="236"/>
      <c r="B18" s="261" t="s">
        <v>1598</v>
      </c>
      <c r="C18" s="238" t="s">
        <v>1599</v>
      </c>
      <c r="D18" s="239"/>
      <c r="E18" s="240"/>
      <c r="F18" s="241"/>
      <c r="G18" s="242">
        <f t="shared" si="1"/>
        <v>0</v>
      </c>
      <c r="H18" s="243"/>
      <c r="I18" s="244"/>
      <c r="J18" s="240"/>
      <c r="K18" s="258"/>
      <c r="L18" s="245"/>
      <c r="M18" s="246"/>
      <c r="N18" s="247">
        <f t="shared" si="2"/>
        <v>0</v>
      </c>
      <c r="O18" s="248"/>
      <c r="P18" s="249"/>
      <c r="Q18" s="250"/>
      <c r="R18" s="251"/>
      <c r="S18" s="249"/>
      <c r="T18" s="250"/>
      <c r="U18" s="252"/>
      <c r="V18" s="253"/>
      <c r="W18" s="250"/>
      <c r="X18" s="254"/>
      <c r="Y18" s="255"/>
      <c r="Z18" s="250"/>
      <c r="AA18" s="254"/>
      <c r="AB18" s="255"/>
      <c r="AC18" s="250"/>
      <c r="AD18" s="244"/>
      <c r="AE18" s="253"/>
      <c r="AF18" s="256"/>
      <c r="AG18" s="248"/>
      <c r="AH18" s="240"/>
      <c r="AI18" s="256"/>
      <c r="AJ18" s="248"/>
      <c r="AK18" s="257"/>
      <c r="AL18" s="250"/>
      <c r="AM18" s="248"/>
      <c r="AN18" s="257"/>
      <c r="AO18" s="258"/>
      <c r="AP18" s="259"/>
      <c r="AQ18" s="257"/>
      <c r="AR18" s="260"/>
      <c r="AS18" s="248"/>
      <c r="AT18" s="257"/>
      <c r="AU18" s="256"/>
    </row>
    <row r="19" spans="1:47" x14ac:dyDescent="0.2">
      <c r="A19" s="236"/>
      <c r="B19" s="261" t="s">
        <v>1600</v>
      </c>
      <c r="C19" s="238" t="s">
        <v>1601</v>
      </c>
      <c r="D19" s="239">
        <v>70000</v>
      </c>
      <c r="E19" s="240"/>
      <c r="F19" s="241"/>
      <c r="G19" s="242">
        <f t="shared" si="1"/>
        <v>70000</v>
      </c>
      <c r="H19" s="243"/>
      <c r="I19" s="244"/>
      <c r="J19" s="240"/>
      <c r="K19" s="258"/>
      <c r="L19" s="245"/>
      <c r="M19" s="246"/>
      <c r="N19" s="247">
        <f t="shared" si="2"/>
        <v>70000</v>
      </c>
      <c r="O19" s="248"/>
      <c r="P19" s="249"/>
      <c r="Q19" s="250"/>
      <c r="R19" s="251"/>
      <c r="S19" s="249"/>
      <c r="T19" s="250"/>
      <c r="U19" s="252"/>
      <c r="V19" s="253"/>
      <c r="W19" s="250"/>
      <c r="X19" s="254"/>
      <c r="Y19" s="255"/>
      <c r="Z19" s="250"/>
      <c r="AA19" s="254"/>
      <c r="AB19" s="255"/>
      <c r="AC19" s="250"/>
      <c r="AD19" s="244"/>
      <c r="AE19" s="253"/>
      <c r="AF19" s="256">
        <v>70000</v>
      </c>
      <c r="AG19" s="248"/>
      <c r="AH19" s="240"/>
      <c r="AI19" s="256"/>
      <c r="AJ19" s="248"/>
      <c r="AK19" s="257"/>
      <c r="AL19" s="250"/>
      <c r="AM19" s="248"/>
      <c r="AN19" s="257"/>
      <c r="AO19" s="258"/>
      <c r="AP19" s="259"/>
      <c r="AQ19" s="257"/>
      <c r="AR19" s="260"/>
      <c r="AS19" s="248"/>
      <c r="AT19" s="257"/>
      <c r="AU19" s="256"/>
    </row>
    <row r="20" spans="1:47" x14ac:dyDescent="0.2">
      <c r="A20" s="236"/>
      <c r="B20" s="261" t="s">
        <v>1602</v>
      </c>
      <c r="C20" s="238" t="s">
        <v>1603</v>
      </c>
      <c r="D20" s="239">
        <v>70000</v>
      </c>
      <c r="E20" s="240"/>
      <c r="F20" s="241"/>
      <c r="G20" s="242">
        <f t="shared" si="1"/>
        <v>70000</v>
      </c>
      <c r="H20" s="243"/>
      <c r="I20" s="244"/>
      <c r="J20" s="240"/>
      <c r="K20" s="258"/>
      <c r="L20" s="245"/>
      <c r="M20" s="246"/>
      <c r="N20" s="247">
        <f t="shared" si="2"/>
        <v>70000</v>
      </c>
      <c r="O20" s="248"/>
      <c r="P20" s="249"/>
      <c r="Q20" s="250"/>
      <c r="R20" s="251"/>
      <c r="S20" s="249"/>
      <c r="T20" s="250"/>
      <c r="U20" s="252"/>
      <c r="V20" s="253"/>
      <c r="W20" s="250"/>
      <c r="X20" s="254"/>
      <c r="Y20" s="255"/>
      <c r="Z20" s="250"/>
      <c r="AA20" s="254"/>
      <c r="AB20" s="255"/>
      <c r="AC20" s="250"/>
      <c r="AD20" s="244"/>
      <c r="AE20" s="253"/>
      <c r="AF20" s="256">
        <v>70000</v>
      </c>
      <c r="AG20" s="248"/>
      <c r="AH20" s="240"/>
      <c r="AI20" s="256"/>
      <c r="AJ20" s="248"/>
      <c r="AK20" s="257"/>
      <c r="AL20" s="250"/>
      <c r="AM20" s="248"/>
      <c r="AN20" s="257"/>
      <c r="AO20" s="258"/>
      <c r="AP20" s="259"/>
      <c r="AQ20" s="257"/>
      <c r="AR20" s="260"/>
      <c r="AS20" s="248"/>
      <c r="AT20" s="257"/>
      <c r="AU20" s="256"/>
    </row>
    <row r="21" spans="1:47" x14ac:dyDescent="0.2">
      <c r="A21" s="236">
        <v>2</v>
      </c>
      <c r="B21" s="237" t="s">
        <v>1364</v>
      </c>
      <c r="C21" s="238" t="s">
        <v>1365</v>
      </c>
      <c r="D21" s="239">
        <f t="shared" ref="D21:E33" si="3">SUM(I21,L21,AG21)</f>
        <v>0</v>
      </c>
      <c r="E21" s="240">
        <f t="shared" si="3"/>
        <v>282456</v>
      </c>
      <c r="F21" s="241">
        <v>0</v>
      </c>
      <c r="G21" s="444">
        <f t="shared" si="1"/>
        <v>343040</v>
      </c>
      <c r="H21" s="243"/>
      <c r="I21" s="244">
        <v>0</v>
      </c>
      <c r="J21" s="240">
        <v>111206</v>
      </c>
      <c r="K21" s="258"/>
      <c r="L21" s="245">
        <f t="shared" ref="L21:N114" si="4">SUM(O21,R21,U21,X21,AA21,AD21)</f>
        <v>0</v>
      </c>
      <c r="M21" s="246">
        <f t="shared" si="4"/>
        <v>171250</v>
      </c>
      <c r="N21" s="247">
        <f t="shared" si="4"/>
        <v>343040</v>
      </c>
      <c r="O21" s="248"/>
      <c r="P21" s="249"/>
      <c r="Q21" s="250"/>
      <c r="R21" s="251">
        <v>0</v>
      </c>
      <c r="S21" s="249">
        <v>171250</v>
      </c>
      <c r="T21" s="250">
        <v>343040</v>
      </c>
      <c r="U21" s="252"/>
      <c r="V21" s="253"/>
      <c r="W21" s="250"/>
      <c r="X21" s="254"/>
      <c r="Y21" s="255"/>
      <c r="Z21" s="250"/>
      <c r="AA21" s="254"/>
      <c r="AB21" s="255"/>
      <c r="AC21" s="250"/>
      <c r="AD21" s="244"/>
      <c r="AE21" s="253"/>
      <c r="AF21" s="256"/>
      <c r="AG21" s="248">
        <f>SUM(AJ21,AM21,AP21,AS21)</f>
        <v>0</v>
      </c>
      <c r="AH21" s="240">
        <f t="shared" si="0"/>
        <v>0</v>
      </c>
      <c r="AI21" s="256">
        <f t="shared" si="0"/>
        <v>0</v>
      </c>
      <c r="AJ21" s="248"/>
      <c r="AK21" s="257"/>
      <c r="AL21" s="250"/>
      <c r="AM21" s="248"/>
      <c r="AN21" s="257"/>
      <c r="AO21" s="258"/>
      <c r="AP21" s="259"/>
      <c r="AQ21" s="257"/>
      <c r="AR21" s="260"/>
      <c r="AS21" s="248"/>
      <c r="AT21" s="257"/>
      <c r="AU21" s="256"/>
    </row>
    <row r="22" spans="1:47" x14ac:dyDescent="0.2">
      <c r="A22" s="263">
        <v>3</v>
      </c>
      <c r="B22" s="264" t="s">
        <v>1366</v>
      </c>
      <c r="C22" s="265" t="s">
        <v>305</v>
      </c>
      <c r="D22" s="239">
        <f t="shared" si="3"/>
        <v>2286000</v>
      </c>
      <c r="E22" s="266">
        <f>SUM(J22,M22,AH22)</f>
        <v>1143000</v>
      </c>
      <c r="F22" s="241">
        <f t="shared" ref="F22:F30" si="5">E22/D22</f>
        <v>0.5</v>
      </c>
      <c r="G22" s="242">
        <f t="shared" si="1"/>
        <v>3595000</v>
      </c>
      <c r="H22" s="243"/>
      <c r="I22" s="239">
        <v>0</v>
      </c>
      <c r="J22" s="266">
        <v>0</v>
      </c>
      <c r="K22" s="258"/>
      <c r="L22" s="245">
        <f t="shared" si="4"/>
        <v>2286000</v>
      </c>
      <c r="M22" s="267">
        <f t="shared" si="4"/>
        <v>1143000</v>
      </c>
      <c r="N22" s="247">
        <f t="shared" si="4"/>
        <v>3595000</v>
      </c>
      <c r="O22" s="268">
        <v>350000</v>
      </c>
      <c r="P22" s="266">
        <v>175002</v>
      </c>
      <c r="Q22" s="250"/>
      <c r="R22" s="269">
        <v>950000</v>
      </c>
      <c r="S22" s="266">
        <v>475002</v>
      </c>
      <c r="T22" s="250">
        <v>950000</v>
      </c>
      <c r="U22" s="270"/>
      <c r="V22" s="267"/>
      <c r="W22" s="250"/>
      <c r="X22" s="254"/>
      <c r="Y22" s="255"/>
      <c r="Z22" s="250">
        <v>770000</v>
      </c>
      <c r="AA22" s="254"/>
      <c r="AB22" s="255"/>
      <c r="AC22" s="250">
        <v>500000</v>
      </c>
      <c r="AD22" s="239">
        <v>986000</v>
      </c>
      <c r="AE22" s="267">
        <v>492996</v>
      </c>
      <c r="AF22" s="256">
        <v>1375000</v>
      </c>
      <c r="AG22" s="248">
        <f t="shared" ref="AG22:AG33" si="6">SUM(AJ22,AM22,AP22,AS22)</f>
        <v>0</v>
      </c>
      <c r="AH22" s="266">
        <f t="shared" si="0"/>
        <v>0</v>
      </c>
      <c r="AI22" s="256">
        <f t="shared" si="0"/>
        <v>0</v>
      </c>
      <c r="AJ22" s="268"/>
      <c r="AK22" s="267">
        <v>0</v>
      </c>
      <c r="AL22" s="250"/>
      <c r="AM22" s="268">
        <v>0</v>
      </c>
      <c r="AN22" s="267">
        <v>0</v>
      </c>
      <c r="AO22" s="258"/>
      <c r="AP22" s="271">
        <v>0</v>
      </c>
      <c r="AQ22" s="267">
        <v>0</v>
      </c>
      <c r="AR22" s="260"/>
      <c r="AS22" s="268"/>
      <c r="AT22" s="272"/>
      <c r="AU22" s="256"/>
    </row>
    <row r="23" spans="1:47" x14ac:dyDescent="0.2">
      <c r="A23" s="236">
        <v>4</v>
      </c>
      <c r="B23" s="237" t="s">
        <v>1367</v>
      </c>
      <c r="C23" s="238" t="s">
        <v>1604</v>
      </c>
      <c r="D23" s="239">
        <f t="shared" si="3"/>
        <v>34455000</v>
      </c>
      <c r="E23" s="240">
        <f t="shared" si="3"/>
        <v>17325169.220000003</v>
      </c>
      <c r="F23" s="241">
        <f t="shared" si="5"/>
        <v>0.5028346893048905</v>
      </c>
      <c r="G23" s="242">
        <f t="shared" si="1"/>
        <v>37000000</v>
      </c>
      <c r="H23" s="243"/>
      <c r="I23" s="244">
        <v>0</v>
      </c>
      <c r="J23" s="240"/>
      <c r="K23" s="258"/>
      <c r="L23" s="245">
        <f t="shared" si="4"/>
        <v>0</v>
      </c>
      <c r="M23" s="246">
        <f>SUM(P23,S23,V23,Y23,AB23,AE23)</f>
        <v>0</v>
      </c>
      <c r="N23" s="247">
        <f t="shared" si="4"/>
        <v>0</v>
      </c>
      <c r="O23" s="248"/>
      <c r="P23" s="249"/>
      <c r="Q23" s="250"/>
      <c r="R23" s="251">
        <v>0</v>
      </c>
      <c r="S23" s="249"/>
      <c r="T23" s="250"/>
      <c r="U23" s="252"/>
      <c r="V23" s="253"/>
      <c r="W23" s="250"/>
      <c r="X23" s="254"/>
      <c r="Y23" s="255"/>
      <c r="Z23" s="250"/>
      <c r="AA23" s="254"/>
      <c r="AB23" s="255"/>
      <c r="AC23" s="250"/>
      <c r="AD23" s="244"/>
      <c r="AE23" s="253"/>
      <c r="AF23" s="256"/>
      <c r="AG23" s="248">
        <f t="shared" si="6"/>
        <v>34455000</v>
      </c>
      <c r="AH23" s="240">
        <f t="shared" si="0"/>
        <v>17325169.220000003</v>
      </c>
      <c r="AI23" s="256">
        <f t="shared" si="0"/>
        <v>37000000</v>
      </c>
      <c r="AJ23" s="248"/>
      <c r="AK23" s="253"/>
      <c r="AL23" s="250"/>
      <c r="AM23" s="248">
        <v>12460000</v>
      </c>
      <c r="AN23" s="253">
        <v>5808381.6900000004</v>
      </c>
      <c r="AO23" s="258">
        <v>13000000</v>
      </c>
      <c r="AP23" s="259">
        <v>11275000</v>
      </c>
      <c r="AQ23" s="253">
        <v>5657729</v>
      </c>
      <c r="AR23" s="260">
        <v>12000000</v>
      </c>
      <c r="AS23" s="248">
        <v>10720000</v>
      </c>
      <c r="AT23" s="253">
        <v>5859058.5300000003</v>
      </c>
      <c r="AU23" s="256">
        <v>12000000</v>
      </c>
    </row>
    <row r="24" spans="1:47" x14ac:dyDescent="0.2">
      <c r="A24" s="236">
        <v>5</v>
      </c>
      <c r="B24" s="237" t="s">
        <v>1368</v>
      </c>
      <c r="C24" s="238" t="s">
        <v>1605</v>
      </c>
      <c r="D24" s="239">
        <f t="shared" si="3"/>
        <v>4226000</v>
      </c>
      <c r="E24" s="240">
        <f t="shared" si="3"/>
        <v>283461.71999999997</v>
      </c>
      <c r="F24" s="241">
        <f t="shared" si="5"/>
        <v>6.7075655466161843E-2</v>
      </c>
      <c r="G24" s="242">
        <f t="shared" si="1"/>
        <v>6462000</v>
      </c>
      <c r="H24" s="243"/>
      <c r="I24" s="244">
        <v>0</v>
      </c>
      <c r="J24" s="240"/>
      <c r="K24" s="258"/>
      <c r="L24" s="245">
        <f t="shared" si="4"/>
        <v>0</v>
      </c>
      <c r="M24" s="246">
        <f t="shared" si="4"/>
        <v>0</v>
      </c>
      <c r="N24" s="247">
        <f t="shared" si="4"/>
        <v>0</v>
      </c>
      <c r="O24" s="248"/>
      <c r="P24" s="249"/>
      <c r="Q24" s="250"/>
      <c r="R24" s="251"/>
      <c r="S24" s="249"/>
      <c r="T24" s="250"/>
      <c r="U24" s="252"/>
      <c r="V24" s="253"/>
      <c r="W24" s="250"/>
      <c r="X24" s="254"/>
      <c r="Y24" s="255"/>
      <c r="Z24" s="250"/>
      <c r="AA24" s="254"/>
      <c r="AB24" s="255"/>
      <c r="AC24" s="250"/>
      <c r="AD24" s="244"/>
      <c r="AE24" s="253"/>
      <c r="AF24" s="256"/>
      <c r="AG24" s="248">
        <f t="shared" si="6"/>
        <v>4226000</v>
      </c>
      <c r="AH24" s="240">
        <f t="shared" si="0"/>
        <v>283461.71999999997</v>
      </c>
      <c r="AI24" s="256">
        <f t="shared" si="0"/>
        <v>6462000</v>
      </c>
      <c r="AJ24" s="248"/>
      <c r="AK24" s="253"/>
      <c r="AL24" s="250"/>
      <c r="AM24" s="248">
        <v>1160000</v>
      </c>
      <c r="AN24" s="253">
        <v>236407.72</v>
      </c>
      <c r="AO24" s="258">
        <v>4812000</v>
      </c>
      <c r="AP24" s="259">
        <v>3066000</v>
      </c>
      <c r="AQ24" s="253">
        <v>47054</v>
      </c>
      <c r="AR24" s="260">
        <v>1650000</v>
      </c>
      <c r="AS24" s="248">
        <v>0</v>
      </c>
      <c r="AT24" s="253"/>
      <c r="AU24" s="256"/>
    </row>
    <row r="25" spans="1:47" x14ac:dyDescent="0.2">
      <c r="A25" s="236">
        <v>6</v>
      </c>
      <c r="B25" s="237" t="s">
        <v>1369</v>
      </c>
      <c r="C25" s="238" t="s">
        <v>1606</v>
      </c>
      <c r="D25" s="239">
        <f t="shared" si="3"/>
        <v>50000</v>
      </c>
      <c r="E25" s="240">
        <f t="shared" si="3"/>
        <v>15704</v>
      </c>
      <c r="F25" s="241">
        <f t="shared" si="5"/>
        <v>0.31408000000000003</v>
      </c>
      <c r="G25" s="242">
        <f t="shared" si="1"/>
        <v>35000</v>
      </c>
      <c r="H25" s="243"/>
      <c r="I25" s="244">
        <v>0</v>
      </c>
      <c r="J25" s="240"/>
      <c r="K25" s="258"/>
      <c r="L25" s="245">
        <f t="shared" si="4"/>
        <v>50000</v>
      </c>
      <c r="M25" s="246">
        <f t="shared" si="4"/>
        <v>15704</v>
      </c>
      <c r="N25" s="247">
        <f t="shared" si="4"/>
        <v>35000</v>
      </c>
      <c r="O25" s="248"/>
      <c r="P25" s="249"/>
      <c r="Q25" s="250"/>
      <c r="R25" s="251"/>
      <c r="S25" s="249">
        <v>900</v>
      </c>
      <c r="T25" s="250"/>
      <c r="U25" s="252"/>
      <c r="V25" s="253"/>
      <c r="W25" s="250"/>
      <c r="X25" s="254"/>
      <c r="Y25" s="255"/>
      <c r="Z25" s="250"/>
      <c r="AA25" s="254"/>
      <c r="AB25" s="255"/>
      <c r="AC25" s="250"/>
      <c r="AD25" s="244">
        <v>50000</v>
      </c>
      <c r="AE25" s="253">
        <v>14804</v>
      </c>
      <c r="AF25" s="256">
        <v>35000</v>
      </c>
      <c r="AG25" s="248">
        <f t="shared" si="6"/>
        <v>0</v>
      </c>
      <c r="AH25" s="240">
        <f t="shared" si="0"/>
        <v>0</v>
      </c>
      <c r="AI25" s="256">
        <f t="shared" si="0"/>
        <v>0</v>
      </c>
      <c r="AJ25" s="248"/>
      <c r="AK25" s="253"/>
      <c r="AL25" s="250"/>
      <c r="AM25" s="248"/>
      <c r="AN25" s="253"/>
      <c r="AO25" s="258"/>
      <c r="AP25" s="259">
        <v>0</v>
      </c>
      <c r="AQ25" s="253"/>
      <c r="AR25" s="260"/>
      <c r="AS25" s="248"/>
      <c r="AT25" s="253"/>
      <c r="AU25" s="256"/>
    </row>
    <row r="26" spans="1:47" x14ac:dyDescent="0.2">
      <c r="A26" s="236">
        <v>7</v>
      </c>
      <c r="B26" s="237" t="s">
        <v>1370</v>
      </c>
      <c r="C26" s="238" t="s">
        <v>1607</v>
      </c>
      <c r="D26" s="239">
        <f t="shared" si="3"/>
        <v>0</v>
      </c>
      <c r="E26" s="240">
        <f t="shared" si="3"/>
        <v>33600</v>
      </c>
      <c r="F26" s="241">
        <v>0</v>
      </c>
      <c r="G26" s="242">
        <f t="shared" si="1"/>
        <v>65000</v>
      </c>
      <c r="H26" s="243"/>
      <c r="I26" s="244">
        <v>0</v>
      </c>
      <c r="J26" s="240">
        <v>33600</v>
      </c>
      <c r="K26" s="258">
        <v>65000</v>
      </c>
      <c r="L26" s="245">
        <f t="shared" si="4"/>
        <v>0</v>
      </c>
      <c r="M26" s="246">
        <f t="shared" si="4"/>
        <v>0</v>
      </c>
      <c r="N26" s="247">
        <f t="shared" si="4"/>
        <v>0</v>
      </c>
      <c r="O26" s="248"/>
      <c r="P26" s="249"/>
      <c r="Q26" s="250"/>
      <c r="R26" s="251"/>
      <c r="S26" s="249"/>
      <c r="T26" s="250"/>
      <c r="U26" s="252"/>
      <c r="V26" s="253"/>
      <c r="W26" s="250"/>
      <c r="X26" s="254"/>
      <c r="Y26" s="255"/>
      <c r="Z26" s="250"/>
      <c r="AA26" s="254"/>
      <c r="AB26" s="255"/>
      <c r="AC26" s="250"/>
      <c r="AD26" s="248">
        <v>0</v>
      </c>
      <c r="AE26" s="253"/>
      <c r="AF26" s="256"/>
      <c r="AG26" s="248">
        <f t="shared" si="6"/>
        <v>0</v>
      </c>
      <c r="AH26" s="240">
        <f t="shared" si="0"/>
        <v>0</v>
      </c>
      <c r="AI26" s="256">
        <f t="shared" si="0"/>
        <v>0</v>
      </c>
      <c r="AJ26" s="248"/>
      <c r="AK26" s="253"/>
      <c r="AL26" s="250"/>
      <c r="AM26" s="248"/>
      <c r="AN26" s="253"/>
      <c r="AO26" s="258"/>
      <c r="AP26" s="259"/>
      <c r="AQ26" s="253"/>
      <c r="AR26" s="260"/>
      <c r="AS26" s="248"/>
      <c r="AT26" s="253"/>
      <c r="AU26" s="256"/>
    </row>
    <row r="27" spans="1:47" x14ac:dyDescent="0.2">
      <c r="A27" s="236">
        <v>8</v>
      </c>
      <c r="B27" s="237" t="s">
        <v>1371</v>
      </c>
      <c r="C27" s="238" t="s">
        <v>1608</v>
      </c>
      <c r="D27" s="239">
        <f t="shared" si="3"/>
        <v>50000</v>
      </c>
      <c r="E27" s="240">
        <f t="shared" si="3"/>
        <v>13240</v>
      </c>
      <c r="F27" s="241">
        <f t="shared" si="5"/>
        <v>0.26479999999999998</v>
      </c>
      <c r="G27" s="242">
        <f t="shared" si="1"/>
        <v>30000</v>
      </c>
      <c r="H27" s="243"/>
      <c r="I27" s="244"/>
      <c r="J27" s="240"/>
      <c r="K27" s="258"/>
      <c r="L27" s="245">
        <f t="shared" si="4"/>
        <v>50000</v>
      </c>
      <c r="M27" s="246">
        <f t="shared" si="4"/>
        <v>13240</v>
      </c>
      <c r="N27" s="247">
        <f>SUM(Q27,T27,W27,Z27,AC27,AF27)</f>
        <v>30000</v>
      </c>
      <c r="O27" s="248">
        <v>50000</v>
      </c>
      <c r="P27" s="249">
        <v>2960</v>
      </c>
      <c r="Q27" s="250">
        <v>30000</v>
      </c>
      <c r="R27" s="251"/>
      <c r="S27" s="249"/>
      <c r="T27" s="250"/>
      <c r="U27" s="252"/>
      <c r="V27" s="253"/>
      <c r="W27" s="258"/>
      <c r="X27" s="254"/>
      <c r="Y27" s="255"/>
      <c r="Z27" s="250"/>
      <c r="AA27" s="254"/>
      <c r="AB27" s="255"/>
      <c r="AC27" s="250"/>
      <c r="AD27" s="248">
        <v>0</v>
      </c>
      <c r="AE27" s="253">
        <v>10280</v>
      </c>
      <c r="AF27" s="256"/>
      <c r="AG27" s="248">
        <f t="shared" si="6"/>
        <v>0</v>
      </c>
      <c r="AH27" s="240">
        <f t="shared" si="0"/>
        <v>0</v>
      </c>
      <c r="AI27" s="256">
        <f t="shared" si="0"/>
        <v>0</v>
      </c>
      <c r="AJ27" s="248"/>
      <c r="AK27" s="253"/>
      <c r="AL27" s="250"/>
      <c r="AM27" s="248"/>
      <c r="AN27" s="253"/>
      <c r="AO27" s="258"/>
      <c r="AP27" s="259"/>
      <c r="AQ27" s="253"/>
      <c r="AR27" s="260"/>
      <c r="AS27" s="248"/>
      <c r="AT27" s="253"/>
      <c r="AU27" s="256"/>
    </row>
    <row r="28" spans="1:47" x14ac:dyDescent="0.2">
      <c r="A28" s="236">
        <v>9</v>
      </c>
      <c r="B28" s="237" t="s">
        <v>1372</v>
      </c>
      <c r="C28" s="238" t="s">
        <v>1609</v>
      </c>
      <c r="D28" s="239">
        <f t="shared" si="3"/>
        <v>0</v>
      </c>
      <c r="E28" s="240">
        <f t="shared" si="3"/>
        <v>5066.5</v>
      </c>
      <c r="F28" s="241">
        <v>0</v>
      </c>
      <c r="G28" s="242">
        <f t="shared" si="1"/>
        <v>10000</v>
      </c>
      <c r="H28" s="243"/>
      <c r="I28" s="244"/>
      <c r="J28" s="240"/>
      <c r="K28" s="258"/>
      <c r="L28" s="245">
        <f t="shared" si="4"/>
        <v>0</v>
      </c>
      <c r="M28" s="246">
        <f t="shared" si="4"/>
        <v>5066.5</v>
      </c>
      <c r="N28" s="247">
        <f t="shared" si="4"/>
        <v>10000</v>
      </c>
      <c r="O28" s="248"/>
      <c r="P28" s="249"/>
      <c r="Q28" s="250"/>
      <c r="R28" s="251"/>
      <c r="S28" s="249"/>
      <c r="T28" s="250"/>
      <c r="U28" s="252"/>
      <c r="V28" s="253"/>
      <c r="W28" s="258"/>
      <c r="X28" s="254"/>
      <c r="Y28" s="255"/>
      <c r="Z28" s="250"/>
      <c r="AA28" s="254"/>
      <c r="AB28" s="255"/>
      <c r="AC28" s="250"/>
      <c r="AD28" s="248"/>
      <c r="AE28" s="253">
        <v>5066.5</v>
      </c>
      <c r="AF28" s="256">
        <v>10000</v>
      </c>
      <c r="AG28" s="248">
        <f t="shared" si="6"/>
        <v>0</v>
      </c>
      <c r="AH28" s="240">
        <f t="shared" si="0"/>
        <v>0</v>
      </c>
      <c r="AI28" s="256">
        <f t="shared" si="0"/>
        <v>0</v>
      </c>
      <c r="AJ28" s="248"/>
      <c r="AK28" s="253"/>
      <c r="AL28" s="250"/>
      <c r="AM28" s="248"/>
      <c r="AN28" s="253"/>
      <c r="AO28" s="258"/>
      <c r="AP28" s="259"/>
      <c r="AQ28" s="253"/>
      <c r="AR28" s="260"/>
      <c r="AS28" s="248"/>
      <c r="AT28" s="253"/>
      <c r="AU28" s="256"/>
    </row>
    <row r="29" spans="1:47" x14ac:dyDescent="0.2">
      <c r="A29" s="236">
        <v>10</v>
      </c>
      <c r="B29" s="237" t="s">
        <v>1373</v>
      </c>
      <c r="C29" s="238" t="s">
        <v>1610</v>
      </c>
      <c r="D29" s="239">
        <f t="shared" si="3"/>
        <v>30000</v>
      </c>
      <c r="E29" s="240">
        <f t="shared" si="3"/>
        <v>782</v>
      </c>
      <c r="F29" s="241">
        <f t="shared" si="5"/>
        <v>2.6066666666666665E-2</v>
      </c>
      <c r="G29" s="242">
        <f t="shared" si="1"/>
        <v>5000</v>
      </c>
      <c r="H29" s="243"/>
      <c r="I29" s="244"/>
      <c r="J29" s="240"/>
      <c r="K29" s="258"/>
      <c r="L29" s="245">
        <f t="shared" si="4"/>
        <v>30000</v>
      </c>
      <c r="M29" s="246">
        <f t="shared" si="4"/>
        <v>782</v>
      </c>
      <c r="N29" s="247">
        <f t="shared" si="4"/>
        <v>5000</v>
      </c>
      <c r="O29" s="248"/>
      <c r="P29" s="249"/>
      <c r="Q29" s="250"/>
      <c r="R29" s="251"/>
      <c r="S29" s="249"/>
      <c r="T29" s="250"/>
      <c r="U29" s="252"/>
      <c r="V29" s="253"/>
      <c r="W29" s="258"/>
      <c r="X29" s="254"/>
      <c r="Y29" s="255"/>
      <c r="Z29" s="250"/>
      <c r="AA29" s="254"/>
      <c r="AB29" s="255"/>
      <c r="AC29" s="250"/>
      <c r="AD29" s="248">
        <v>30000</v>
      </c>
      <c r="AE29" s="253">
        <v>782</v>
      </c>
      <c r="AF29" s="256">
        <v>5000</v>
      </c>
      <c r="AG29" s="248">
        <f t="shared" si="6"/>
        <v>0</v>
      </c>
      <c r="AH29" s="240">
        <f t="shared" si="0"/>
        <v>0</v>
      </c>
      <c r="AI29" s="256">
        <f t="shared" si="0"/>
        <v>0</v>
      </c>
      <c r="AJ29" s="248"/>
      <c r="AK29" s="253"/>
      <c r="AL29" s="250"/>
      <c r="AM29" s="248"/>
      <c r="AN29" s="253"/>
      <c r="AO29" s="258"/>
      <c r="AP29" s="259"/>
      <c r="AQ29" s="253"/>
      <c r="AR29" s="260"/>
      <c r="AS29" s="248"/>
      <c r="AT29" s="253"/>
      <c r="AU29" s="256"/>
    </row>
    <row r="30" spans="1:47" x14ac:dyDescent="0.2">
      <c r="A30" s="236">
        <v>14</v>
      </c>
      <c r="B30" s="237" t="s">
        <v>1374</v>
      </c>
      <c r="C30" s="238" t="s">
        <v>1611</v>
      </c>
      <c r="D30" s="239">
        <f t="shared" si="3"/>
        <v>50000</v>
      </c>
      <c r="E30" s="240">
        <f t="shared" si="3"/>
        <v>20000</v>
      </c>
      <c r="F30" s="241">
        <f t="shared" si="5"/>
        <v>0.4</v>
      </c>
      <c r="G30" s="242">
        <f t="shared" si="1"/>
        <v>50000</v>
      </c>
      <c r="H30" s="243"/>
      <c r="I30" s="244"/>
      <c r="J30" s="240"/>
      <c r="K30" s="258"/>
      <c r="L30" s="245">
        <f t="shared" si="4"/>
        <v>0</v>
      </c>
      <c r="M30" s="246">
        <f t="shared" si="4"/>
        <v>0</v>
      </c>
      <c r="N30" s="247">
        <f t="shared" si="4"/>
        <v>0</v>
      </c>
      <c r="O30" s="248"/>
      <c r="P30" s="249"/>
      <c r="Q30" s="250"/>
      <c r="R30" s="251"/>
      <c r="S30" s="249"/>
      <c r="T30" s="250"/>
      <c r="U30" s="252"/>
      <c r="V30" s="253"/>
      <c r="W30" s="258"/>
      <c r="X30" s="254"/>
      <c r="Y30" s="255"/>
      <c r="Z30" s="250"/>
      <c r="AA30" s="254"/>
      <c r="AB30" s="255"/>
      <c r="AC30" s="250"/>
      <c r="AD30" s="248"/>
      <c r="AE30" s="253"/>
      <c r="AF30" s="256"/>
      <c r="AG30" s="248">
        <f t="shared" si="6"/>
        <v>50000</v>
      </c>
      <c r="AH30" s="240">
        <f t="shared" si="0"/>
        <v>20000</v>
      </c>
      <c r="AI30" s="256">
        <f t="shared" si="0"/>
        <v>50000</v>
      </c>
      <c r="AJ30" s="248"/>
      <c r="AK30" s="253"/>
      <c r="AL30" s="250"/>
      <c r="AM30" s="248">
        <v>50000</v>
      </c>
      <c r="AN30" s="253">
        <v>20000</v>
      </c>
      <c r="AO30" s="258">
        <v>50000</v>
      </c>
      <c r="AP30" s="259"/>
      <c r="AQ30" s="253"/>
      <c r="AR30" s="260"/>
      <c r="AS30" s="248"/>
      <c r="AT30" s="253"/>
      <c r="AU30" s="256"/>
    </row>
    <row r="31" spans="1:47" x14ac:dyDescent="0.2">
      <c r="A31" s="236">
        <v>15</v>
      </c>
      <c r="B31" s="237" t="s">
        <v>1375</v>
      </c>
      <c r="C31" s="238" t="s">
        <v>1612</v>
      </c>
      <c r="D31" s="239">
        <f t="shared" si="3"/>
        <v>0</v>
      </c>
      <c r="E31" s="240">
        <f t="shared" si="3"/>
        <v>356</v>
      </c>
      <c r="F31" s="241">
        <v>0</v>
      </c>
      <c r="G31" s="242">
        <f t="shared" si="1"/>
        <v>0</v>
      </c>
      <c r="H31" s="243"/>
      <c r="I31" s="244"/>
      <c r="J31" s="240"/>
      <c r="K31" s="258"/>
      <c r="L31" s="245">
        <f t="shared" si="4"/>
        <v>0</v>
      </c>
      <c r="M31" s="246">
        <f t="shared" si="4"/>
        <v>356</v>
      </c>
      <c r="N31" s="247">
        <f t="shared" si="4"/>
        <v>0</v>
      </c>
      <c r="O31" s="248">
        <v>0</v>
      </c>
      <c r="P31" s="249">
        <v>356</v>
      </c>
      <c r="Q31" s="250"/>
      <c r="R31" s="251"/>
      <c r="S31" s="249"/>
      <c r="T31" s="250"/>
      <c r="U31" s="252"/>
      <c r="V31" s="253"/>
      <c r="W31" s="258"/>
      <c r="X31" s="254"/>
      <c r="Y31" s="255"/>
      <c r="Z31" s="250"/>
      <c r="AA31" s="254"/>
      <c r="AB31" s="255"/>
      <c r="AC31" s="250"/>
      <c r="AD31" s="248"/>
      <c r="AE31" s="253"/>
      <c r="AF31" s="256"/>
      <c r="AG31" s="248">
        <f t="shared" si="6"/>
        <v>0</v>
      </c>
      <c r="AH31" s="240">
        <f t="shared" si="0"/>
        <v>0</v>
      </c>
      <c r="AI31" s="256">
        <f t="shared" si="0"/>
        <v>0</v>
      </c>
      <c r="AJ31" s="248"/>
      <c r="AK31" s="253"/>
      <c r="AL31" s="250"/>
      <c r="AM31" s="248">
        <v>0</v>
      </c>
      <c r="AN31" s="253"/>
      <c r="AO31" s="258"/>
      <c r="AP31" s="259"/>
      <c r="AQ31" s="253"/>
      <c r="AR31" s="260"/>
      <c r="AS31" s="248"/>
      <c r="AT31" s="253"/>
      <c r="AU31" s="256"/>
    </row>
    <row r="32" spans="1:47" x14ac:dyDescent="0.2">
      <c r="A32" s="236">
        <v>16</v>
      </c>
      <c r="B32" s="237" t="s">
        <v>1376</v>
      </c>
      <c r="C32" s="238" t="s">
        <v>1377</v>
      </c>
      <c r="D32" s="239">
        <f t="shared" si="3"/>
        <v>400000</v>
      </c>
      <c r="E32" s="240">
        <f t="shared" si="3"/>
        <v>153951.53999999998</v>
      </c>
      <c r="F32" s="241">
        <v>0</v>
      </c>
      <c r="G32" s="242">
        <f t="shared" si="1"/>
        <v>250000</v>
      </c>
      <c r="H32" s="243"/>
      <c r="I32" s="244"/>
      <c r="J32" s="240">
        <v>80863.679999999993</v>
      </c>
      <c r="K32" s="258"/>
      <c r="L32" s="245">
        <f t="shared" si="4"/>
        <v>400000</v>
      </c>
      <c r="M32" s="246">
        <f t="shared" si="4"/>
        <v>70603.56</v>
      </c>
      <c r="N32" s="247">
        <f t="shared" si="4"/>
        <v>250000</v>
      </c>
      <c r="O32" s="248">
        <v>0</v>
      </c>
      <c r="P32" s="249">
        <v>1026.9000000000001</v>
      </c>
      <c r="Q32" s="250"/>
      <c r="R32" s="251">
        <v>400000</v>
      </c>
      <c r="S32" s="249">
        <v>69342.38</v>
      </c>
      <c r="T32" s="250">
        <v>250000</v>
      </c>
      <c r="U32" s="252"/>
      <c r="V32" s="253"/>
      <c r="W32" s="258"/>
      <c r="X32" s="254"/>
      <c r="Y32" s="255"/>
      <c r="Z32" s="250"/>
      <c r="AA32" s="254"/>
      <c r="AB32" s="255"/>
      <c r="AC32" s="250"/>
      <c r="AD32" s="248"/>
      <c r="AE32" s="253">
        <v>234.28</v>
      </c>
      <c r="AF32" s="256"/>
      <c r="AG32" s="248">
        <f t="shared" si="6"/>
        <v>0</v>
      </c>
      <c r="AH32" s="240">
        <f t="shared" si="0"/>
        <v>2484.3000000000002</v>
      </c>
      <c r="AI32" s="256">
        <f t="shared" si="0"/>
        <v>0</v>
      </c>
      <c r="AJ32" s="248"/>
      <c r="AK32" s="253">
        <v>415.53</v>
      </c>
      <c r="AL32" s="250"/>
      <c r="AM32" s="248"/>
      <c r="AN32" s="253">
        <v>122.22</v>
      </c>
      <c r="AO32" s="258"/>
      <c r="AP32" s="259"/>
      <c r="AQ32" s="253">
        <v>1940.59</v>
      </c>
      <c r="AR32" s="260"/>
      <c r="AS32" s="248"/>
      <c r="AT32" s="253">
        <v>5.96</v>
      </c>
      <c r="AU32" s="256"/>
    </row>
    <row r="33" spans="1:47" x14ac:dyDescent="0.2">
      <c r="A33" s="236">
        <v>17</v>
      </c>
      <c r="B33" s="237" t="s">
        <v>1378</v>
      </c>
      <c r="C33" s="238" t="s">
        <v>7</v>
      </c>
      <c r="D33" s="239">
        <f t="shared" si="3"/>
        <v>0</v>
      </c>
      <c r="E33" s="240">
        <f t="shared" si="3"/>
        <v>110.17</v>
      </c>
      <c r="F33" s="241">
        <v>0</v>
      </c>
      <c r="G33" s="242">
        <f t="shared" si="1"/>
        <v>0</v>
      </c>
      <c r="H33" s="243"/>
      <c r="I33" s="244"/>
      <c r="J33" s="240">
        <v>57.95</v>
      </c>
      <c r="K33" s="258"/>
      <c r="L33" s="245">
        <f t="shared" si="4"/>
        <v>0</v>
      </c>
      <c r="M33" s="246">
        <f>SUM(P33,S33,V33,Y33,AB33,AE33)</f>
        <v>0</v>
      </c>
      <c r="N33" s="247">
        <f>SUM(Q33,T33,W33,Z33,AC33,AF33)</f>
        <v>0</v>
      </c>
      <c r="O33" s="248">
        <v>0</v>
      </c>
      <c r="P33" s="249"/>
      <c r="Q33" s="250"/>
      <c r="R33" s="251"/>
      <c r="S33" s="249"/>
      <c r="T33" s="250"/>
      <c r="U33" s="252"/>
      <c r="V33" s="253"/>
      <c r="W33" s="258"/>
      <c r="X33" s="254"/>
      <c r="Y33" s="255"/>
      <c r="Z33" s="250"/>
      <c r="AA33" s="254"/>
      <c r="AB33" s="255"/>
      <c r="AC33" s="250"/>
      <c r="AD33" s="248"/>
      <c r="AE33" s="253"/>
      <c r="AF33" s="256"/>
      <c r="AG33" s="248">
        <f t="shared" si="6"/>
        <v>0</v>
      </c>
      <c r="AH33" s="240">
        <f t="shared" si="0"/>
        <v>52.22</v>
      </c>
      <c r="AI33" s="256">
        <f>SUM(AL33,AO33,AR33,AU33)</f>
        <v>0</v>
      </c>
      <c r="AJ33" s="248"/>
      <c r="AK33" s="253">
        <v>52.22</v>
      </c>
      <c r="AL33" s="250"/>
      <c r="AM33" s="248"/>
      <c r="AN33" s="253"/>
      <c r="AO33" s="258"/>
      <c r="AP33" s="259"/>
      <c r="AQ33" s="253"/>
      <c r="AR33" s="260"/>
      <c r="AS33" s="248"/>
      <c r="AT33" s="253"/>
      <c r="AU33" s="256"/>
    </row>
    <row r="34" spans="1:47" x14ac:dyDescent="0.2">
      <c r="A34" s="273"/>
      <c r="B34" s="274"/>
      <c r="C34" s="275" t="s">
        <v>1379</v>
      </c>
      <c r="D34" s="240">
        <f>SUM(D23:D33,D2:D21)</f>
        <v>86076000</v>
      </c>
      <c r="E34" s="240">
        <f>SUM(E23:E33,E2:E21)</f>
        <v>30281377.150000002</v>
      </c>
      <c r="F34" s="276">
        <f t="shared" ref="F34:F97" si="7">E34/D34</f>
        <v>0.35179814524373809</v>
      </c>
      <c r="G34" s="242">
        <f>SUM(G23:G33,G2:G21)</f>
        <v>84447873.419999987</v>
      </c>
      <c r="H34" s="243"/>
      <c r="I34" s="240">
        <f>SUM(I2:I33)</f>
        <v>3667039</v>
      </c>
      <c r="J34" s="240">
        <f t="shared" ref="J34:AU34" si="8">SUM(J23:J33,J2:J21)</f>
        <v>2059243.63</v>
      </c>
      <c r="K34" s="277">
        <f t="shared" si="8"/>
        <v>4324927.08</v>
      </c>
      <c r="L34" s="278">
        <f t="shared" si="8"/>
        <v>21157961</v>
      </c>
      <c r="M34" s="240">
        <f t="shared" si="8"/>
        <v>10590966.060000001</v>
      </c>
      <c r="N34" s="279">
        <f>SUM(N23:N33,N2:N21)</f>
        <v>36610946.339999996</v>
      </c>
      <c r="O34" s="246">
        <f t="shared" si="8"/>
        <v>1500000</v>
      </c>
      <c r="P34" s="240">
        <f t="shared" si="8"/>
        <v>729340.9</v>
      </c>
      <c r="Q34" s="280">
        <f t="shared" si="8"/>
        <v>2935481.36</v>
      </c>
      <c r="R34" s="246">
        <f t="shared" si="8"/>
        <v>7600000</v>
      </c>
      <c r="S34" s="240">
        <f t="shared" si="8"/>
        <v>3841492.38</v>
      </c>
      <c r="T34" s="242">
        <f t="shared" si="8"/>
        <v>10493040</v>
      </c>
      <c r="U34" s="240">
        <f t="shared" si="8"/>
        <v>570000</v>
      </c>
      <c r="V34" s="240">
        <f t="shared" si="8"/>
        <v>285000</v>
      </c>
      <c r="W34" s="277">
        <f>SUM(W23:W33,W2:W21)</f>
        <v>100264.7</v>
      </c>
      <c r="X34" s="277">
        <f t="shared" ref="X34:Y34" si="9">SUM(X23:X33,X2:X21)</f>
        <v>0</v>
      </c>
      <c r="Y34" s="277">
        <f t="shared" si="9"/>
        <v>0</v>
      </c>
      <c r="Z34" s="277">
        <f>SUM(Z23:Z33,Z2:Z21)</f>
        <v>2368118</v>
      </c>
      <c r="AA34" s="281">
        <f t="shared" si="8"/>
        <v>0</v>
      </c>
      <c r="AB34" s="240">
        <f t="shared" si="8"/>
        <v>0</v>
      </c>
      <c r="AC34" s="280">
        <f t="shared" si="8"/>
        <v>2866736</v>
      </c>
      <c r="AD34" s="246">
        <f t="shared" si="8"/>
        <v>11487961</v>
      </c>
      <c r="AE34" s="240">
        <f t="shared" si="8"/>
        <v>5735132.7800000003</v>
      </c>
      <c r="AF34" s="279">
        <f t="shared" si="8"/>
        <v>17847306.280000001</v>
      </c>
      <c r="AG34" s="246">
        <f t="shared" si="8"/>
        <v>38731000</v>
      </c>
      <c r="AH34" s="240">
        <f t="shared" si="8"/>
        <v>17631167.460000001</v>
      </c>
      <c r="AI34" s="279">
        <f t="shared" si="8"/>
        <v>43512000</v>
      </c>
      <c r="AJ34" s="246">
        <f t="shared" si="8"/>
        <v>0</v>
      </c>
      <c r="AK34" s="240">
        <f t="shared" si="8"/>
        <v>467.75</v>
      </c>
      <c r="AL34" s="277">
        <f t="shared" si="8"/>
        <v>0</v>
      </c>
      <c r="AM34" s="281">
        <f t="shared" si="8"/>
        <v>13670000</v>
      </c>
      <c r="AN34" s="240">
        <f t="shared" si="8"/>
        <v>6064911.6299999999</v>
      </c>
      <c r="AO34" s="280">
        <f t="shared" si="8"/>
        <v>17862000</v>
      </c>
      <c r="AP34" s="246">
        <f t="shared" si="8"/>
        <v>14341000</v>
      </c>
      <c r="AQ34" s="240">
        <f t="shared" si="8"/>
        <v>5706723.5899999999</v>
      </c>
      <c r="AR34" s="282">
        <f t="shared" si="8"/>
        <v>13650000</v>
      </c>
      <c r="AS34" s="246">
        <f t="shared" si="8"/>
        <v>10720000</v>
      </c>
      <c r="AT34" s="240">
        <f t="shared" si="8"/>
        <v>5859064.4900000002</v>
      </c>
      <c r="AU34" s="279">
        <f t="shared" si="8"/>
        <v>12000000</v>
      </c>
    </row>
    <row r="35" spans="1:47" x14ac:dyDescent="0.2">
      <c r="A35" s="236">
        <v>19</v>
      </c>
      <c r="B35" s="237" t="s">
        <v>1380</v>
      </c>
      <c r="C35" s="238" t="s">
        <v>91</v>
      </c>
      <c r="D35" s="239">
        <f>SUM(I35,L35,AG35)</f>
        <v>12564926</v>
      </c>
      <c r="E35" s="239">
        <f>SUM(J35,M35,AH35)</f>
        <v>5761457</v>
      </c>
      <c r="F35" s="241">
        <f t="shared" si="7"/>
        <v>0.45853489308253786</v>
      </c>
      <c r="G35" s="242">
        <f>SUM(K35,N35,AI35)</f>
        <v>19791030</v>
      </c>
      <c r="H35" s="243"/>
      <c r="I35" s="244">
        <v>2076408</v>
      </c>
      <c r="J35" s="283">
        <v>825019</v>
      </c>
      <c r="K35" s="258">
        <v>2195214</v>
      </c>
      <c r="L35" s="245">
        <f>SUM(O35,R35,U35,X35,AA35,AD35)</f>
        <v>8168086</v>
      </c>
      <c r="M35" s="248">
        <f t="shared" si="4"/>
        <v>3773143.52</v>
      </c>
      <c r="N35" s="284">
        <f>SUM(Q35,T35,W35,Z35,AC35,AF35)</f>
        <v>14176176</v>
      </c>
      <c r="O35" s="248">
        <v>903842</v>
      </c>
      <c r="P35" s="283">
        <v>237477.44</v>
      </c>
      <c r="Q35" s="250">
        <v>1044862</v>
      </c>
      <c r="R35" s="251">
        <v>2096400</v>
      </c>
      <c r="S35" s="283">
        <v>713312.56</v>
      </c>
      <c r="T35" s="250">
        <v>3532984</v>
      </c>
      <c r="U35" s="252">
        <v>386532</v>
      </c>
      <c r="V35" s="285">
        <v>172164.52</v>
      </c>
      <c r="W35" s="258">
        <v>442694</v>
      </c>
      <c r="X35" s="254"/>
      <c r="Y35" s="255"/>
      <c r="Z35" s="250">
        <v>560000</v>
      </c>
      <c r="AA35" s="254"/>
      <c r="AB35" s="255"/>
      <c r="AC35" s="280">
        <v>1120000</v>
      </c>
      <c r="AD35" s="248">
        <v>4781312</v>
      </c>
      <c r="AE35" s="285">
        <v>2650189</v>
      </c>
      <c r="AF35" s="279">
        <v>7475636</v>
      </c>
      <c r="AG35" s="248">
        <f>SUM(AJ35,AM35,AP35,AS35)</f>
        <v>2320432</v>
      </c>
      <c r="AH35" s="244">
        <f>SUM(AK35,AN35,AQ35,AT35)</f>
        <v>1163294.48</v>
      </c>
      <c r="AI35" s="256">
        <f>SUM(AL35,AO35,AR35,AU35)</f>
        <v>3419640</v>
      </c>
      <c r="AJ35" s="244"/>
      <c r="AK35" s="285">
        <v>354134</v>
      </c>
      <c r="AL35" s="277">
        <v>1352554</v>
      </c>
      <c r="AM35" s="286">
        <v>1999370</v>
      </c>
      <c r="AN35" s="285">
        <v>663959.11</v>
      </c>
      <c r="AO35" s="250">
        <v>1524418</v>
      </c>
      <c r="AP35" s="285">
        <v>321062</v>
      </c>
      <c r="AQ35" s="248">
        <v>134635.57</v>
      </c>
      <c r="AR35" s="260">
        <v>373282</v>
      </c>
      <c r="AS35" s="248">
        <v>0</v>
      </c>
      <c r="AT35" s="285">
        <v>10565.8</v>
      </c>
      <c r="AU35" s="279">
        <v>169386</v>
      </c>
    </row>
    <row r="36" spans="1:47" x14ac:dyDescent="0.2">
      <c r="A36" s="236">
        <v>20</v>
      </c>
      <c r="B36" s="237" t="s">
        <v>1381</v>
      </c>
      <c r="C36" s="238" t="s">
        <v>92</v>
      </c>
      <c r="D36" s="239">
        <f t="shared" ref="D36:E41" si="10">SUM(I36,L36,AG36)</f>
        <v>1302000</v>
      </c>
      <c r="E36" s="239">
        <f t="shared" si="10"/>
        <v>378998</v>
      </c>
      <c r="F36" s="241">
        <f t="shared" si="7"/>
        <v>0.29108909370199693</v>
      </c>
      <c r="G36" s="287">
        <f t="shared" si="1"/>
        <v>1250000</v>
      </c>
      <c r="H36" s="243"/>
      <c r="I36" s="244">
        <v>28000</v>
      </c>
      <c r="J36" s="283">
        <v>12000</v>
      </c>
      <c r="K36" s="258">
        <v>50000</v>
      </c>
      <c r="L36" s="245">
        <f t="shared" si="4"/>
        <v>672000</v>
      </c>
      <c r="M36" s="248">
        <f t="shared" si="4"/>
        <v>163720</v>
      </c>
      <c r="N36" s="247">
        <f t="shared" si="4"/>
        <v>600000</v>
      </c>
      <c r="O36" s="248">
        <v>0</v>
      </c>
      <c r="P36" s="283">
        <v>0</v>
      </c>
      <c r="Q36" s="250">
        <v>0</v>
      </c>
      <c r="R36" s="251">
        <v>0</v>
      </c>
      <c r="S36" s="283">
        <v>0</v>
      </c>
      <c r="T36" s="250">
        <v>0</v>
      </c>
      <c r="U36" s="252">
        <v>0</v>
      </c>
      <c r="V36" s="285">
        <v>0</v>
      </c>
      <c r="W36" s="258">
        <v>0</v>
      </c>
      <c r="X36" s="254"/>
      <c r="Y36" s="255"/>
      <c r="Z36" s="250">
        <v>0</v>
      </c>
      <c r="AA36" s="254"/>
      <c r="AB36" s="255"/>
      <c r="AC36" s="250">
        <v>0</v>
      </c>
      <c r="AD36" s="248">
        <v>672000</v>
      </c>
      <c r="AE36" s="285">
        <v>163720</v>
      </c>
      <c r="AF36" s="256">
        <v>600000</v>
      </c>
      <c r="AG36" s="248">
        <f t="shared" ref="AG36:AI41" si="11">SUM(AJ36,AM36,AP36,AS36)</f>
        <v>602000</v>
      </c>
      <c r="AH36" s="244">
        <f t="shared" si="11"/>
        <v>203278</v>
      </c>
      <c r="AI36" s="256">
        <f t="shared" si="11"/>
        <v>600000</v>
      </c>
      <c r="AJ36" s="244"/>
      <c r="AK36" s="285">
        <v>95360</v>
      </c>
      <c r="AL36" s="258">
        <v>200000</v>
      </c>
      <c r="AM36" s="286">
        <v>532000</v>
      </c>
      <c r="AN36" s="285">
        <v>107918</v>
      </c>
      <c r="AO36" s="250">
        <v>200000</v>
      </c>
      <c r="AP36" s="285">
        <v>0</v>
      </c>
      <c r="AQ36" s="248">
        <v>0</v>
      </c>
      <c r="AR36" s="260">
        <v>200000</v>
      </c>
      <c r="AS36" s="248">
        <v>70000</v>
      </c>
      <c r="AT36" s="285">
        <v>0</v>
      </c>
      <c r="AU36" s="256">
        <v>0</v>
      </c>
    </row>
    <row r="37" spans="1:47" x14ac:dyDescent="0.2">
      <c r="A37" s="236">
        <v>23</v>
      </c>
      <c r="B37" s="237" t="s">
        <v>1382</v>
      </c>
      <c r="C37" s="238" t="s">
        <v>96</v>
      </c>
      <c r="D37" s="239">
        <f t="shared" si="10"/>
        <v>3141233</v>
      </c>
      <c r="E37" s="239">
        <f t="shared" si="10"/>
        <v>1468022</v>
      </c>
      <c r="F37" s="241">
        <f t="shared" si="7"/>
        <v>0.46733941735617829</v>
      </c>
      <c r="G37" s="287">
        <f t="shared" si="1"/>
        <v>4947757.5</v>
      </c>
      <c r="H37" s="243"/>
      <c r="I37" s="244">
        <v>519102</v>
      </c>
      <c r="J37" s="283">
        <v>206253</v>
      </c>
      <c r="K37" s="287">
        <f>K35/100*25</f>
        <v>548803.5</v>
      </c>
      <c r="L37" s="245">
        <f t="shared" si="4"/>
        <v>2042022</v>
      </c>
      <c r="M37" s="248">
        <f t="shared" si="4"/>
        <v>973041</v>
      </c>
      <c r="N37" s="247">
        <f t="shared" si="4"/>
        <v>3544044</v>
      </c>
      <c r="O37" s="248">
        <v>225961</v>
      </c>
      <c r="P37" s="283">
        <v>59398</v>
      </c>
      <c r="Q37" s="288">
        <f>Q35/100*25</f>
        <v>261215.50000000003</v>
      </c>
      <c r="R37" s="251">
        <v>524100</v>
      </c>
      <c r="S37" s="283">
        <v>177480</v>
      </c>
      <c r="T37" s="288">
        <f>T35/100*25</f>
        <v>883245.99999999988</v>
      </c>
      <c r="U37" s="252">
        <v>96633</v>
      </c>
      <c r="V37" s="285">
        <v>42882</v>
      </c>
      <c r="W37" s="288">
        <f>W35/100*25</f>
        <v>110673.49999999999</v>
      </c>
      <c r="X37" s="254"/>
      <c r="Y37" s="255"/>
      <c r="Z37" s="287">
        <f>Z35/100*25</f>
        <v>140000</v>
      </c>
      <c r="AA37" s="254"/>
      <c r="AB37" s="255"/>
      <c r="AC37" s="288">
        <f>AC35/100*25</f>
        <v>280000</v>
      </c>
      <c r="AD37" s="248">
        <v>1195328</v>
      </c>
      <c r="AE37" s="285">
        <v>693281</v>
      </c>
      <c r="AF37" s="256">
        <f>AF35/100*25</f>
        <v>1868909</v>
      </c>
      <c r="AG37" s="248">
        <f t="shared" si="11"/>
        <v>580109</v>
      </c>
      <c r="AH37" s="244">
        <f t="shared" si="11"/>
        <v>288728</v>
      </c>
      <c r="AI37" s="256">
        <f t="shared" si="11"/>
        <v>854910</v>
      </c>
      <c r="AJ37" s="244"/>
      <c r="AK37" s="285">
        <v>87647</v>
      </c>
      <c r="AL37" s="288">
        <f>AL35/100*25</f>
        <v>338138.5</v>
      </c>
      <c r="AM37" s="286">
        <v>499843</v>
      </c>
      <c r="AN37" s="285">
        <v>165633</v>
      </c>
      <c r="AO37" s="288">
        <f>AO35/100*25</f>
        <v>381104.5</v>
      </c>
      <c r="AP37" s="285">
        <v>80266</v>
      </c>
      <c r="AQ37" s="248">
        <v>32703</v>
      </c>
      <c r="AR37" s="288">
        <f>AR35/100*25</f>
        <v>93320.5</v>
      </c>
      <c r="AS37" s="248">
        <v>0</v>
      </c>
      <c r="AT37" s="285">
        <v>2745</v>
      </c>
      <c r="AU37" s="289">
        <f>AU35/100*25</f>
        <v>42346.5</v>
      </c>
    </row>
    <row r="38" spans="1:47" x14ac:dyDescent="0.2">
      <c r="A38" s="236">
        <v>24</v>
      </c>
      <c r="B38" s="237" t="s">
        <v>1383</v>
      </c>
      <c r="C38" s="238" t="s">
        <v>97</v>
      </c>
      <c r="D38" s="239">
        <f t="shared" si="10"/>
        <v>1130844</v>
      </c>
      <c r="E38" s="239">
        <f t="shared" si="10"/>
        <v>528504</v>
      </c>
      <c r="F38" s="241">
        <f t="shared" si="7"/>
        <v>0.46735358723219117</v>
      </c>
      <c r="G38" s="287">
        <f t="shared" si="1"/>
        <v>1781192.6999999997</v>
      </c>
      <c r="H38" s="243"/>
      <c r="I38" s="244">
        <v>186877</v>
      </c>
      <c r="J38" s="283">
        <v>74251</v>
      </c>
      <c r="K38" s="287">
        <f>K35/100*9</f>
        <v>197569.26</v>
      </c>
      <c r="L38" s="245">
        <f t="shared" si="4"/>
        <v>735128</v>
      </c>
      <c r="M38" s="248">
        <f t="shared" si="4"/>
        <v>350291</v>
      </c>
      <c r="N38" s="247">
        <f t="shared" si="4"/>
        <v>1275855.8399999999</v>
      </c>
      <c r="O38" s="248">
        <v>81346</v>
      </c>
      <c r="P38" s="283">
        <v>21384</v>
      </c>
      <c r="Q38" s="288">
        <f>Q35/100*9</f>
        <v>94037.58</v>
      </c>
      <c r="R38" s="251">
        <v>188676</v>
      </c>
      <c r="S38" s="283">
        <v>63893</v>
      </c>
      <c r="T38" s="288">
        <f>T35/100*9</f>
        <v>317968.55999999994</v>
      </c>
      <c r="U38" s="252">
        <v>34788</v>
      </c>
      <c r="V38" s="285">
        <v>15438</v>
      </c>
      <c r="W38" s="288">
        <f>W35/100*9</f>
        <v>39842.46</v>
      </c>
      <c r="X38" s="254"/>
      <c r="Y38" s="255"/>
      <c r="Z38" s="287">
        <f>Z35/100*9</f>
        <v>50400</v>
      </c>
      <c r="AA38" s="254"/>
      <c r="AB38" s="255"/>
      <c r="AC38" s="288">
        <f>AC35/100*9</f>
        <v>100800</v>
      </c>
      <c r="AD38" s="248">
        <v>430318</v>
      </c>
      <c r="AE38" s="285">
        <v>249576</v>
      </c>
      <c r="AF38" s="256">
        <f>AF35/100*9</f>
        <v>672807.24</v>
      </c>
      <c r="AG38" s="248">
        <f t="shared" si="11"/>
        <v>208839</v>
      </c>
      <c r="AH38" s="244">
        <f t="shared" si="11"/>
        <v>103962</v>
      </c>
      <c r="AI38" s="256">
        <f t="shared" si="11"/>
        <v>307767.59999999998</v>
      </c>
      <c r="AJ38" s="244"/>
      <c r="AK38" s="285">
        <v>31571</v>
      </c>
      <c r="AL38" s="288">
        <f>AL35/100*9</f>
        <v>121729.86000000002</v>
      </c>
      <c r="AM38" s="286">
        <v>179943</v>
      </c>
      <c r="AN38" s="285">
        <v>59628</v>
      </c>
      <c r="AO38" s="288">
        <f>AO35/100*9</f>
        <v>137197.62</v>
      </c>
      <c r="AP38" s="285">
        <v>28896</v>
      </c>
      <c r="AQ38" s="248">
        <v>11774</v>
      </c>
      <c r="AR38" s="288">
        <f>AR35/100*9</f>
        <v>33595.380000000005</v>
      </c>
      <c r="AS38" s="248">
        <v>0</v>
      </c>
      <c r="AT38" s="285">
        <v>989</v>
      </c>
      <c r="AU38" s="289">
        <f>AU35/100*9</f>
        <v>15244.74</v>
      </c>
    </row>
    <row r="39" spans="1:47" x14ac:dyDescent="0.2">
      <c r="A39" s="236">
        <v>25</v>
      </c>
      <c r="B39" s="237" t="s">
        <v>1384</v>
      </c>
      <c r="C39" s="238" t="s">
        <v>949</v>
      </c>
      <c r="D39" s="239">
        <f t="shared" si="10"/>
        <v>318700</v>
      </c>
      <c r="E39" s="239">
        <f t="shared" si="10"/>
        <v>128494</v>
      </c>
      <c r="F39" s="241">
        <f t="shared" si="7"/>
        <v>0.40318167555695011</v>
      </c>
      <c r="G39" s="1774">
        <f t="shared" si="1"/>
        <v>662640</v>
      </c>
      <c r="H39" s="243"/>
      <c r="I39" s="244">
        <v>31860</v>
      </c>
      <c r="J39" s="283">
        <v>16318</v>
      </c>
      <c r="K39" s="258">
        <v>66264</v>
      </c>
      <c r="L39" s="245">
        <f t="shared" si="4"/>
        <v>233740</v>
      </c>
      <c r="M39" s="248">
        <f t="shared" si="4"/>
        <v>90200</v>
      </c>
      <c r="N39" s="247">
        <f t="shared" si="4"/>
        <v>496980</v>
      </c>
      <c r="O39" s="248">
        <v>21340</v>
      </c>
      <c r="P39" s="283">
        <v>0</v>
      </c>
      <c r="Q39" s="250">
        <v>33132</v>
      </c>
      <c r="R39" s="251">
        <v>63720</v>
      </c>
      <c r="S39" s="283">
        <v>0</v>
      </c>
      <c r="T39" s="250">
        <v>115962</v>
      </c>
      <c r="U39" s="252">
        <v>10620</v>
      </c>
      <c r="V39" s="285">
        <v>0</v>
      </c>
      <c r="W39" s="258">
        <v>16566</v>
      </c>
      <c r="X39" s="254"/>
      <c r="Y39" s="255"/>
      <c r="Z39" s="250">
        <v>16566</v>
      </c>
      <c r="AA39" s="254"/>
      <c r="AB39" s="255"/>
      <c r="AC39" s="250">
        <v>33132</v>
      </c>
      <c r="AD39" s="248">
        <v>138060</v>
      </c>
      <c r="AE39" s="285">
        <v>90200</v>
      </c>
      <c r="AF39" s="256">
        <v>281622</v>
      </c>
      <c r="AG39" s="248">
        <f t="shared" si="11"/>
        <v>53100</v>
      </c>
      <c r="AH39" s="244">
        <f t="shared" si="11"/>
        <v>21976</v>
      </c>
      <c r="AI39" s="256">
        <f t="shared" si="11"/>
        <v>99396</v>
      </c>
      <c r="AJ39" s="244"/>
      <c r="AK39" s="285">
        <v>21976</v>
      </c>
      <c r="AL39" s="258">
        <v>49698</v>
      </c>
      <c r="AM39" s="286">
        <v>42480</v>
      </c>
      <c r="AN39" s="285">
        <v>0</v>
      </c>
      <c r="AO39" s="250">
        <v>33132</v>
      </c>
      <c r="AP39" s="285">
        <v>10620</v>
      </c>
      <c r="AQ39" s="248">
        <v>0</v>
      </c>
      <c r="AR39" s="260">
        <v>16566</v>
      </c>
      <c r="AS39" s="248">
        <v>0</v>
      </c>
      <c r="AT39" s="285"/>
      <c r="AU39" s="256">
        <v>0</v>
      </c>
    </row>
    <row r="40" spans="1:47" x14ac:dyDescent="0.2">
      <c r="A40" s="236">
        <v>26</v>
      </c>
      <c r="B40" s="237" t="s">
        <v>1385</v>
      </c>
      <c r="C40" s="238" t="s">
        <v>399</v>
      </c>
      <c r="D40" s="239">
        <f t="shared" si="10"/>
        <v>251298</v>
      </c>
      <c r="E40" s="239">
        <f t="shared" si="10"/>
        <v>102210</v>
      </c>
      <c r="F40" s="241">
        <f t="shared" si="7"/>
        <v>0.4067282668385741</v>
      </c>
      <c r="G40" s="1774">
        <f t="shared" si="1"/>
        <v>593730.9</v>
      </c>
      <c r="H40" s="243"/>
      <c r="I40" s="244">
        <v>41528</v>
      </c>
      <c r="J40" s="283">
        <v>14983</v>
      </c>
      <c r="K40" s="287">
        <f>K35/100*3</f>
        <v>65856.42</v>
      </c>
      <c r="L40" s="245">
        <f t="shared" si="4"/>
        <v>163362</v>
      </c>
      <c r="M40" s="248">
        <f t="shared" si="4"/>
        <v>67821</v>
      </c>
      <c r="N40" s="247">
        <f t="shared" si="4"/>
        <v>425285.28</v>
      </c>
      <c r="O40" s="248">
        <v>18077</v>
      </c>
      <c r="P40" s="283">
        <v>4510</v>
      </c>
      <c r="Q40" s="288">
        <f>Q35/100*3</f>
        <v>31345.86</v>
      </c>
      <c r="R40" s="251">
        <v>41928</v>
      </c>
      <c r="S40" s="283">
        <v>12080</v>
      </c>
      <c r="T40" s="288">
        <f>T35/100*3</f>
        <v>105989.51999999999</v>
      </c>
      <c r="U40" s="252">
        <v>7731</v>
      </c>
      <c r="V40" s="285">
        <v>3381</v>
      </c>
      <c r="W40" s="288">
        <f>W35/100*3</f>
        <v>13280.82</v>
      </c>
      <c r="X40" s="254"/>
      <c r="Y40" s="255"/>
      <c r="Z40" s="287">
        <f>Z35/100*3</f>
        <v>16800</v>
      </c>
      <c r="AA40" s="254"/>
      <c r="AB40" s="255"/>
      <c r="AC40" s="288">
        <f>AC35/100*3</f>
        <v>33600</v>
      </c>
      <c r="AD40" s="248">
        <v>95626</v>
      </c>
      <c r="AE40" s="285">
        <v>47850</v>
      </c>
      <c r="AF40" s="256">
        <f>AF35/100*3</f>
        <v>224269.08000000002</v>
      </c>
      <c r="AG40" s="248">
        <f t="shared" si="11"/>
        <v>46408</v>
      </c>
      <c r="AH40" s="244">
        <f t="shared" si="11"/>
        <v>19406</v>
      </c>
      <c r="AI40" s="256">
        <f t="shared" si="11"/>
        <v>102589.20000000001</v>
      </c>
      <c r="AJ40" s="244"/>
      <c r="AK40" s="285">
        <v>5461</v>
      </c>
      <c r="AL40" s="288">
        <f>AL35/100*3</f>
        <v>40576.620000000003</v>
      </c>
      <c r="AM40" s="286">
        <v>39987</v>
      </c>
      <c r="AN40" s="285">
        <v>11875</v>
      </c>
      <c r="AO40" s="288">
        <f>AO35/100*3</f>
        <v>45732.54</v>
      </c>
      <c r="AP40" s="290">
        <v>6421</v>
      </c>
      <c r="AQ40" s="248">
        <v>2070</v>
      </c>
      <c r="AR40" s="288">
        <f>AR35/100*3</f>
        <v>11198.460000000001</v>
      </c>
      <c r="AS40" s="248">
        <v>0</v>
      </c>
      <c r="AT40" s="285"/>
      <c r="AU40" s="289">
        <f>AU35/100*3</f>
        <v>5081.58</v>
      </c>
    </row>
    <row r="41" spans="1:47" x14ac:dyDescent="0.2">
      <c r="A41" s="236">
        <v>27</v>
      </c>
      <c r="B41" s="237" t="s">
        <v>1386</v>
      </c>
      <c r="C41" s="238" t="s">
        <v>98</v>
      </c>
      <c r="D41" s="239">
        <f t="shared" si="10"/>
        <v>125794</v>
      </c>
      <c r="E41" s="239">
        <f t="shared" si="10"/>
        <v>11824</v>
      </c>
      <c r="F41" s="241">
        <f t="shared" si="7"/>
        <v>9.3994944114981632E-2</v>
      </c>
      <c r="G41" s="287">
        <f t="shared" si="1"/>
        <v>83122.326000000001</v>
      </c>
      <c r="H41" s="243"/>
      <c r="I41" s="244">
        <v>20764</v>
      </c>
      <c r="J41" s="283">
        <v>11824</v>
      </c>
      <c r="K41" s="258">
        <f>K35/1000*4.2</f>
        <v>9219.8988000000008</v>
      </c>
      <c r="L41" s="245">
        <f t="shared" si="4"/>
        <v>81680</v>
      </c>
      <c r="M41" s="248">
        <f t="shared" si="4"/>
        <v>0</v>
      </c>
      <c r="N41" s="247">
        <f t="shared" si="4"/>
        <v>59539.939200000008</v>
      </c>
      <c r="O41" s="248">
        <v>9038</v>
      </c>
      <c r="P41" s="283">
        <v>0</v>
      </c>
      <c r="Q41" s="291">
        <f>Q35/1000*4.2</f>
        <v>4388.4204000000009</v>
      </c>
      <c r="R41" s="251">
        <v>20964</v>
      </c>
      <c r="S41" s="283">
        <v>0</v>
      </c>
      <c r="T41" s="291">
        <f>T35/1000*4.2</f>
        <v>14838.532800000001</v>
      </c>
      <c r="U41" s="252">
        <v>3865</v>
      </c>
      <c r="V41" s="285">
        <v>0</v>
      </c>
      <c r="W41" s="291">
        <f>W35/1000*4.2</f>
        <v>1859.3148000000001</v>
      </c>
      <c r="X41" s="254"/>
      <c r="Y41" s="255"/>
      <c r="Z41" s="258">
        <f>Z35/1000*4.2</f>
        <v>2352</v>
      </c>
      <c r="AA41" s="254"/>
      <c r="AB41" s="255"/>
      <c r="AC41" s="258">
        <f>AC35/1000*4.2</f>
        <v>4704</v>
      </c>
      <c r="AD41" s="248">
        <v>47813</v>
      </c>
      <c r="AE41" s="285">
        <v>0</v>
      </c>
      <c r="AF41" s="256">
        <f>AF35/1000*4.2</f>
        <v>31397.671200000004</v>
      </c>
      <c r="AG41" s="248">
        <f t="shared" si="11"/>
        <v>23350</v>
      </c>
      <c r="AH41" s="244">
        <f t="shared" si="11"/>
        <v>0</v>
      </c>
      <c r="AI41" s="256">
        <f t="shared" si="11"/>
        <v>14362.488000000001</v>
      </c>
      <c r="AJ41" s="244"/>
      <c r="AK41" s="285"/>
      <c r="AL41" s="258">
        <f>AL35/1000*4.2</f>
        <v>5680.7268000000004</v>
      </c>
      <c r="AM41" s="286">
        <v>19994</v>
      </c>
      <c r="AN41" s="285">
        <v>0</v>
      </c>
      <c r="AO41" s="258">
        <f>AO35/1000*4.2</f>
        <v>6402.5555999999997</v>
      </c>
      <c r="AP41" s="285">
        <v>3356</v>
      </c>
      <c r="AQ41" s="248">
        <v>0</v>
      </c>
      <c r="AR41" s="291">
        <f>AR35/1000*4.2</f>
        <v>1567.7844</v>
      </c>
      <c r="AS41" s="248">
        <v>0</v>
      </c>
      <c r="AT41" s="285"/>
      <c r="AU41" s="289">
        <f>AU35/1000*4.2</f>
        <v>711.4212</v>
      </c>
    </row>
    <row r="42" spans="1:47" x14ac:dyDescent="0.2">
      <c r="A42" s="292">
        <v>28</v>
      </c>
      <c r="B42" s="293" t="s">
        <v>99</v>
      </c>
      <c r="C42" s="294" t="s">
        <v>151</v>
      </c>
      <c r="D42" s="295">
        <f>SUM(D35:D41)</f>
        <v>18834795</v>
      </c>
      <c r="E42" s="295">
        <f>SUM(E35:E41)</f>
        <v>8379509</v>
      </c>
      <c r="F42" s="296">
        <f t="shared" si="7"/>
        <v>0.44489515282751951</v>
      </c>
      <c r="G42" s="297">
        <f>SUM(G35:G41)</f>
        <v>29109473.425999999</v>
      </c>
      <c r="H42" s="243"/>
      <c r="I42" s="295">
        <f t="shared" ref="I42:AU42" si="12">SUM(I35:I41)</f>
        <v>2904539</v>
      </c>
      <c r="J42" s="295">
        <f t="shared" si="12"/>
        <v>1160648</v>
      </c>
      <c r="K42" s="298">
        <f t="shared" si="12"/>
        <v>3132927.0787999998</v>
      </c>
      <c r="L42" s="299">
        <f t="shared" si="12"/>
        <v>12096018</v>
      </c>
      <c r="M42" s="295">
        <f t="shared" si="12"/>
        <v>5418216.5199999996</v>
      </c>
      <c r="N42" s="300">
        <f>SUM(N35:N41)</f>
        <v>20577881.0592</v>
      </c>
      <c r="O42" s="301">
        <f t="shared" si="12"/>
        <v>1259604</v>
      </c>
      <c r="P42" s="295">
        <f t="shared" si="12"/>
        <v>322769.44</v>
      </c>
      <c r="Q42" s="302">
        <f t="shared" si="12"/>
        <v>1468981.3604000001</v>
      </c>
      <c r="R42" s="301">
        <f t="shared" si="12"/>
        <v>2935788</v>
      </c>
      <c r="S42" s="295">
        <f t="shared" si="12"/>
        <v>966765.56</v>
      </c>
      <c r="T42" s="297">
        <f t="shared" si="12"/>
        <v>4970988.6127999993</v>
      </c>
      <c r="U42" s="295">
        <f t="shared" si="12"/>
        <v>540169</v>
      </c>
      <c r="V42" s="295">
        <f t="shared" si="12"/>
        <v>233865.52</v>
      </c>
      <c r="W42" s="298">
        <f t="shared" si="12"/>
        <v>624916.09479999996</v>
      </c>
      <c r="X42" s="303">
        <f t="shared" si="12"/>
        <v>0</v>
      </c>
      <c r="Y42" s="295">
        <f t="shared" si="12"/>
        <v>0</v>
      </c>
      <c r="Z42" s="302">
        <f>SUM(Z35:Z41)</f>
        <v>786118</v>
      </c>
      <c r="AA42" s="303">
        <f t="shared" si="12"/>
        <v>0</v>
      </c>
      <c r="AB42" s="295">
        <f t="shared" si="12"/>
        <v>0</v>
      </c>
      <c r="AC42" s="302">
        <f t="shared" si="12"/>
        <v>1572236</v>
      </c>
      <c r="AD42" s="301">
        <f t="shared" si="12"/>
        <v>7360457</v>
      </c>
      <c r="AE42" s="295">
        <f t="shared" si="12"/>
        <v>3894816</v>
      </c>
      <c r="AF42" s="300">
        <f t="shared" si="12"/>
        <v>11154640.9912</v>
      </c>
      <c r="AG42" s="301">
        <f t="shared" si="12"/>
        <v>3834238</v>
      </c>
      <c r="AH42" s="295">
        <f t="shared" si="12"/>
        <v>1800644.48</v>
      </c>
      <c r="AI42" s="300">
        <f>SUM(AI35:AI41)</f>
        <v>5398665.2879999997</v>
      </c>
      <c r="AJ42" s="301">
        <f t="shared" si="12"/>
        <v>0</v>
      </c>
      <c r="AK42" s="295">
        <f t="shared" si="12"/>
        <v>596149</v>
      </c>
      <c r="AL42" s="298">
        <f t="shared" si="12"/>
        <v>2108377.7067999998</v>
      </c>
      <c r="AM42" s="303">
        <f t="shared" si="12"/>
        <v>3313617</v>
      </c>
      <c r="AN42" s="295">
        <f t="shared" si="12"/>
        <v>1009013.11</v>
      </c>
      <c r="AO42" s="302">
        <f t="shared" si="12"/>
        <v>2327987.2156000002</v>
      </c>
      <c r="AP42" s="301">
        <f t="shared" si="12"/>
        <v>450621</v>
      </c>
      <c r="AQ42" s="295">
        <f t="shared" si="12"/>
        <v>181182.57</v>
      </c>
      <c r="AR42" s="304">
        <f t="shared" si="12"/>
        <v>729530.12439999997</v>
      </c>
      <c r="AS42" s="301">
        <f t="shared" si="12"/>
        <v>70000</v>
      </c>
      <c r="AT42" s="295">
        <f t="shared" si="12"/>
        <v>14299.8</v>
      </c>
      <c r="AU42" s="300">
        <f t="shared" si="12"/>
        <v>232770.24119999999</v>
      </c>
    </row>
    <row r="43" spans="1:47" x14ac:dyDescent="0.2">
      <c r="A43" s="236">
        <v>29</v>
      </c>
      <c r="B43" s="237" t="s">
        <v>1387</v>
      </c>
      <c r="C43" s="238" t="s">
        <v>687</v>
      </c>
      <c r="D43" s="239">
        <f>SUM(D44:D50)</f>
        <v>2126000</v>
      </c>
      <c r="E43" s="305">
        <f>SUM(E44:E50)</f>
        <v>998083</v>
      </c>
      <c r="F43" s="241">
        <f t="shared" si="7"/>
        <v>0.46946519285042332</v>
      </c>
      <c r="G43" s="287">
        <f>SUM(G44:G50)</f>
        <v>5545000</v>
      </c>
      <c r="H43" s="243"/>
      <c r="I43" s="244"/>
      <c r="J43" s="266"/>
      <c r="K43" s="258"/>
      <c r="L43" s="245">
        <f>SUM(L44:L50)</f>
        <v>2126000</v>
      </c>
      <c r="M43" s="248">
        <f>SUM(M44:M50)</f>
        <v>998083</v>
      </c>
      <c r="N43" s="247">
        <f>SUM(Q43,T43,W43,Z43,AC43,AF43)</f>
        <v>5480000</v>
      </c>
      <c r="O43" s="248">
        <f>SUM(O44:O50)</f>
        <v>350000</v>
      </c>
      <c r="P43" s="248">
        <f t="shared" ref="P43:Q43" si="13">SUM(P44:P50)</f>
        <v>324251</v>
      </c>
      <c r="Q43" s="306">
        <f t="shared" si="13"/>
        <v>0</v>
      </c>
      <c r="R43" s="248">
        <f>SUM(R44:R50)</f>
        <v>950000</v>
      </c>
      <c r="S43" s="248">
        <f t="shared" ref="S43:T43" si="14">SUM(S44:S50)</f>
        <v>416300.09</v>
      </c>
      <c r="T43" s="307">
        <f t="shared" si="14"/>
        <v>2825000</v>
      </c>
      <c r="U43" s="248">
        <f>SUM(U44:U50)</f>
        <v>0</v>
      </c>
      <c r="V43" s="248">
        <f t="shared" ref="V43:W43" si="15">SUM(V44:V50)</f>
        <v>0</v>
      </c>
      <c r="W43" s="308">
        <f t="shared" si="15"/>
        <v>0</v>
      </c>
      <c r="X43" s="254">
        <f>SUM(X44:X50)</f>
        <v>0</v>
      </c>
      <c r="Y43" s="255">
        <f t="shared" ref="Y43:Z43" si="16">SUM(Y44:Y50)</f>
        <v>0</v>
      </c>
      <c r="Z43" s="309">
        <f t="shared" si="16"/>
        <v>770000</v>
      </c>
      <c r="AA43" s="254">
        <f>SUM(AA44:AA50)</f>
        <v>0</v>
      </c>
      <c r="AB43" s="255">
        <f t="shared" ref="AB43:AC43" si="17">SUM(AB44:AB50)</f>
        <v>0</v>
      </c>
      <c r="AC43" s="309">
        <f t="shared" si="17"/>
        <v>500000</v>
      </c>
      <c r="AD43" s="248">
        <f>SUM(AD44:AD50)</f>
        <v>826000</v>
      </c>
      <c r="AE43" s="248">
        <f t="shared" ref="AE43" si="18">SUM(AE44:AE50)</f>
        <v>257531.91</v>
      </c>
      <c r="AF43" s="310">
        <f>SUM(AF44:AF50)</f>
        <v>1385000</v>
      </c>
      <c r="AG43" s="248">
        <f t="shared" ref="AG43:AI43" si="19">SUM(AG44:AG50)</f>
        <v>0</v>
      </c>
      <c r="AH43" s="248">
        <f t="shared" si="19"/>
        <v>0</v>
      </c>
      <c r="AI43" s="310">
        <f t="shared" si="19"/>
        <v>65000</v>
      </c>
      <c r="AJ43" s="248">
        <f>SUM(AJ44:AJ50)</f>
        <v>0</v>
      </c>
      <c r="AK43" s="248">
        <f t="shared" ref="AK43:AL43" si="20">SUM(AK44:AK50)</f>
        <v>0</v>
      </c>
      <c r="AL43" s="308">
        <f t="shared" si="20"/>
        <v>0</v>
      </c>
      <c r="AM43" s="286">
        <f>SUM(AM44:AM50)</f>
        <v>0</v>
      </c>
      <c r="AN43" s="248">
        <f t="shared" ref="AN43:AO43" si="21">SUM(AN44:AN50)</f>
        <v>0</v>
      </c>
      <c r="AO43" s="309">
        <f t="shared" si="21"/>
        <v>65000</v>
      </c>
      <c r="AP43" s="248">
        <f>SUM(AP44:AP50)</f>
        <v>0</v>
      </c>
      <c r="AQ43" s="248">
        <f t="shared" ref="AQ43:AR43" si="22">SUM(AQ44:AQ50)</f>
        <v>0</v>
      </c>
      <c r="AR43" s="311">
        <f t="shared" si="22"/>
        <v>0</v>
      </c>
      <c r="AS43" s="248">
        <f>SUM(AS44:AS50)</f>
        <v>0</v>
      </c>
      <c r="AT43" s="248">
        <f t="shared" ref="AT43:AU43" si="23">SUM(AT44:AT50)</f>
        <v>0</v>
      </c>
      <c r="AU43" s="312">
        <f t="shared" si="23"/>
        <v>0</v>
      </c>
    </row>
    <row r="44" spans="1:47" x14ac:dyDescent="0.2">
      <c r="A44" s="236">
        <v>30</v>
      </c>
      <c r="B44" s="237" t="s">
        <v>1366</v>
      </c>
      <c r="C44" s="238" t="s">
        <v>1613</v>
      </c>
      <c r="D44" s="239">
        <f>SUM(I44,L44,AG44)</f>
        <v>350000</v>
      </c>
      <c r="E44" s="239">
        <f>SUM(J44,M44,AH44)</f>
        <v>324251</v>
      </c>
      <c r="F44" s="241">
        <f t="shared" si="7"/>
        <v>0.92643142857142857</v>
      </c>
      <c r="G44" s="287">
        <f>SUM(K44,N44,AI44)</f>
        <v>770000</v>
      </c>
      <c r="H44" s="243"/>
      <c r="I44" s="244"/>
      <c r="J44" s="266"/>
      <c r="K44" s="258"/>
      <c r="L44" s="245">
        <f t="shared" si="4"/>
        <v>350000</v>
      </c>
      <c r="M44" s="248">
        <f t="shared" si="4"/>
        <v>324251</v>
      </c>
      <c r="N44" s="247">
        <f t="shared" si="4"/>
        <v>770000</v>
      </c>
      <c r="O44" s="248">
        <v>350000</v>
      </c>
      <c r="P44" s="283">
        <v>324251</v>
      </c>
      <c r="Q44" s="250"/>
      <c r="R44" s="251"/>
      <c r="S44" s="283"/>
      <c r="T44" s="250"/>
      <c r="U44" s="286"/>
      <c r="V44" s="267"/>
      <c r="W44" s="258"/>
      <c r="X44" s="254"/>
      <c r="Y44" s="255"/>
      <c r="Z44" s="250">
        <v>770000</v>
      </c>
      <c r="AA44" s="254"/>
      <c r="AB44" s="255"/>
      <c r="AC44" s="250"/>
      <c r="AD44" s="248"/>
      <c r="AE44" s="285"/>
      <c r="AF44" s="256"/>
      <c r="AG44" s="248">
        <f>SUM(AJ44,AM44,AP44,AS44)</f>
        <v>0</v>
      </c>
      <c r="AH44" s="244">
        <f>SUM(AK44,AN44,AQ44,AT44)</f>
        <v>0</v>
      </c>
      <c r="AI44" s="256">
        <f t="shared" ref="AI44:AI110" si="24">SUM(AL44,AO44,AR44,AU44)</f>
        <v>0</v>
      </c>
      <c r="AJ44" s="248"/>
      <c r="AK44" s="267"/>
      <c r="AL44" s="258"/>
      <c r="AM44" s="286"/>
      <c r="AN44" s="267"/>
      <c r="AO44" s="250"/>
      <c r="AP44" s="248"/>
      <c r="AQ44" s="267"/>
      <c r="AR44" s="260"/>
      <c r="AS44" s="248"/>
      <c r="AT44" s="267"/>
      <c r="AU44" s="256"/>
    </row>
    <row r="45" spans="1:47" x14ac:dyDescent="0.2">
      <c r="A45" s="236">
        <v>31</v>
      </c>
      <c r="B45" s="237" t="s">
        <v>1366</v>
      </c>
      <c r="C45" s="238" t="s">
        <v>318</v>
      </c>
      <c r="D45" s="239">
        <f t="shared" ref="D45:E54" si="25">SUM(I45,L45,AG45)</f>
        <v>950000</v>
      </c>
      <c r="E45" s="239">
        <f t="shared" si="25"/>
        <v>416300.09</v>
      </c>
      <c r="F45" s="241">
        <f t="shared" si="7"/>
        <v>0.43821062105263159</v>
      </c>
      <c r="G45" s="287">
        <f t="shared" si="1"/>
        <v>950000</v>
      </c>
      <c r="H45" s="243"/>
      <c r="I45" s="244"/>
      <c r="J45" s="266"/>
      <c r="K45" s="258"/>
      <c r="L45" s="245">
        <f t="shared" si="4"/>
        <v>950000</v>
      </c>
      <c r="M45" s="248">
        <f t="shared" si="4"/>
        <v>416300.09</v>
      </c>
      <c r="N45" s="247">
        <f t="shared" si="4"/>
        <v>950000</v>
      </c>
      <c r="O45" s="248"/>
      <c r="P45" s="283"/>
      <c r="Q45" s="250"/>
      <c r="R45" s="251">
        <v>950000</v>
      </c>
      <c r="S45" s="283">
        <v>416300.09</v>
      </c>
      <c r="T45" s="250">
        <v>950000</v>
      </c>
      <c r="U45" s="286"/>
      <c r="V45" s="267"/>
      <c r="W45" s="258"/>
      <c r="X45" s="254"/>
      <c r="Y45" s="255"/>
      <c r="Z45" s="250"/>
      <c r="AA45" s="254"/>
      <c r="AB45" s="255"/>
      <c r="AC45" s="250"/>
      <c r="AD45" s="248"/>
      <c r="AE45" s="285"/>
      <c r="AF45" s="256"/>
      <c r="AG45" s="248">
        <f t="shared" ref="AG45:AH60" si="26">SUM(AJ45,AM45,AP45,AS45)</f>
        <v>0</v>
      </c>
      <c r="AH45" s="244">
        <f t="shared" si="26"/>
        <v>0</v>
      </c>
      <c r="AI45" s="256">
        <f t="shared" si="24"/>
        <v>0</v>
      </c>
      <c r="AJ45" s="248"/>
      <c r="AK45" s="267"/>
      <c r="AL45" s="258"/>
      <c r="AM45" s="286"/>
      <c r="AN45" s="267"/>
      <c r="AO45" s="250"/>
      <c r="AP45" s="248"/>
      <c r="AQ45" s="267"/>
      <c r="AR45" s="260"/>
      <c r="AS45" s="248"/>
      <c r="AT45" s="267"/>
      <c r="AU45" s="256"/>
    </row>
    <row r="46" spans="1:47" x14ac:dyDescent="0.2">
      <c r="A46" s="236">
        <v>32</v>
      </c>
      <c r="B46" s="237" t="s">
        <v>1366</v>
      </c>
      <c r="C46" s="238" t="s">
        <v>1614</v>
      </c>
      <c r="D46" s="239">
        <f t="shared" si="25"/>
        <v>110000</v>
      </c>
      <c r="E46" s="239">
        <f t="shared" si="25"/>
        <v>100712.72</v>
      </c>
      <c r="F46" s="241">
        <f t="shared" si="7"/>
        <v>0.91557018181818184</v>
      </c>
      <c r="G46" s="287">
        <f t="shared" si="1"/>
        <v>1875000</v>
      </c>
      <c r="H46" s="243"/>
      <c r="I46" s="244"/>
      <c r="J46" s="266"/>
      <c r="K46" s="258"/>
      <c r="L46" s="245">
        <f t="shared" si="4"/>
        <v>110000</v>
      </c>
      <c r="M46" s="248">
        <f t="shared" si="4"/>
        <v>100712.72</v>
      </c>
      <c r="N46" s="247">
        <f t="shared" si="4"/>
        <v>1875000</v>
      </c>
      <c r="O46" s="248"/>
      <c r="P46" s="283"/>
      <c r="Q46" s="250"/>
      <c r="R46" s="251"/>
      <c r="S46" s="283"/>
      <c r="T46" s="250">
        <v>1875000</v>
      </c>
      <c r="U46" s="286"/>
      <c r="V46" s="267"/>
      <c r="W46" s="258"/>
      <c r="X46" s="254"/>
      <c r="Y46" s="255"/>
      <c r="Z46" s="250"/>
      <c r="AA46" s="254"/>
      <c r="AB46" s="255"/>
      <c r="AC46" s="250"/>
      <c r="AD46" s="248">
        <v>110000</v>
      </c>
      <c r="AE46" s="285">
        <v>100712.72</v>
      </c>
      <c r="AF46" s="256"/>
      <c r="AG46" s="248">
        <f t="shared" si="26"/>
        <v>0</v>
      </c>
      <c r="AH46" s="244">
        <f t="shared" si="26"/>
        <v>0</v>
      </c>
      <c r="AI46" s="256">
        <f t="shared" si="24"/>
        <v>0</v>
      </c>
      <c r="AJ46" s="248"/>
      <c r="AK46" s="267"/>
      <c r="AL46" s="258"/>
      <c r="AM46" s="286"/>
      <c r="AN46" s="267"/>
      <c r="AO46" s="250"/>
      <c r="AP46" s="248"/>
      <c r="AQ46" s="267"/>
      <c r="AR46" s="260"/>
      <c r="AS46" s="248"/>
      <c r="AT46" s="267"/>
      <c r="AU46" s="256"/>
    </row>
    <row r="47" spans="1:47" x14ac:dyDescent="0.2">
      <c r="A47" s="236">
        <v>33</v>
      </c>
      <c r="B47" s="237" t="s">
        <v>1366</v>
      </c>
      <c r="C47" s="238" t="s">
        <v>1388</v>
      </c>
      <c r="D47" s="239">
        <f t="shared" si="25"/>
        <v>400000</v>
      </c>
      <c r="E47" s="239">
        <f t="shared" si="25"/>
        <v>156819.19</v>
      </c>
      <c r="F47" s="241">
        <f t="shared" si="7"/>
        <v>0.39204797499999999</v>
      </c>
      <c r="G47" s="287">
        <f t="shared" si="1"/>
        <v>400000</v>
      </c>
      <c r="H47" s="243"/>
      <c r="I47" s="244"/>
      <c r="J47" s="266"/>
      <c r="K47" s="258"/>
      <c r="L47" s="245">
        <f t="shared" si="4"/>
        <v>400000</v>
      </c>
      <c r="M47" s="248">
        <f t="shared" si="4"/>
        <v>156819.19</v>
      </c>
      <c r="N47" s="247">
        <f t="shared" si="4"/>
        <v>400000</v>
      </c>
      <c r="O47" s="248"/>
      <c r="P47" s="283"/>
      <c r="Q47" s="250"/>
      <c r="R47" s="251"/>
      <c r="S47" s="283"/>
      <c r="T47" s="250"/>
      <c r="U47" s="286"/>
      <c r="V47" s="267"/>
      <c r="W47" s="258"/>
      <c r="X47" s="254"/>
      <c r="Y47" s="255"/>
      <c r="Z47" s="250"/>
      <c r="AA47" s="254"/>
      <c r="AB47" s="255"/>
      <c r="AC47" s="250"/>
      <c r="AD47" s="248">
        <v>400000</v>
      </c>
      <c r="AE47" s="285">
        <v>156819.19</v>
      </c>
      <c r="AF47" s="256">
        <v>400000</v>
      </c>
      <c r="AG47" s="248">
        <f t="shared" si="26"/>
        <v>0</v>
      </c>
      <c r="AH47" s="244">
        <f t="shared" si="26"/>
        <v>0</v>
      </c>
      <c r="AI47" s="256">
        <f t="shared" si="24"/>
        <v>0</v>
      </c>
      <c r="AJ47" s="248"/>
      <c r="AK47" s="267"/>
      <c r="AL47" s="258"/>
      <c r="AM47" s="286"/>
      <c r="AN47" s="267"/>
      <c r="AO47" s="250"/>
      <c r="AP47" s="248"/>
      <c r="AQ47" s="267"/>
      <c r="AR47" s="260"/>
      <c r="AS47" s="248"/>
      <c r="AT47" s="267"/>
      <c r="AU47" s="256"/>
    </row>
    <row r="48" spans="1:47" x14ac:dyDescent="0.2">
      <c r="A48" s="236">
        <v>34</v>
      </c>
      <c r="B48" s="237" t="s">
        <v>1366</v>
      </c>
      <c r="C48" s="238" t="s">
        <v>1615</v>
      </c>
      <c r="D48" s="239">
        <f t="shared" si="25"/>
        <v>0</v>
      </c>
      <c r="E48" s="239">
        <f t="shared" si="25"/>
        <v>0</v>
      </c>
      <c r="F48" s="241">
        <v>0</v>
      </c>
      <c r="G48" s="287">
        <f t="shared" si="1"/>
        <v>500000</v>
      </c>
      <c r="H48" s="243"/>
      <c r="I48" s="244"/>
      <c r="J48" s="266"/>
      <c r="K48" s="258"/>
      <c r="L48" s="245">
        <f t="shared" si="4"/>
        <v>0</v>
      </c>
      <c r="M48" s="248">
        <f t="shared" si="4"/>
        <v>0</v>
      </c>
      <c r="N48" s="247">
        <f t="shared" si="4"/>
        <v>500000</v>
      </c>
      <c r="O48" s="248"/>
      <c r="P48" s="283"/>
      <c r="Q48" s="250"/>
      <c r="R48" s="251"/>
      <c r="S48" s="283"/>
      <c r="T48" s="250"/>
      <c r="U48" s="286"/>
      <c r="V48" s="267"/>
      <c r="W48" s="258"/>
      <c r="X48" s="254"/>
      <c r="Y48" s="255"/>
      <c r="Z48" s="250"/>
      <c r="AA48" s="254"/>
      <c r="AB48" s="255"/>
      <c r="AC48" s="250">
        <v>500000</v>
      </c>
      <c r="AD48" s="248"/>
      <c r="AE48" s="285"/>
      <c r="AF48" s="256"/>
      <c r="AG48" s="248">
        <f t="shared" si="26"/>
        <v>0</v>
      </c>
      <c r="AH48" s="244">
        <f t="shared" si="26"/>
        <v>0</v>
      </c>
      <c r="AI48" s="256">
        <f t="shared" si="24"/>
        <v>0</v>
      </c>
      <c r="AJ48" s="248"/>
      <c r="AK48" s="267"/>
      <c r="AL48" s="258"/>
      <c r="AM48" s="286"/>
      <c r="AN48" s="267"/>
      <c r="AO48" s="250"/>
      <c r="AP48" s="248"/>
      <c r="AQ48" s="267"/>
      <c r="AR48" s="260"/>
      <c r="AS48" s="248"/>
      <c r="AT48" s="267"/>
      <c r="AU48" s="256"/>
    </row>
    <row r="49" spans="1:47" x14ac:dyDescent="0.2">
      <c r="A49" s="236">
        <v>35</v>
      </c>
      <c r="B49" s="237" t="s">
        <v>1366</v>
      </c>
      <c r="C49" s="238" t="s">
        <v>1389</v>
      </c>
      <c r="D49" s="239">
        <f t="shared" si="25"/>
        <v>316000</v>
      </c>
      <c r="E49" s="239">
        <f t="shared" si="25"/>
        <v>0</v>
      </c>
      <c r="F49" s="241">
        <f t="shared" si="7"/>
        <v>0</v>
      </c>
      <c r="G49" s="287">
        <f t="shared" si="1"/>
        <v>810000</v>
      </c>
      <c r="H49" s="243"/>
      <c r="I49" s="244"/>
      <c r="J49" s="266"/>
      <c r="K49" s="258"/>
      <c r="L49" s="245">
        <f t="shared" si="4"/>
        <v>316000</v>
      </c>
      <c r="M49" s="248">
        <f t="shared" si="4"/>
        <v>0</v>
      </c>
      <c r="N49" s="247">
        <f t="shared" si="4"/>
        <v>810000</v>
      </c>
      <c r="O49" s="248"/>
      <c r="P49" s="283"/>
      <c r="Q49" s="250"/>
      <c r="R49" s="251"/>
      <c r="S49" s="283"/>
      <c r="T49" s="250"/>
      <c r="U49" s="286"/>
      <c r="V49" s="267"/>
      <c r="W49" s="258"/>
      <c r="X49" s="254"/>
      <c r="Y49" s="255"/>
      <c r="Z49" s="250"/>
      <c r="AA49" s="254"/>
      <c r="AB49" s="255"/>
      <c r="AC49" s="250"/>
      <c r="AD49" s="248">
        <v>316000</v>
      </c>
      <c r="AE49" s="285">
        <v>0</v>
      </c>
      <c r="AF49" s="256">
        <v>810000</v>
      </c>
      <c r="AG49" s="248">
        <f t="shared" si="26"/>
        <v>0</v>
      </c>
      <c r="AH49" s="244">
        <f t="shared" si="26"/>
        <v>0</v>
      </c>
      <c r="AI49" s="256">
        <f t="shared" si="24"/>
        <v>0</v>
      </c>
      <c r="AJ49" s="248"/>
      <c r="AK49" s="267"/>
      <c r="AL49" s="258"/>
      <c r="AM49" s="286"/>
      <c r="AN49" s="267"/>
      <c r="AO49" s="250"/>
      <c r="AP49" s="248"/>
      <c r="AQ49" s="267"/>
      <c r="AR49" s="260"/>
      <c r="AS49" s="248"/>
      <c r="AT49" s="267"/>
      <c r="AU49" s="256"/>
    </row>
    <row r="50" spans="1:47" x14ac:dyDescent="0.2">
      <c r="A50" s="236">
        <v>36</v>
      </c>
      <c r="B50" s="237"/>
      <c r="C50" s="238" t="s">
        <v>1616</v>
      </c>
      <c r="D50" s="239">
        <f t="shared" si="25"/>
        <v>0</v>
      </c>
      <c r="E50" s="239">
        <f t="shared" si="25"/>
        <v>0</v>
      </c>
      <c r="F50" s="241">
        <v>0</v>
      </c>
      <c r="G50" s="287">
        <f t="shared" si="1"/>
        <v>240000</v>
      </c>
      <c r="H50" s="243"/>
      <c r="I50" s="244"/>
      <c r="J50" s="266"/>
      <c r="K50" s="258"/>
      <c r="L50" s="245">
        <f t="shared" si="4"/>
        <v>0</v>
      </c>
      <c r="M50" s="248">
        <f t="shared" si="4"/>
        <v>0</v>
      </c>
      <c r="N50" s="247">
        <f t="shared" si="4"/>
        <v>175000</v>
      </c>
      <c r="O50" s="248"/>
      <c r="P50" s="283"/>
      <c r="Q50" s="250"/>
      <c r="R50" s="251"/>
      <c r="S50" s="283"/>
      <c r="T50" s="250"/>
      <c r="U50" s="286"/>
      <c r="V50" s="267"/>
      <c r="W50" s="258"/>
      <c r="X50" s="254"/>
      <c r="Y50" s="255"/>
      <c r="Z50" s="250"/>
      <c r="AA50" s="254"/>
      <c r="AB50" s="255"/>
      <c r="AC50" s="250"/>
      <c r="AD50" s="248"/>
      <c r="AE50" s="285">
        <v>0</v>
      </c>
      <c r="AF50" s="256">
        <v>175000</v>
      </c>
      <c r="AG50" s="248">
        <f t="shared" si="26"/>
        <v>0</v>
      </c>
      <c r="AH50" s="244">
        <f t="shared" si="26"/>
        <v>0</v>
      </c>
      <c r="AI50" s="256">
        <f t="shared" si="24"/>
        <v>65000</v>
      </c>
      <c r="AJ50" s="248"/>
      <c r="AK50" s="267"/>
      <c r="AL50" s="258"/>
      <c r="AM50" s="286"/>
      <c r="AN50" s="267"/>
      <c r="AO50" s="250">
        <v>65000</v>
      </c>
      <c r="AP50" s="248"/>
      <c r="AQ50" s="267"/>
      <c r="AR50" s="260"/>
      <c r="AS50" s="248"/>
      <c r="AT50" s="267"/>
      <c r="AU50" s="256"/>
    </row>
    <row r="51" spans="1:47" x14ac:dyDescent="0.2">
      <c r="A51" s="236">
        <v>37</v>
      </c>
      <c r="B51" s="237" t="s">
        <v>1390</v>
      </c>
      <c r="C51" s="238" t="s">
        <v>101</v>
      </c>
      <c r="D51" s="239">
        <f t="shared" si="25"/>
        <v>41000</v>
      </c>
      <c r="E51" s="239">
        <f>SUM(J51,M51,AH51)</f>
        <v>9274.19</v>
      </c>
      <c r="F51" s="241">
        <f t="shared" si="7"/>
        <v>0.22619975609756099</v>
      </c>
      <c r="G51" s="297">
        <f>SUM(K51,N51,AI51)</f>
        <v>73000</v>
      </c>
      <c r="H51" s="243"/>
      <c r="I51" s="244">
        <v>1000</v>
      </c>
      <c r="J51" s="295">
        <v>0</v>
      </c>
      <c r="K51" s="258">
        <v>1000</v>
      </c>
      <c r="L51" s="245">
        <f t="shared" si="4"/>
        <v>32000</v>
      </c>
      <c r="M51" s="248">
        <f t="shared" si="4"/>
        <v>7308.34</v>
      </c>
      <c r="N51" s="247">
        <f t="shared" si="4"/>
        <v>60000</v>
      </c>
      <c r="O51" s="248">
        <v>4000</v>
      </c>
      <c r="P51" s="313">
        <v>0</v>
      </c>
      <c r="Q51" s="250">
        <v>4000</v>
      </c>
      <c r="R51" s="251"/>
      <c r="S51" s="314">
        <v>1286</v>
      </c>
      <c r="T51" s="250">
        <v>12000</v>
      </c>
      <c r="U51" s="286">
        <v>2000</v>
      </c>
      <c r="V51" s="315">
        <v>0</v>
      </c>
      <c r="W51" s="258">
        <v>2000</v>
      </c>
      <c r="X51" s="254"/>
      <c r="Y51" s="255"/>
      <c r="Z51" s="250">
        <v>4000</v>
      </c>
      <c r="AA51" s="254"/>
      <c r="AB51" s="255"/>
      <c r="AC51" s="250">
        <v>4000</v>
      </c>
      <c r="AD51" s="248">
        <v>26000</v>
      </c>
      <c r="AE51" s="315">
        <v>6022.34</v>
      </c>
      <c r="AF51" s="256">
        <v>34000</v>
      </c>
      <c r="AG51" s="248">
        <f t="shared" si="26"/>
        <v>8000</v>
      </c>
      <c r="AH51" s="244">
        <f t="shared" si="26"/>
        <v>1965.85</v>
      </c>
      <c r="AI51" s="256">
        <f t="shared" si="24"/>
        <v>12000</v>
      </c>
      <c r="AJ51" s="248"/>
      <c r="AK51" s="315">
        <v>0</v>
      </c>
      <c r="AL51" s="258"/>
      <c r="AM51" s="286">
        <v>5000</v>
      </c>
      <c r="AN51" s="315">
        <v>1518.1</v>
      </c>
      <c r="AO51" s="250">
        <v>9000</v>
      </c>
      <c r="AP51" s="248">
        <v>3000</v>
      </c>
      <c r="AQ51" s="315">
        <v>447.75</v>
      </c>
      <c r="AR51" s="260">
        <v>3000</v>
      </c>
      <c r="AS51" s="248"/>
      <c r="AT51" s="315"/>
      <c r="AU51" s="256"/>
    </row>
    <row r="52" spans="1:47" x14ac:dyDescent="0.2">
      <c r="A52" s="236">
        <v>38</v>
      </c>
      <c r="B52" s="237" t="s">
        <v>1391</v>
      </c>
      <c r="C52" s="238" t="s">
        <v>102</v>
      </c>
      <c r="D52" s="239">
        <f t="shared" si="25"/>
        <v>105000</v>
      </c>
      <c r="E52" s="239">
        <f t="shared" si="25"/>
        <v>14469.68</v>
      </c>
      <c r="F52" s="241">
        <f t="shared" si="7"/>
        <v>0.1378064761904762</v>
      </c>
      <c r="G52" s="297">
        <f t="shared" ref="G52:G54" si="27">SUM(K52,N52,AI52)</f>
        <v>212000</v>
      </c>
      <c r="H52" s="243"/>
      <c r="I52" s="244">
        <v>2000</v>
      </c>
      <c r="J52" s="295">
        <v>0</v>
      </c>
      <c r="K52" s="258">
        <v>2000</v>
      </c>
      <c r="L52" s="245">
        <f t="shared" si="4"/>
        <v>88000</v>
      </c>
      <c r="M52" s="248">
        <f t="shared" si="4"/>
        <v>14469.68</v>
      </c>
      <c r="N52" s="247">
        <f t="shared" si="4"/>
        <v>210000</v>
      </c>
      <c r="O52" s="248">
        <v>10000</v>
      </c>
      <c r="P52" s="313">
        <v>0</v>
      </c>
      <c r="Q52" s="250">
        <v>14000</v>
      </c>
      <c r="R52" s="251">
        <v>8000</v>
      </c>
      <c r="S52" s="314">
        <v>0</v>
      </c>
      <c r="T52" s="250">
        <v>42000</v>
      </c>
      <c r="U52" s="286">
        <v>5000</v>
      </c>
      <c r="V52" s="315">
        <v>0</v>
      </c>
      <c r="W52" s="258">
        <v>7000</v>
      </c>
      <c r="X52" s="254"/>
      <c r="Y52" s="255"/>
      <c r="Z52" s="250">
        <v>14000</v>
      </c>
      <c r="AA52" s="254"/>
      <c r="AB52" s="255"/>
      <c r="AC52" s="250">
        <v>14000</v>
      </c>
      <c r="AD52" s="248">
        <v>65000</v>
      </c>
      <c r="AE52" s="315">
        <v>14469.68</v>
      </c>
      <c r="AF52" s="256">
        <v>119000</v>
      </c>
      <c r="AG52" s="248">
        <f t="shared" si="26"/>
        <v>15000</v>
      </c>
      <c r="AH52" s="244">
        <f t="shared" si="26"/>
        <v>0</v>
      </c>
      <c r="AI52" s="256">
        <f t="shared" si="24"/>
        <v>0</v>
      </c>
      <c r="AJ52" s="248"/>
      <c r="AK52" s="315"/>
      <c r="AL52" s="258"/>
      <c r="AM52" s="286">
        <v>10000</v>
      </c>
      <c r="AN52" s="315">
        <v>0</v>
      </c>
      <c r="AO52" s="250"/>
      <c r="AP52" s="248">
        <v>5000</v>
      </c>
      <c r="AQ52" s="315">
        <v>0</v>
      </c>
      <c r="AR52" s="260"/>
      <c r="AS52" s="248"/>
      <c r="AT52" s="315"/>
      <c r="AU52" s="256"/>
    </row>
    <row r="53" spans="1:47" x14ac:dyDescent="0.2">
      <c r="A53" s="236">
        <v>39</v>
      </c>
      <c r="B53" s="237" t="s">
        <v>1392</v>
      </c>
      <c r="C53" s="238" t="s">
        <v>103</v>
      </c>
      <c r="D53" s="239">
        <f t="shared" si="25"/>
        <v>25000</v>
      </c>
      <c r="E53" s="239">
        <f t="shared" si="25"/>
        <v>1601</v>
      </c>
      <c r="F53" s="241">
        <f t="shared" si="7"/>
        <v>6.404E-2</v>
      </c>
      <c r="G53" s="297">
        <f t="shared" si="27"/>
        <v>5000</v>
      </c>
      <c r="H53" s="243"/>
      <c r="I53" s="244">
        <v>5000</v>
      </c>
      <c r="J53" s="295">
        <v>0</v>
      </c>
      <c r="K53" s="258">
        <v>5000</v>
      </c>
      <c r="L53" s="245">
        <f t="shared" si="4"/>
        <v>20000</v>
      </c>
      <c r="M53" s="248">
        <f t="shared" si="4"/>
        <v>1601</v>
      </c>
      <c r="N53" s="247">
        <f t="shared" si="4"/>
        <v>0</v>
      </c>
      <c r="O53" s="248"/>
      <c r="P53" s="313"/>
      <c r="Q53" s="250"/>
      <c r="R53" s="251">
        <v>20000</v>
      </c>
      <c r="S53" s="314"/>
      <c r="T53" s="250"/>
      <c r="U53" s="286"/>
      <c r="V53" s="315"/>
      <c r="W53" s="258"/>
      <c r="X53" s="254"/>
      <c r="Y53" s="255"/>
      <c r="Z53" s="250"/>
      <c r="AA53" s="254"/>
      <c r="AB53" s="255"/>
      <c r="AC53" s="250"/>
      <c r="AD53" s="248">
        <v>0</v>
      </c>
      <c r="AE53" s="315">
        <v>1601</v>
      </c>
      <c r="AF53" s="256"/>
      <c r="AG53" s="248">
        <f t="shared" si="26"/>
        <v>0</v>
      </c>
      <c r="AH53" s="244">
        <f t="shared" si="26"/>
        <v>0</v>
      </c>
      <c r="AI53" s="256">
        <f t="shared" si="24"/>
        <v>0</v>
      </c>
      <c r="AJ53" s="248"/>
      <c r="AK53" s="315"/>
      <c r="AL53" s="258"/>
      <c r="AM53" s="286"/>
      <c r="AN53" s="315"/>
      <c r="AO53" s="250"/>
      <c r="AP53" s="248"/>
      <c r="AQ53" s="315"/>
      <c r="AR53" s="260"/>
      <c r="AS53" s="248"/>
      <c r="AT53" s="315"/>
      <c r="AU53" s="256"/>
    </row>
    <row r="54" spans="1:47" x14ac:dyDescent="0.2">
      <c r="A54" s="236">
        <v>40</v>
      </c>
      <c r="B54" s="237" t="s">
        <v>1393</v>
      </c>
      <c r="C54" s="238" t="s">
        <v>104</v>
      </c>
      <c r="D54" s="239">
        <f t="shared" si="25"/>
        <v>595045</v>
      </c>
      <c r="E54" s="239">
        <f t="shared" si="25"/>
        <v>91368.34</v>
      </c>
      <c r="F54" s="241">
        <f t="shared" si="7"/>
        <v>0.15354862237309783</v>
      </c>
      <c r="G54" s="297">
        <f t="shared" si="27"/>
        <v>870000</v>
      </c>
      <c r="H54" s="243"/>
      <c r="I54" s="244">
        <v>37800</v>
      </c>
      <c r="J54" s="295">
        <v>59832.21</v>
      </c>
      <c r="K54" s="258">
        <v>60000</v>
      </c>
      <c r="L54" s="245">
        <f>SUM(O54,R54,U54,X54,AA54,AD54)</f>
        <v>507245</v>
      </c>
      <c r="M54" s="248">
        <f t="shared" si="4"/>
        <v>18926.55</v>
      </c>
      <c r="N54" s="247">
        <f>SUM(Q54,T54,W54,Z54,AC54,AF54)</f>
        <v>640000</v>
      </c>
      <c r="O54" s="248">
        <v>50000</v>
      </c>
      <c r="P54" s="313">
        <v>9739</v>
      </c>
      <c r="Q54" s="250">
        <v>40000</v>
      </c>
      <c r="R54" s="251">
        <v>250000</v>
      </c>
      <c r="S54" s="314">
        <v>1167.55</v>
      </c>
      <c r="T54" s="250">
        <v>50000</v>
      </c>
      <c r="U54" s="286">
        <v>7245</v>
      </c>
      <c r="V54" s="315">
        <v>0</v>
      </c>
      <c r="W54" s="258"/>
      <c r="X54" s="254"/>
      <c r="Y54" s="255"/>
      <c r="Z54" s="250">
        <v>250000</v>
      </c>
      <c r="AA54" s="254"/>
      <c r="AB54" s="255"/>
      <c r="AC54" s="250">
        <v>100000</v>
      </c>
      <c r="AD54" s="248">
        <v>200000</v>
      </c>
      <c r="AE54" s="315">
        <v>8020</v>
      </c>
      <c r="AF54" s="256">
        <v>200000</v>
      </c>
      <c r="AG54" s="248">
        <f t="shared" si="26"/>
        <v>50000</v>
      </c>
      <c r="AH54" s="244">
        <f t="shared" si="26"/>
        <v>12609.58</v>
      </c>
      <c r="AI54" s="256">
        <f t="shared" si="24"/>
        <v>170000</v>
      </c>
      <c r="AJ54" s="248"/>
      <c r="AK54" s="315"/>
      <c r="AL54" s="258"/>
      <c r="AM54" s="286">
        <v>35000</v>
      </c>
      <c r="AN54" s="315">
        <v>0</v>
      </c>
      <c r="AO54" s="250">
        <v>150000</v>
      </c>
      <c r="AP54" s="248">
        <v>15000</v>
      </c>
      <c r="AQ54" s="315">
        <v>12609.58</v>
      </c>
      <c r="AR54" s="260">
        <v>20000</v>
      </c>
      <c r="AS54" s="248"/>
      <c r="AT54" s="315"/>
      <c r="AU54" s="256"/>
    </row>
    <row r="55" spans="1:47" x14ac:dyDescent="0.2">
      <c r="A55" s="292">
        <v>41</v>
      </c>
      <c r="B55" s="293" t="s">
        <v>1394</v>
      </c>
      <c r="C55" s="294" t="s">
        <v>105</v>
      </c>
      <c r="D55" s="295">
        <f>SUM(D56:D77)</f>
        <v>4081163</v>
      </c>
      <c r="E55" s="295">
        <f>SUM(E56:E77)</f>
        <v>890791.88</v>
      </c>
      <c r="F55" s="296">
        <f t="shared" si="7"/>
        <v>0.21826912573695292</v>
      </c>
      <c r="G55" s="297">
        <f>SUM(G56:G77)</f>
        <v>5922500</v>
      </c>
      <c r="H55" s="243"/>
      <c r="I55" s="295">
        <f>SUM(I56:I77)</f>
        <v>53200</v>
      </c>
      <c r="J55" s="295">
        <f t="shared" ref="J55:K55" si="28">SUM(J56:J77)</f>
        <v>42944.819999999992</v>
      </c>
      <c r="K55" s="298">
        <f t="shared" si="28"/>
        <v>95000</v>
      </c>
      <c r="L55" s="299">
        <f>SUM(L56:L77)</f>
        <v>1832500</v>
      </c>
      <c r="M55" s="316">
        <f>SUM(M56:M77)</f>
        <v>596739.85</v>
      </c>
      <c r="N55" s="300">
        <f>SUM(N56:N77)</f>
        <v>2926000</v>
      </c>
      <c r="O55" s="301">
        <f>SUM(O56:O77)</f>
        <v>340000</v>
      </c>
      <c r="P55" s="295">
        <f t="shared" ref="P55:Q55" si="29">SUM(P56:P77)</f>
        <v>34366</v>
      </c>
      <c r="Q55" s="302">
        <f t="shared" si="29"/>
        <v>503000</v>
      </c>
      <c r="R55" s="301">
        <f>SUM(R56:R77)</f>
        <v>112500</v>
      </c>
      <c r="S55" s="303">
        <f t="shared" ref="S55:T55" si="30">SUM(S56:S77)</f>
        <v>54055.89</v>
      </c>
      <c r="T55" s="317">
        <f t="shared" si="30"/>
        <v>267000</v>
      </c>
      <c r="U55" s="303">
        <f>SUM(U56:U77)</f>
        <v>59000</v>
      </c>
      <c r="V55" s="303">
        <f t="shared" ref="V55:W55" si="31">SUM(V56:V77)</f>
        <v>0</v>
      </c>
      <c r="W55" s="318">
        <f t="shared" si="31"/>
        <v>34000</v>
      </c>
      <c r="X55" s="303">
        <f>SUM(X56:X77)</f>
        <v>0</v>
      </c>
      <c r="Y55" s="303">
        <f t="shared" ref="Y55:Z55" si="32">SUM(Y56:Y77)</f>
        <v>0</v>
      </c>
      <c r="Z55" s="319">
        <f t="shared" si="32"/>
        <v>95000</v>
      </c>
      <c r="AA55" s="303">
        <f>SUM(AA56:AA77)</f>
        <v>0</v>
      </c>
      <c r="AB55" s="303">
        <f t="shared" ref="AB55:AC55" si="33">SUM(AB56:AB77)</f>
        <v>0</v>
      </c>
      <c r="AC55" s="319">
        <f t="shared" si="33"/>
        <v>587000</v>
      </c>
      <c r="AD55" s="301">
        <f>SUM(AD56:AD77)</f>
        <v>1321000</v>
      </c>
      <c r="AE55" s="303">
        <f t="shared" ref="AE55:AF55" si="34">SUM(AE56:AE77)</f>
        <v>508317.96000000008</v>
      </c>
      <c r="AF55" s="320">
        <f t="shared" si="34"/>
        <v>1453000</v>
      </c>
      <c r="AG55" s="301">
        <f>SUM(AG56:AG77)</f>
        <v>2195463</v>
      </c>
      <c r="AH55" s="303">
        <f t="shared" ref="AH55:AI55" si="35">SUM(AH56:AH77)</f>
        <v>251107.21000000002</v>
      </c>
      <c r="AI55" s="320">
        <f t="shared" si="35"/>
        <v>2901500</v>
      </c>
      <c r="AJ55" s="321">
        <f>SUM(AJ56:AJ77)</f>
        <v>0</v>
      </c>
      <c r="AK55" s="303">
        <f t="shared" ref="AK55:AL55" si="36">SUM(AK56:AK77)</f>
        <v>1980</v>
      </c>
      <c r="AL55" s="318">
        <f t="shared" si="36"/>
        <v>0</v>
      </c>
      <c r="AM55" s="303">
        <f>SUM(AM56:AM77)</f>
        <v>1674463</v>
      </c>
      <c r="AN55" s="295">
        <f t="shared" ref="AN55:AO55" si="37">SUM(AN56:AN77)</f>
        <v>199406.68</v>
      </c>
      <c r="AO55" s="302">
        <f t="shared" si="37"/>
        <v>2344000</v>
      </c>
      <c r="AP55" s="301">
        <f>SUM(AP56:AP77)</f>
        <v>521000</v>
      </c>
      <c r="AQ55" s="303">
        <f t="shared" ref="AQ55" si="38">SUM(AQ56:AQ77)</f>
        <v>36051.860000000008</v>
      </c>
      <c r="AR55" s="322">
        <f>SUM(AR56:AR77)</f>
        <v>537500</v>
      </c>
      <c r="AS55" s="301">
        <f>SUM(AS56:AS77)</f>
        <v>0</v>
      </c>
      <c r="AT55" s="295">
        <f t="shared" ref="AT55:AU55" si="39">SUM(AT56:AT77)</f>
        <v>13668.67</v>
      </c>
      <c r="AU55" s="300">
        <f t="shared" si="39"/>
        <v>20000</v>
      </c>
    </row>
    <row r="56" spans="1:47" x14ac:dyDescent="0.2">
      <c r="A56" s="236">
        <v>42</v>
      </c>
      <c r="B56" s="237" t="s">
        <v>1395</v>
      </c>
      <c r="C56" s="238" t="s">
        <v>1396</v>
      </c>
      <c r="D56" s="239">
        <f t="shared" ref="D56:E89" si="40">SUM(I56,L56,AG56)</f>
        <v>33500</v>
      </c>
      <c r="E56" s="305">
        <f t="shared" si="40"/>
        <v>7878.1500000000005</v>
      </c>
      <c r="F56" s="241">
        <f t="shared" si="7"/>
        <v>0.23516865671641793</v>
      </c>
      <c r="G56" s="287">
        <f t="shared" ref="G56:G76" si="41">SUM(K56,N56,AI56)</f>
        <v>39500</v>
      </c>
      <c r="H56" s="243"/>
      <c r="I56" s="244">
        <v>12000</v>
      </c>
      <c r="J56" s="283">
        <v>3880.79</v>
      </c>
      <c r="K56" s="258">
        <v>15000</v>
      </c>
      <c r="L56" s="245">
        <f t="shared" si="4"/>
        <v>18000</v>
      </c>
      <c r="M56" s="248">
        <f>SUM(P56,S56,V56,Y56,AB56,AE56)</f>
        <v>3914.7200000000003</v>
      </c>
      <c r="N56" s="247">
        <v>20000</v>
      </c>
      <c r="O56" s="248">
        <v>2000</v>
      </c>
      <c r="P56" s="283">
        <v>285.94</v>
      </c>
      <c r="Q56" s="250">
        <v>3000</v>
      </c>
      <c r="R56" s="251">
        <v>3000</v>
      </c>
      <c r="S56" s="283">
        <v>0</v>
      </c>
      <c r="T56" s="250">
        <v>3000</v>
      </c>
      <c r="U56" s="252">
        <v>2000</v>
      </c>
      <c r="V56" s="285">
        <v>0</v>
      </c>
      <c r="W56" s="258">
        <v>2000</v>
      </c>
      <c r="X56" s="254"/>
      <c r="Y56" s="255"/>
      <c r="Z56" s="250">
        <v>5000</v>
      </c>
      <c r="AA56" s="254"/>
      <c r="AB56" s="255"/>
      <c r="AC56" s="250">
        <v>2000</v>
      </c>
      <c r="AD56" s="248">
        <v>11000</v>
      </c>
      <c r="AE56" s="285">
        <v>3628.78</v>
      </c>
      <c r="AF56" s="256">
        <v>13000</v>
      </c>
      <c r="AG56" s="248">
        <f t="shared" si="26"/>
        <v>3500</v>
      </c>
      <c r="AH56" s="244">
        <f t="shared" si="26"/>
        <v>82.64</v>
      </c>
      <c r="AI56" s="256">
        <f t="shared" si="24"/>
        <v>4500</v>
      </c>
      <c r="AJ56" s="248"/>
      <c r="AK56" s="267"/>
      <c r="AL56" s="258"/>
      <c r="AM56" s="286">
        <v>2500</v>
      </c>
      <c r="AN56" s="285">
        <v>82.64</v>
      </c>
      <c r="AO56" s="250">
        <v>3000</v>
      </c>
      <c r="AP56" s="248">
        <v>1000</v>
      </c>
      <c r="AQ56" s="285">
        <v>0</v>
      </c>
      <c r="AR56" s="260">
        <v>1500</v>
      </c>
      <c r="AS56" s="248"/>
      <c r="AT56" s="267"/>
      <c r="AU56" s="256"/>
    </row>
    <row r="57" spans="1:47" x14ac:dyDescent="0.2">
      <c r="A57" s="236">
        <v>43</v>
      </c>
      <c r="B57" s="237" t="s">
        <v>1397</v>
      </c>
      <c r="C57" s="238" t="s">
        <v>1398</v>
      </c>
      <c r="D57" s="239">
        <f t="shared" si="40"/>
        <v>120000</v>
      </c>
      <c r="E57" s="305">
        <f t="shared" si="40"/>
        <v>0</v>
      </c>
      <c r="F57" s="241">
        <f t="shared" si="7"/>
        <v>0</v>
      </c>
      <c r="G57" s="287">
        <f t="shared" si="41"/>
        <v>130000</v>
      </c>
      <c r="H57" s="243"/>
      <c r="I57" s="244"/>
      <c r="J57" s="283"/>
      <c r="K57" s="258"/>
      <c r="L57" s="245">
        <f t="shared" si="4"/>
        <v>0</v>
      </c>
      <c r="M57" s="248">
        <f t="shared" si="4"/>
        <v>0</v>
      </c>
      <c r="N57" s="247">
        <f t="shared" si="4"/>
        <v>0</v>
      </c>
      <c r="O57" s="248"/>
      <c r="P57" s="283"/>
      <c r="Q57" s="250"/>
      <c r="R57" s="251"/>
      <c r="S57" s="283"/>
      <c r="T57" s="250"/>
      <c r="U57" s="252"/>
      <c r="V57" s="285"/>
      <c r="W57" s="258"/>
      <c r="X57" s="254"/>
      <c r="Y57" s="255"/>
      <c r="Z57" s="250"/>
      <c r="AA57" s="254"/>
      <c r="AB57" s="255"/>
      <c r="AC57" s="250"/>
      <c r="AD57" s="248"/>
      <c r="AE57" s="285"/>
      <c r="AF57" s="256"/>
      <c r="AG57" s="248">
        <f t="shared" si="26"/>
        <v>120000</v>
      </c>
      <c r="AH57" s="244">
        <f t="shared" si="26"/>
        <v>0</v>
      </c>
      <c r="AI57" s="256">
        <f t="shared" si="24"/>
        <v>130000</v>
      </c>
      <c r="AJ57" s="248"/>
      <c r="AK57" s="267"/>
      <c r="AL57" s="258"/>
      <c r="AM57" s="286"/>
      <c r="AN57" s="285"/>
      <c r="AO57" s="250"/>
      <c r="AP57" s="248">
        <v>120000</v>
      </c>
      <c r="AQ57" s="285">
        <v>0</v>
      </c>
      <c r="AR57" s="260">
        <v>130000</v>
      </c>
      <c r="AS57" s="248"/>
      <c r="AT57" s="267"/>
      <c r="AU57" s="256"/>
    </row>
    <row r="58" spans="1:47" x14ac:dyDescent="0.2">
      <c r="A58" s="236">
        <v>44</v>
      </c>
      <c r="B58" s="237" t="s">
        <v>1399</v>
      </c>
      <c r="C58" s="238" t="s">
        <v>1400</v>
      </c>
      <c r="D58" s="239">
        <f t="shared" si="40"/>
        <v>20000</v>
      </c>
      <c r="E58" s="305">
        <f t="shared" si="40"/>
        <v>20850</v>
      </c>
      <c r="F58" s="241">
        <f t="shared" si="7"/>
        <v>1.0425</v>
      </c>
      <c r="G58" s="287">
        <f t="shared" si="41"/>
        <v>30000</v>
      </c>
      <c r="H58" s="243"/>
      <c r="I58" s="244"/>
      <c r="J58" s="283"/>
      <c r="K58" s="258"/>
      <c r="L58" s="245">
        <f t="shared" si="4"/>
        <v>0</v>
      </c>
      <c r="M58" s="248">
        <f t="shared" si="4"/>
        <v>0</v>
      </c>
      <c r="N58" s="247">
        <f t="shared" si="4"/>
        <v>0</v>
      </c>
      <c r="O58" s="248"/>
      <c r="P58" s="283"/>
      <c r="Q58" s="250"/>
      <c r="R58" s="251"/>
      <c r="S58" s="283"/>
      <c r="T58" s="250"/>
      <c r="U58" s="252"/>
      <c r="V58" s="285"/>
      <c r="W58" s="258"/>
      <c r="X58" s="254"/>
      <c r="Y58" s="255"/>
      <c r="Z58" s="250"/>
      <c r="AA58" s="254"/>
      <c r="AB58" s="255"/>
      <c r="AC58" s="250"/>
      <c r="AD58" s="248"/>
      <c r="AE58" s="285"/>
      <c r="AF58" s="256"/>
      <c r="AG58" s="248">
        <f t="shared" si="26"/>
        <v>20000</v>
      </c>
      <c r="AH58" s="244">
        <f t="shared" si="26"/>
        <v>20850</v>
      </c>
      <c r="AI58" s="256">
        <f t="shared" si="24"/>
        <v>30000</v>
      </c>
      <c r="AJ58" s="248"/>
      <c r="AK58" s="267"/>
      <c r="AL58" s="258"/>
      <c r="AM58" s="286"/>
      <c r="AN58" s="285"/>
      <c r="AO58" s="250"/>
      <c r="AP58" s="248">
        <v>20000</v>
      </c>
      <c r="AQ58" s="285">
        <v>20850</v>
      </c>
      <c r="AR58" s="260">
        <v>30000</v>
      </c>
      <c r="AS58" s="248"/>
      <c r="AT58" s="267"/>
      <c r="AU58" s="256"/>
    </row>
    <row r="59" spans="1:47" x14ac:dyDescent="0.2">
      <c r="A59" s="236">
        <v>45</v>
      </c>
      <c r="B59" s="237" t="s">
        <v>1401</v>
      </c>
      <c r="C59" s="238" t="s">
        <v>1402</v>
      </c>
      <c r="D59" s="239">
        <f t="shared" si="40"/>
        <v>15000</v>
      </c>
      <c r="E59" s="305">
        <f t="shared" si="40"/>
        <v>1695</v>
      </c>
      <c r="F59" s="241">
        <f t="shared" si="7"/>
        <v>0.113</v>
      </c>
      <c r="G59" s="287">
        <f t="shared" si="41"/>
        <v>20000</v>
      </c>
      <c r="H59" s="243"/>
      <c r="I59" s="244"/>
      <c r="J59" s="283"/>
      <c r="K59" s="258"/>
      <c r="L59" s="245">
        <f t="shared" si="4"/>
        <v>0</v>
      </c>
      <c r="M59" s="248">
        <f t="shared" si="4"/>
        <v>0</v>
      </c>
      <c r="N59" s="247">
        <f t="shared" si="4"/>
        <v>0</v>
      </c>
      <c r="O59" s="248"/>
      <c r="P59" s="283"/>
      <c r="Q59" s="250"/>
      <c r="R59" s="251"/>
      <c r="S59" s="283"/>
      <c r="T59" s="250"/>
      <c r="U59" s="252"/>
      <c r="V59" s="285"/>
      <c r="W59" s="258"/>
      <c r="X59" s="254"/>
      <c r="Y59" s="255"/>
      <c r="Z59" s="250"/>
      <c r="AA59" s="254"/>
      <c r="AB59" s="255"/>
      <c r="AC59" s="250"/>
      <c r="AD59" s="248"/>
      <c r="AE59" s="285"/>
      <c r="AF59" s="256"/>
      <c r="AG59" s="248">
        <f t="shared" si="26"/>
        <v>15000</v>
      </c>
      <c r="AH59" s="244">
        <f t="shared" si="26"/>
        <v>1695</v>
      </c>
      <c r="AI59" s="256">
        <f t="shared" si="24"/>
        <v>20000</v>
      </c>
      <c r="AJ59" s="248"/>
      <c r="AK59" s="267"/>
      <c r="AL59" s="258"/>
      <c r="AM59" s="286">
        <v>15000</v>
      </c>
      <c r="AN59" s="285">
        <v>1695</v>
      </c>
      <c r="AO59" s="250">
        <v>20000</v>
      </c>
      <c r="AP59" s="248"/>
      <c r="AQ59" s="285"/>
      <c r="AR59" s="260"/>
      <c r="AS59" s="248"/>
      <c r="AT59" s="267"/>
      <c r="AU59" s="256"/>
    </row>
    <row r="60" spans="1:47" x14ac:dyDescent="0.2">
      <c r="A60" s="236">
        <v>46</v>
      </c>
      <c r="B60" s="237" t="s">
        <v>1403</v>
      </c>
      <c r="C60" s="238" t="s">
        <v>1404</v>
      </c>
      <c r="D60" s="239">
        <f t="shared" si="40"/>
        <v>400000</v>
      </c>
      <c r="E60" s="305">
        <f t="shared" si="40"/>
        <v>11900</v>
      </c>
      <c r="F60" s="241">
        <f t="shared" si="7"/>
        <v>2.9749999999999999E-2</v>
      </c>
      <c r="G60" s="287">
        <f t="shared" si="41"/>
        <v>400000</v>
      </c>
      <c r="H60" s="243"/>
      <c r="I60" s="244"/>
      <c r="J60" s="283"/>
      <c r="K60" s="258"/>
      <c r="L60" s="245">
        <f t="shared" si="4"/>
        <v>0</v>
      </c>
      <c r="M60" s="248">
        <f t="shared" si="4"/>
        <v>0</v>
      </c>
      <c r="N60" s="247">
        <f t="shared" si="4"/>
        <v>0</v>
      </c>
      <c r="O60" s="248"/>
      <c r="P60" s="283"/>
      <c r="Q60" s="250"/>
      <c r="R60" s="251"/>
      <c r="S60" s="283"/>
      <c r="T60" s="250"/>
      <c r="U60" s="252"/>
      <c r="V60" s="285"/>
      <c r="W60" s="258"/>
      <c r="X60" s="254"/>
      <c r="Y60" s="255"/>
      <c r="Z60" s="250"/>
      <c r="AA60" s="254"/>
      <c r="AB60" s="255"/>
      <c r="AC60" s="250"/>
      <c r="AD60" s="248"/>
      <c r="AE60" s="285"/>
      <c r="AF60" s="256"/>
      <c r="AG60" s="248">
        <f t="shared" si="26"/>
        <v>400000</v>
      </c>
      <c r="AH60" s="244">
        <f t="shared" si="26"/>
        <v>11900</v>
      </c>
      <c r="AI60" s="256">
        <f t="shared" si="24"/>
        <v>400000</v>
      </c>
      <c r="AJ60" s="248"/>
      <c r="AK60" s="267"/>
      <c r="AL60" s="258"/>
      <c r="AM60" s="286">
        <v>400000</v>
      </c>
      <c r="AN60" s="285">
        <v>11900</v>
      </c>
      <c r="AO60" s="250">
        <v>400000</v>
      </c>
      <c r="AP60" s="248"/>
      <c r="AQ60" s="285"/>
      <c r="AR60" s="260"/>
      <c r="AS60" s="248"/>
      <c r="AT60" s="267"/>
      <c r="AU60" s="256"/>
    </row>
    <row r="61" spans="1:47" x14ac:dyDescent="0.2">
      <c r="A61" s="236">
        <v>47</v>
      </c>
      <c r="B61" s="237" t="s">
        <v>1405</v>
      </c>
      <c r="C61" s="238" t="s">
        <v>1406</v>
      </c>
      <c r="D61" s="239">
        <f t="shared" si="40"/>
        <v>80000</v>
      </c>
      <c r="E61" s="305">
        <f t="shared" si="40"/>
        <v>39933.509999999995</v>
      </c>
      <c r="F61" s="241">
        <f t="shared" si="7"/>
        <v>0.49916887499999996</v>
      </c>
      <c r="G61" s="287">
        <f t="shared" si="41"/>
        <v>87000</v>
      </c>
      <c r="H61" s="243"/>
      <c r="I61" s="244">
        <v>40000</v>
      </c>
      <c r="J61" s="283">
        <v>28071.01</v>
      </c>
      <c r="K61" s="258">
        <v>45000</v>
      </c>
      <c r="L61" s="245">
        <f t="shared" si="4"/>
        <v>20000</v>
      </c>
      <c r="M61" s="248">
        <f t="shared" si="4"/>
        <v>4435.83</v>
      </c>
      <c r="N61" s="247">
        <v>20000</v>
      </c>
      <c r="O61" s="248">
        <v>1000</v>
      </c>
      <c r="P61" s="283">
        <v>1327.29</v>
      </c>
      <c r="Q61" s="250">
        <v>3000</v>
      </c>
      <c r="R61" s="251">
        <v>2000</v>
      </c>
      <c r="S61" s="283">
        <v>418.75</v>
      </c>
      <c r="T61" s="250">
        <v>2000</v>
      </c>
      <c r="U61" s="252"/>
      <c r="V61" s="285"/>
      <c r="W61" s="258"/>
      <c r="X61" s="254"/>
      <c r="Y61" s="255"/>
      <c r="Z61" s="250">
        <v>5000</v>
      </c>
      <c r="AA61" s="254"/>
      <c r="AB61" s="255"/>
      <c r="AC61" s="250">
        <v>5000</v>
      </c>
      <c r="AD61" s="248">
        <v>17000</v>
      </c>
      <c r="AE61" s="285">
        <v>2689.79</v>
      </c>
      <c r="AF61" s="256">
        <v>10000</v>
      </c>
      <c r="AG61" s="248">
        <f t="shared" ref="AG61:AI122" si="42">SUM(AJ61,AM61,AP61,AS61)</f>
        <v>20000</v>
      </c>
      <c r="AH61" s="244">
        <f t="shared" si="42"/>
        <v>7426.67</v>
      </c>
      <c r="AI61" s="256">
        <f t="shared" si="24"/>
        <v>22000</v>
      </c>
      <c r="AJ61" s="248"/>
      <c r="AK61" s="285">
        <v>1980</v>
      </c>
      <c r="AL61" s="258"/>
      <c r="AM61" s="286">
        <v>14000</v>
      </c>
      <c r="AN61" s="285">
        <v>5163.6099999999997</v>
      </c>
      <c r="AO61" s="250">
        <v>16000</v>
      </c>
      <c r="AP61" s="248">
        <v>6000</v>
      </c>
      <c r="AQ61" s="285">
        <v>283.06</v>
      </c>
      <c r="AR61" s="260">
        <v>6000</v>
      </c>
      <c r="AS61" s="248"/>
      <c r="AT61" s="267"/>
      <c r="AU61" s="256"/>
    </row>
    <row r="62" spans="1:47" x14ac:dyDescent="0.2">
      <c r="A62" s="236">
        <v>48</v>
      </c>
      <c r="B62" s="237" t="s">
        <v>1407</v>
      </c>
      <c r="C62" s="238" t="s">
        <v>1408</v>
      </c>
      <c r="D62" s="239">
        <f t="shared" si="40"/>
        <v>180000</v>
      </c>
      <c r="E62" s="305">
        <f t="shared" si="40"/>
        <v>40069</v>
      </c>
      <c r="F62" s="241">
        <f t="shared" si="7"/>
        <v>0.22260555555555556</v>
      </c>
      <c r="G62" s="287">
        <f t="shared" si="41"/>
        <v>140000</v>
      </c>
      <c r="H62" s="243"/>
      <c r="I62" s="244">
        <v>0</v>
      </c>
      <c r="J62" s="283"/>
      <c r="K62" s="258"/>
      <c r="L62" s="245">
        <f t="shared" si="4"/>
        <v>180000</v>
      </c>
      <c r="M62" s="248">
        <f t="shared" si="4"/>
        <v>40069</v>
      </c>
      <c r="N62" s="247">
        <f t="shared" si="4"/>
        <v>140000</v>
      </c>
      <c r="O62" s="248"/>
      <c r="P62" s="283"/>
      <c r="Q62" s="250"/>
      <c r="R62" s="251"/>
      <c r="S62" s="283"/>
      <c r="T62" s="250"/>
      <c r="U62" s="252"/>
      <c r="V62" s="285"/>
      <c r="W62" s="258"/>
      <c r="X62" s="254"/>
      <c r="Y62" s="255"/>
      <c r="Z62" s="250">
        <v>20000</v>
      </c>
      <c r="AA62" s="254"/>
      <c r="AB62" s="255"/>
      <c r="AC62" s="250">
        <v>20000</v>
      </c>
      <c r="AD62" s="248">
        <v>180000</v>
      </c>
      <c r="AE62" s="285">
        <v>40069</v>
      </c>
      <c r="AF62" s="256">
        <v>100000</v>
      </c>
      <c r="AG62" s="248">
        <f t="shared" si="42"/>
        <v>0</v>
      </c>
      <c r="AH62" s="244">
        <f t="shared" si="42"/>
        <v>0</v>
      </c>
      <c r="AI62" s="256">
        <f t="shared" si="24"/>
        <v>0</v>
      </c>
      <c r="AJ62" s="248"/>
      <c r="AK62" s="285"/>
      <c r="AL62" s="258"/>
      <c r="AM62" s="286"/>
      <c r="AN62" s="285"/>
      <c r="AO62" s="250"/>
      <c r="AP62" s="248"/>
      <c r="AQ62" s="285"/>
      <c r="AR62" s="260"/>
      <c r="AS62" s="248"/>
      <c r="AT62" s="267"/>
      <c r="AU62" s="256"/>
    </row>
    <row r="63" spans="1:47" x14ac:dyDescent="0.2">
      <c r="A63" s="236">
        <v>49</v>
      </c>
      <c r="B63" s="237" t="s">
        <v>1409</v>
      </c>
      <c r="C63" s="238" t="s">
        <v>1410</v>
      </c>
      <c r="D63" s="239">
        <f t="shared" si="40"/>
        <v>430000</v>
      </c>
      <c r="E63" s="305">
        <f t="shared" si="40"/>
        <v>194773.2</v>
      </c>
      <c r="F63" s="241">
        <f t="shared" si="7"/>
        <v>0.45296093023255818</v>
      </c>
      <c r="G63" s="287">
        <f t="shared" si="41"/>
        <v>820000</v>
      </c>
      <c r="H63" s="243"/>
      <c r="I63" s="244">
        <v>0</v>
      </c>
      <c r="J63" s="283"/>
      <c r="K63" s="258"/>
      <c r="L63" s="245">
        <f t="shared" si="4"/>
        <v>430000</v>
      </c>
      <c r="M63" s="248">
        <f t="shared" si="4"/>
        <v>194773.2</v>
      </c>
      <c r="N63" s="247">
        <f t="shared" si="4"/>
        <v>820000</v>
      </c>
      <c r="O63" s="248"/>
      <c r="P63" s="283"/>
      <c r="Q63" s="250">
        <v>100000</v>
      </c>
      <c r="R63" s="251"/>
      <c r="S63" s="283"/>
      <c r="T63" s="250"/>
      <c r="U63" s="252">
        <v>50000</v>
      </c>
      <c r="V63" s="285">
        <v>0</v>
      </c>
      <c r="W63" s="258">
        <v>20000</v>
      </c>
      <c r="X63" s="254"/>
      <c r="Y63" s="255"/>
      <c r="Z63" s="250"/>
      <c r="AA63" s="254"/>
      <c r="AB63" s="255"/>
      <c r="AC63" s="250">
        <v>250000</v>
      </c>
      <c r="AD63" s="248">
        <v>380000</v>
      </c>
      <c r="AE63" s="285">
        <v>194773.2</v>
      </c>
      <c r="AF63" s="256">
        <v>450000</v>
      </c>
      <c r="AG63" s="248">
        <f t="shared" si="42"/>
        <v>0</v>
      </c>
      <c r="AH63" s="244">
        <f t="shared" si="42"/>
        <v>0</v>
      </c>
      <c r="AI63" s="256">
        <f t="shared" si="24"/>
        <v>0</v>
      </c>
      <c r="AJ63" s="248"/>
      <c r="AK63" s="285"/>
      <c r="AL63" s="258"/>
      <c r="AM63" s="286"/>
      <c r="AN63" s="285"/>
      <c r="AO63" s="250"/>
      <c r="AP63" s="248"/>
      <c r="AQ63" s="285"/>
      <c r="AR63" s="260"/>
      <c r="AS63" s="248"/>
      <c r="AT63" s="267"/>
      <c r="AU63" s="256"/>
    </row>
    <row r="64" spans="1:47" x14ac:dyDescent="0.2">
      <c r="A64" s="236">
        <v>50</v>
      </c>
      <c r="B64" s="237" t="s">
        <v>1411</v>
      </c>
      <c r="C64" s="238" t="s">
        <v>1412</v>
      </c>
      <c r="D64" s="239">
        <f t="shared" si="40"/>
        <v>30000</v>
      </c>
      <c r="E64" s="305">
        <f t="shared" si="40"/>
        <v>0</v>
      </c>
      <c r="F64" s="241">
        <f t="shared" si="7"/>
        <v>0</v>
      </c>
      <c r="G64" s="287">
        <f t="shared" si="41"/>
        <v>30000</v>
      </c>
      <c r="H64" s="243"/>
      <c r="I64" s="244"/>
      <c r="J64" s="283"/>
      <c r="K64" s="258"/>
      <c r="L64" s="245">
        <f t="shared" si="4"/>
        <v>30000</v>
      </c>
      <c r="M64" s="248">
        <f t="shared" si="4"/>
        <v>0</v>
      </c>
      <c r="N64" s="247">
        <f t="shared" si="4"/>
        <v>30000</v>
      </c>
      <c r="O64" s="248"/>
      <c r="P64" s="283"/>
      <c r="Q64" s="250"/>
      <c r="R64" s="251"/>
      <c r="S64" s="283"/>
      <c r="T64" s="250"/>
      <c r="U64" s="252"/>
      <c r="V64" s="285"/>
      <c r="W64" s="258"/>
      <c r="X64" s="254"/>
      <c r="Y64" s="255"/>
      <c r="Z64" s="250"/>
      <c r="AA64" s="254"/>
      <c r="AB64" s="255"/>
      <c r="AC64" s="250"/>
      <c r="AD64" s="248">
        <v>30000</v>
      </c>
      <c r="AE64" s="285">
        <v>0</v>
      </c>
      <c r="AF64" s="256">
        <v>30000</v>
      </c>
      <c r="AG64" s="248">
        <f t="shared" si="42"/>
        <v>0</v>
      </c>
      <c r="AH64" s="244">
        <f t="shared" si="42"/>
        <v>0</v>
      </c>
      <c r="AI64" s="256">
        <f t="shared" si="24"/>
        <v>0</v>
      </c>
      <c r="AJ64" s="248"/>
      <c r="AK64" s="285"/>
      <c r="AL64" s="258"/>
      <c r="AM64" s="286"/>
      <c r="AN64" s="285"/>
      <c r="AO64" s="250"/>
      <c r="AP64" s="248"/>
      <c r="AQ64" s="285"/>
      <c r="AR64" s="260"/>
      <c r="AS64" s="248"/>
      <c r="AT64" s="267"/>
      <c r="AU64" s="256"/>
    </row>
    <row r="65" spans="1:47" x14ac:dyDescent="0.2">
      <c r="A65" s="236">
        <v>51</v>
      </c>
      <c r="B65" s="237" t="s">
        <v>1413</v>
      </c>
      <c r="C65" s="238" t="s">
        <v>1414</v>
      </c>
      <c r="D65" s="239">
        <f t="shared" si="40"/>
        <v>30000</v>
      </c>
      <c r="E65" s="305">
        <f t="shared" si="40"/>
        <v>3821</v>
      </c>
      <c r="F65" s="241">
        <f t="shared" si="7"/>
        <v>0.12736666666666666</v>
      </c>
      <c r="G65" s="287">
        <f t="shared" si="41"/>
        <v>40000</v>
      </c>
      <c r="H65" s="243"/>
      <c r="I65" s="244"/>
      <c r="J65" s="283">
        <v>0</v>
      </c>
      <c r="K65" s="258">
        <v>10000</v>
      </c>
      <c r="L65" s="245">
        <f t="shared" si="4"/>
        <v>30000</v>
      </c>
      <c r="M65" s="248">
        <f t="shared" si="4"/>
        <v>3821</v>
      </c>
      <c r="N65" s="247">
        <f t="shared" si="4"/>
        <v>30000</v>
      </c>
      <c r="O65" s="248"/>
      <c r="P65" s="283"/>
      <c r="Q65" s="250"/>
      <c r="R65" s="251"/>
      <c r="S65" s="283"/>
      <c r="T65" s="250"/>
      <c r="U65" s="252"/>
      <c r="V65" s="285"/>
      <c r="W65" s="258"/>
      <c r="X65" s="254"/>
      <c r="Y65" s="255"/>
      <c r="Z65" s="250"/>
      <c r="AA65" s="254"/>
      <c r="AB65" s="255"/>
      <c r="AC65" s="250"/>
      <c r="AD65" s="248">
        <v>30000</v>
      </c>
      <c r="AE65" s="285">
        <v>3821</v>
      </c>
      <c r="AF65" s="256">
        <v>30000</v>
      </c>
      <c r="AG65" s="248">
        <f t="shared" si="42"/>
        <v>0</v>
      </c>
      <c r="AH65" s="244">
        <f t="shared" si="42"/>
        <v>0</v>
      </c>
      <c r="AI65" s="256">
        <f t="shared" si="24"/>
        <v>0</v>
      </c>
      <c r="AJ65" s="248"/>
      <c r="AK65" s="285"/>
      <c r="AL65" s="258"/>
      <c r="AM65" s="286"/>
      <c r="AN65" s="285"/>
      <c r="AO65" s="250"/>
      <c r="AP65" s="248"/>
      <c r="AQ65" s="285"/>
      <c r="AR65" s="260"/>
      <c r="AS65" s="248"/>
      <c r="AT65" s="267"/>
      <c r="AU65" s="256"/>
    </row>
    <row r="66" spans="1:47" x14ac:dyDescent="0.2">
      <c r="A66" s="236">
        <v>52</v>
      </c>
      <c r="B66" s="237" t="s">
        <v>1415</v>
      </c>
      <c r="C66" s="238" t="s">
        <v>1416</v>
      </c>
      <c r="D66" s="239">
        <f t="shared" si="40"/>
        <v>0</v>
      </c>
      <c r="E66" s="305">
        <f t="shared" si="40"/>
        <v>3680</v>
      </c>
      <c r="F66" s="241">
        <v>0</v>
      </c>
      <c r="G66" s="287">
        <f t="shared" si="41"/>
        <v>10000</v>
      </c>
      <c r="H66" s="243"/>
      <c r="I66" s="244"/>
      <c r="J66" s="283"/>
      <c r="K66" s="258"/>
      <c r="L66" s="245">
        <f t="shared" si="4"/>
        <v>0</v>
      </c>
      <c r="M66" s="248">
        <f t="shared" si="4"/>
        <v>3680</v>
      </c>
      <c r="N66" s="247">
        <f t="shared" si="4"/>
        <v>10000</v>
      </c>
      <c r="O66" s="248"/>
      <c r="P66" s="283"/>
      <c r="Q66" s="250"/>
      <c r="R66" s="251"/>
      <c r="S66" s="283"/>
      <c r="T66" s="250"/>
      <c r="U66" s="252"/>
      <c r="V66" s="285"/>
      <c r="W66" s="258"/>
      <c r="X66" s="254"/>
      <c r="Y66" s="255"/>
      <c r="Z66" s="250"/>
      <c r="AA66" s="255"/>
      <c r="AB66" s="255"/>
      <c r="AC66" s="250"/>
      <c r="AD66" s="244">
        <v>0</v>
      </c>
      <c r="AE66" s="285">
        <v>3680</v>
      </c>
      <c r="AF66" s="256">
        <v>10000</v>
      </c>
      <c r="AG66" s="248">
        <f t="shared" si="42"/>
        <v>0</v>
      </c>
      <c r="AH66" s="244">
        <f t="shared" si="42"/>
        <v>0</v>
      </c>
      <c r="AI66" s="256">
        <f t="shared" si="24"/>
        <v>0</v>
      </c>
      <c r="AJ66" s="248"/>
      <c r="AK66" s="285"/>
      <c r="AL66" s="258"/>
      <c r="AM66" s="286"/>
      <c r="AN66" s="285"/>
      <c r="AO66" s="250"/>
      <c r="AP66" s="248"/>
      <c r="AQ66" s="285"/>
      <c r="AR66" s="260"/>
      <c r="AS66" s="248"/>
      <c r="AT66" s="267"/>
      <c r="AU66" s="256"/>
    </row>
    <row r="67" spans="1:47" x14ac:dyDescent="0.2">
      <c r="A67" s="236">
        <v>56</v>
      </c>
      <c r="B67" s="237" t="s">
        <v>1417</v>
      </c>
      <c r="C67" s="238" t="s">
        <v>1418</v>
      </c>
      <c r="D67" s="239">
        <f t="shared" si="40"/>
        <v>391000</v>
      </c>
      <c r="E67" s="305">
        <f t="shared" si="40"/>
        <v>59391.81</v>
      </c>
      <c r="F67" s="241">
        <f t="shared" si="7"/>
        <v>0.15189721227621483</v>
      </c>
      <c r="G67" s="287">
        <f t="shared" si="41"/>
        <v>396000</v>
      </c>
      <c r="H67" s="243"/>
      <c r="I67" s="244"/>
      <c r="J67" s="283">
        <v>697.18</v>
      </c>
      <c r="K67" s="258">
        <v>2000</v>
      </c>
      <c r="L67" s="245">
        <f t="shared" si="4"/>
        <v>362000</v>
      </c>
      <c r="M67" s="248">
        <f t="shared" si="4"/>
        <v>53529.34</v>
      </c>
      <c r="N67" s="247">
        <f t="shared" si="4"/>
        <v>379000</v>
      </c>
      <c r="O67" s="248">
        <v>305000</v>
      </c>
      <c r="P67" s="283">
        <v>26092.77</v>
      </c>
      <c r="Q67" s="250">
        <v>310000</v>
      </c>
      <c r="R67" s="251">
        <v>5000</v>
      </c>
      <c r="S67" s="283">
        <v>0</v>
      </c>
      <c r="T67" s="250">
        <v>2000</v>
      </c>
      <c r="U67" s="252">
        <v>2000</v>
      </c>
      <c r="V67" s="285">
        <v>0</v>
      </c>
      <c r="W67" s="258">
        <v>2000</v>
      </c>
      <c r="X67" s="254"/>
      <c r="Y67" s="255"/>
      <c r="Z67" s="250">
        <v>5000</v>
      </c>
      <c r="AA67" s="255"/>
      <c r="AB67" s="255"/>
      <c r="AC67" s="250"/>
      <c r="AD67" s="244">
        <v>50000</v>
      </c>
      <c r="AE67" s="285">
        <v>27436.57</v>
      </c>
      <c r="AF67" s="256">
        <v>60000</v>
      </c>
      <c r="AG67" s="248">
        <f t="shared" si="42"/>
        <v>29000</v>
      </c>
      <c r="AH67" s="244">
        <f t="shared" si="42"/>
        <v>5165.29</v>
      </c>
      <c r="AI67" s="256">
        <f t="shared" si="24"/>
        <v>15000</v>
      </c>
      <c r="AJ67" s="248"/>
      <c r="AK67" s="285"/>
      <c r="AL67" s="258"/>
      <c r="AM67" s="286">
        <v>25000</v>
      </c>
      <c r="AN67" s="285">
        <v>0</v>
      </c>
      <c r="AO67" s="250">
        <v>10000</v>
      </c>
      <c r="AP67" s="248">
        <v>4000</v>
      </c>
      <c r="AQ67" s="285">
        <v>165.29</v>
      </c>
      <c r="AR67" s="260">
        <v>5000</v>
      </c>
      <c r="AS67" s="248"/>
      <c r="AT67" s="267">
        <v>5000</v>
      </c>
      <c r="AU67" s="256"/>
    </row>
    <row r="68" spans="1:47" x14ac:dyDescent="0.2">
      <c r="A68" s="236">
        <v>57</v>
      </c>
      <c r="B68" s="237" t="s">
        <v>1419</v>
      </c>
      <c r="C68" s="238" t="s">
        <v>1420</v>
      </c>
      <c r="D68" s="239">
        <f t="shared" si="40"/>
        <v>70000</v>
      </c>
      <c r="E68" s="305">
        <f t="shared" si="40"/>
        <v>11884.31</v>
      </c>
      <c r="F68" s="241">
        <f t="shared" si="7"/>
        <v>0.16977585714285715</v>
      </c>
      <c r="G68" s="287">
        <f t="shared" si="41"/>
        <v>92000</v>
      </c>
      <c r="H68" s="243"/>
      <c r="I68" s="244"/>
      <c r="J68" s="283"/>
      <c r="K68" s="258"/>
      <c r="L68" s="245">
        <f t="shared" si="4"/>
        <v>20000</v>
      </c>
      <c r="M68" s="248">
        <f t="shared" si="4"/>
        <v>10284.4</v>
      </c>
      <c r="N68" s="247">
        <f t="shared" si="4"/>
        <v>42000</v>
      </c>
      <c r="O68" s="248">
        <v>2000</v>
      </c>
      <c r="P68" s="283">
        <v>192</v>
      </c>
      <c r="Q68" s="250">
        <v>2000</v>
      </c>
      <c r="R68" s="251"/>
      <c r="S68" s="283"/>
      <c r="T68" s="250"/>
      <c r="U68" s="252"/>
      <c r="V68" s="285"/>
      <c r="W68" s="258"/>
      <c r="X68" s="254"/>
      <c r="Y68" s="255"/>
      <c r="Z68" s="250">
        <v>5000</v>
      </c>
      <c r="AA68" s="255"/>
      <c r="AB68" s="255"/>
      <c r="AC68" s="250">
        <v>10000</v>
      </c>
      <c r="AD68" s="244">
        <v>18000</v>
      </c>
      <c r="AE68" s="285">
        <v>10092.4</v>
      </c>
      <c r="AF68" s="256">
        <v>25000</v>
      </c>
      <c r="AG68" s="248">
        <f t="shared" si="42"/>
        <v>50000</v>
      </c>
      <c r="AH68" s="244">
        <f t="shared" si="42"/>
        <v>1599.9099999999999</v>
      </c>
      <c r="AI68" s="256">
        <f t="shared" si="24"/>
        <v>50000</v>
      </c>
      <c r="AJ68" s="248"/>
      <c r="AK68" s="285"/>
      <c r="AL68" s="258"/>
      <c r="AM68" s="286">
        <v>40000</v>
      </c>
      <c r="AN68" s="285">
        <v>1476.78</v>
      </c>
      <c r="AO68" s="250">
        <v>40000</v>
      </c>
      <c r="AP68" s="248">
        <v>10000</v>
      </c>
      <c r="AQ68" s="285">
        <v>123.13</v>
      </c>
      <c r="AR68" s="260">
        <v>10000</v>
      </c>
      <c r="AS68" s="248"/>
      <c r="AT68" s="267"/>
      <c r="AU68" s="256"/>
    </row>
    <row r="69" spans="1:47" x14ac:dyDescent="0.2">
      <c r="A69" s="236">
        <v>58</v>
      </c>
      <c r="B69" s="237" t="s">
        <v>1421</v>
      </c>
      <c r="C69" s="238" t="s">
        <v>1422</v>
      </c>
      <c r="D69" s="239">
        <f t="shared" si="40"/>
        <v>161200</v>
      </c>
      <c r="E69" s="305">
        <f t="shared" si="40"/>
        <v>67974.83</v>
      </c>
      <c r="F69" s="241">
        <f t="shared" si="7"/>
        <v>0.42168008684863523</v>
      </c>
      <c r="G69" s="287">
        <f t="shared" si="41"/>
        <v>225000</v>
      </c>
      <c r="H69" s="243"/>
      <c r="I69" s="244">
        <v>1200</v>
      </c>
      <c r="J69" s="283">
        <v>1264</v>
      </c>
      <c r="K69" s="258">
        <v>5000</v>
      </c>
      <c r="L69" s="245">
        <f t="shared" si="4"/>
        <v>60000</v>
      </c>
      <c r="M69" s="248">
        <f t="shared" si="4"/>
        <v>44308.05</v>
      </c>
      <c r="N69" s="247">
        <f t="shared" si="4"/>
        <v>125000</v>
      </c>
      <c r="O69" s="248">
        <v>10000</v>
      </c>
      <c r="P69" s="283">
        <v>0</v>
      </c>
      <c r="Q69" s="250">
        <v>10000</v>
      </c>
      <c r="R69" s="251">
        <v>5000</v>
      </c>
      <c r="S69" s="283">
        <v>102</v>
      </c>
      <c r="T69" s="250">
        <v>5000</v>
      </c>
      <c r="U69" s="252">
        <v>5000</v>
      </c>
      <c r="V69" s="285">
        <v>0</v>
      </c>
      <c r="W69" s="258">
        <v>5000</v>
      </c>
      <c r="X69" s="254"/>
      <c r="Y69" s="255"/>
      <c r="Z69" s="250">
        <v>5000</v>
      </c>
      <c r="AA69" s="255"/>
      <c r="AB69" s="255"/>
      <c r="AC69" s="250">
        <v>20000</v>
      </c>
      <c r="AD69" s="244">
        <v>40000</v>
      </c>
      <c r="AE69" s="285">
        <v>44206.05</v>
      </c>
      <c r="AF69" s="256">
        <v>80000</v>
      </c>
      <c r="AG69" s="248">
        <f t="shared" si="42"/>
        <v>100000</v>
      </c>
      <c r="AH69" s="244">
        <f t="shared" si="42"/>
        <v>22402.78</v>
      </c>
      <c r="AI69" s="256">
        <f t="shared" si="24"/>
        <v>95000</v>
      </c>
      <c r="AJ69" s="248"/>
      <c r="AK69" s="285"/>
      <c r="AL69" s="258"/>
      <c r="AM69" s="286">
        <v>50000</v>
      </c>
      <c r="AN69" s="285">
        <v>2113.41</v>
      </c>
      <c r="AO69" s="250">
        <v>40000</v>
      </c>
      <c r="AP69" s="248">
        <v>50000</v>
      </c>
      <c r="AQ69" s="285">
        <v>13773.37</v>
      </c>
      <c r="AR69" s="260">
        <v>40000</v>
      </c>
      <c r="AS69" s="248">
        <v>0</v>
      </c>
      <c r="AT69" s="285">
        <v>6516</v>
      </c>
      <c r="AU69" s="256">
        <v>15000</v>
      </c>
    </row>
    <row r="70" spans="1:47" x14ac:dyDescent="0.2">
      <c r="A70" s="236">
        <v>59</v>
      </c>
      <c r="B70" s="237" t="s">
        <v>1423</v>
      </c>
      <c r="C70" s="238" t="s">
        <v>1424</v>
      </c>
      <c r="D70" s="239">
        <f t="shared" si="40"/>
        <v>87500</v>
      </c>
      <c r="E70" s="305">
        <f t="shared" si="40"/>
        <v>28326</v>
      </c>
      <c r="F70" s="241">
        <f t="shared" si="7"/>
        <v>0.32372571428571428</v>
      </c>
      <c r="G70" s="287">
        <f t="shared" si="41"/>
        <v>180000</v>
      </c>
      <c r="H70" s="243"/>
      <c r="I70" s="244">
        <v>0</v>
      </c>
      <c r="J70" s="283"/>
      <c r="K70" s="258"/>
      <c r="L70" s="245">
        <f t="shared" si="4"/>
        <v>87500</v>
      </c>
      <c r="M70" s="248">
        <f t="shared" si="4"/>
        <v>28326</v>
      </c>
      <c r="N70" s="247">
        <f t="shared" si="4"/>
        <v>180000</v>
      </c>
      <c r="O70" s="248"/>
      <c r="P70" s="283"/>
      <c r="Q70" s="250"/>
      <c r="R70" s="251">
        <v>87500</v>
      </c>
      <c r="S70" s="283">
        <v>28326</v>
      </c>
      <c r="T70" s="250">
        <v>170000</v>
      </c>
      <c r="U70" s="252"/>
      <c r="V70" s="285"/>
      <c r="W70" s="258"/>
      <c r="X70" s="254"/>
      <c r="Y70" s="255"/>
      <c r="Z70" s="250">
        <v>10000</v>
      </c>
      <c r="AA70" s="255"/>
      <c r="AB70" s="255"/>
      <c r="AC70" s="250"/>
      <c r="AD70" s="244"/>
      <c r="AE70" s="285"/>
      <c r="AF70" s="256"/>
      <c r="AG70" s="248">
        <f t="shared" si="42"/>
        <v>0</v>
      </c>
      <c r="AH70" s="244">
        <f t="shared" si="42"/>
        <v>0</v>
      </c>
      <c r="AI70" s="256">
        <f t="shared" si="24"/>
        <v>0</v>
      </c>
      <c r="AJ70" s="248"/>
      <c r="AK70" s="285"/>
      <c r="AL70" s="258"/>
      <c r="AM70" s="286"/>
      <c r="AN70" s="285"/>
      <c r="AO70" s="250"/>
      <c r="AP70" s="248">
        <v>0</v>
      </c>
      <c r="AQ70" s="285"/>
      <c r="AR70" s="260"/>
      <c r="AS70" s="248"/>
      <c r="AT70" s="285"/>
      <c r="AU70" s="256"/>
    </row>
    <row r="71" spans="1:47" x14ac:dyDescent="0.2">
      <c r="A71" s="236">
        <v>60</v>
      </c>
      <c r="B71" s="237" t="s">
        <v>1425</v>
      </c>
      <c r="C71" s="238" t="s">
        <v>1426</v>
      </c>
      <c r="D71" s="239">
        <f t="shared" si="40"/>
        <v>50000</v>
      </c>
      <c r="E71" s="305">
        <f t="shared" si="40"/>
        <v>14031.28</v>
      </c>
      <c r="F71" s="241">
        <f t="shared" si="7"/>
        <v>0.28062560000000003</v>
      </c>
      <c r="G71" s="287">
        <f t="shared" si="41"/>
        <v>117000</v>
      </c>
      <c r="H71" s="243"/>
      <c r="I71" s="244">
        <v>0</v>
      </c>
      <c r="J71" s="283">
        <v>598</v>
      </c>
      <c r="K71" s="258">
        <v>2000</v>
      </c>
      <c r="L71" s="245">
        <f t="shared" si="4"/>
        <v>50000</v>
      </c>
      <c r="M71" s="248">
        <f t="shared" si="4"/>
        <v>12254</v>
      </c>
      <c r="N71" s="247">
        <f t="shared" si="4"/>
        <v>105000</v>
      </c>
      <c r="O71" s="248"/>
      <c r="P71" s="283"/>
      <c r="Q71" s="250">
        <v>5000</v>
      </c>
      <c r="R71" s="251"/>
      <c r="S71" s="283"/>
      <c r="T71" s="250">
        <v>5000</v>
      </c>
      <c r="U71" s="252"/>
      <c r="V71" s="285"/>
      <c r="W71" s="258">
        <v>5000</v>
      </c>
      <c r="X71" s="254"/>
      <c r="Y71" s="255"/>
      <c r="Z71" s="250">
        <v>30000</v>
      </c>
      <c r="AA71" s="255"/>
      <c r="AB71" s="255"/>
      <c r="AC71" s="250">
        <v>10000</v>
      </c>
      <c r="AD71" s="244">
        <v>50000</v>
      </c>
      <c r="AE71" s="285">
        <v>12254</v>
      </c>
      <c r="AF71" s="256">
        <v>50000</v>
      </c>
      <c r="AG71" s="248">
        <f t="shared" si="42"/>
        <v>0</v>
      </c>
      <c r="AH71" s="244">
        <f t="shared" si="42"/>
        <v>1179.28</v>
      </c>
      <c r="AI71" s="256">
        <f t="shared" si="24"/>
        <v>10000</v>
      </c>
      <c r="AJ71" s="248"/>
      <c r="AK71" s="285"/>
      <c r="AL71" s="258"/>
      <c r="AM71" s="286">
        <v>0</v>
      </c>
      <c r="AN71" s="285">
        <v>912.35</v>
      </c>
      <c r="AO71" s="250">
        <v>5000</v>
      </c>
      <c r="AP71" s="248"/>
      <c r="AQ71" s="285">
        <v>266.93</v>
      </c>
      <c r="AR71" s="260">
        <v>5000</v>
      </c>
      <c r="AS71" s="248"/>
      <c r="AT71" s="285"/>
      <c r="AU71" s="256"/>
    </row>
    <row r="72" spans="1:47" x14ac:dyDescent="0.2">
      <c r="A72" s="236">
        <v>61</v>
      </c>
      <c r="B72" s="237" t="s">
        <v>1427</v>
      </c>
      <c r="C72" s="238" t="s">
        <v>1428</v>
      </c>
      <c r="D72" s="239">
        <f t="shared" si="40"/>
        <v>200000</v>
      </c>
      <c r="E72" s="305">
        <f t="shared" si="40"/>
        <v>19991.55</v>
      </c>
      <c r="F72" s="241">
        <f t="shared" si="7"/>
        <v>9.9957749999999998E-2</v>
      </c>
      <c r="G72" s="287">
        <f t="shared" si="41"/>
        <v>160000</v>
      </c>
      <c r="H72" s="243"/>
      <c r="I72" s="244">
        <v>0</v>
      </c>
      <c r="J72" s="283">
        <v>7809</v>
      </c>
      <c r="K72" s="258">
        <v>15000</v>
      </c>
      <c r="L72" s="245">
        <f t="shared" si="4"/>
        <v>180000</v>
      </c>
      <c r="M72" s="248">
        <f t="shared" si="4"/>
        <v>10591.2</v>
      </c>
      <c r="N72" s="247">
        <f t="shared" si="4"/>
        <v>125000</v>
      </c>
      <c r="O72" s="248">
        <v>20000</v>
      </c>
      <c r="P72" s="283">
        <v>0</v>
      </c>
      <c r="Q72" s="250">
        <v>20000</v>
      </c>
      <c r="R72" s="251">
        <v>10000</v>
      </c>
      <c r="S72" s="283">
        <v>2824.14</v>
      </c>
      <c r="T72" s="250">
        <v>10000</v>
      </c>
      <c r="U72" s="252"/>
      <c r="V72" s="285"/>
      <c r="W72" s="258"/>
      <c r="X72" s="254"/>
      <c r="Y72" s="255"/>
      <c r="Z72" s="250">
        <v>10000</v>
      </c>
      <c r="AA72" s="255"/>
      <c r="AB72" s="255"/>
      <c r="AC72" s="250">
        <v>10000</v>
      </c>
      <c r="AD72" s="244">
        <v>150000</v>
      </c>
      <c r="AE72" s="285">
        <v>7767.06</v>
      </c>
      <c r="AF72" s="256">
        <v>75000</v>
      </c>
      <c r="AG72" s="248">
        <f t="shared" si="42"/>
        <v>20000</v>
      </c>
      <c r="AH72" s="244">
        <f t="shared" si="42"/>
        <v>1591.35</v>
      </c>
      <c r="AI72" s="256">
        <f t="shared" si="24"/>
        <v>20000</v>
      </c>
      <c r="AJ72" s="248"/>
      <c r="AK72" s="285"/>
      <c r="AL72" s="258"/>
      <c r="AM72" s="286">
        <v>10000</v>
      </c>
      <c r="AN72" s="285">
        <v>1001.27</v>
      </c>
      <c r="AO72" s="250">
        <v>10000</v>
      </c>
      <c r="AP72" s="248">
        <v>10000</v>
      </c>
      <c r="AQ72" s="285">
        <v>590.08000000000004</v>
      </c>
      <c r="AR72" s="260">
        <v>10000</v>
      </c>
      <c r="AS72" s="248"/>
      <c r="AT72" s="285"/>
      <c r="AU72" s="256"/>
    </row>
    <row r="73" spans="1:47" x14ac:dyDescent="0.2">
      <c r="A73" s="236">
        <v>62</v>
      </c>
      <c r="B73" s="237" t="s">
        <v>1429</v>
      </c>
      <c r="C73" s="238" t="s">
        <v>1430</v>
      </c>
      <c r="D73" s="239">
        <f t="shared" si="40"/>
        <v>1467963</v>
      </c>
      <c r="E73" s="305">
        <f t="shared" si="40"/>
        <v>179912.99000000002</v>
      </c>
      <c r="F73" s="241">
        <f t="shared" si="7"/>
        <v>0.12255962173433528</v>
      </c>
      <c r="G73" s="287">
        <f t="shared" si="41"/>
        <v>2155000</v>
      </c>
      <c r="H73" s="243"/>
      <c r="I73" s="244">
        <v>0</v>
      </c>
      <c r="J73" s="283"/>
      <c r="K73" s="258"/>
      <c r="L73" s="245">
        <f t="shared" si="4"/>
        <v>50000</v>
      </c>
      <c r="M73" s="248">
        <f t="shared" si="4"/>
        <v>2698.7</v>
      </c>
      <c r="N73" s="247">
        <f t="shared" si="4"/>
        <v>50000</v>
      </c>
      <c r="O73" s="248">
        <v>0</v>
      </c>
      <c r="P73" s="283">
        <v>0</v>
      </c>
      <c r="Q73" s="250"/>
      <c r="R73" s="251">
        <v>0</v>
      </c>
      <c r="S73" s="283"/>
      <c r="T73" s="250"/>
      <c r="U73" s="252"/>
      <c r="V73" s="285"/>
      <c r="W73" s="258"/>
      <c r="X73" s="254"/>
      <c r="Y73" s="255"/>
      <c r="Z73" s="250"/>
      <c r="AA73" s="255"/>
      <c r="AB73" s="255"/>
      <c r="AC73" s="250"/>
      <c r="AD73" s="244">
        <v>50000</v>
      </c>
      <c r="AE73" s="285">
        <v>2698.7</v>
      </c>
      <c r="AF73" s="256">
        <v>50000</v>
      </c>
      <c r="AG73" s="248">
        <f t="shared" si="42"/>
        <v>1417963</v>
      </c>
      <c r="AH73" s="244">
        <f t="shared" si="42"/>
        <v>177214.29</v>
      </c>
      <c r="AI73" s="256">
        <f t="shared" si="24"/>
        <v>2105000</v>
      </c>
      <c r="AJ73" s="248"/>
      <c r="AK73" s="285"/>
      <c r="AL73" s="258"/>
      <c r="AM73" s="286">
        <v>1117963</v>
      </c>
      <c r="AN73" s="285">
        <v>175061.62</v>
      </c>
      <c r="AO73" s="250">
        <v>1800000</v>
      </c>
      <c r="AP73" s="248">
        <v>300000</v>
      </c>
      <c r="AQ73" s="285">
        <v>0</v>
      </c>
      <c r="AR73" s="260">
        <v>300000</v>
      </c>
      <c r="AS73" s="248">
        <v>0</v>
      </c>
      <c r="AT73" s="285">
        <v>2152.67</v>
      </c>
      <c r="AU73" s="256">
        <v>5000</v>
      </c>
    </row>
    <row r="74" spans="1:47" x14ac:dyDescent="0.2">
      <c r="A74" s="236">
        <v>63</v>
      </c>
      <c r="B74" s="237" t="s">
        <v>1431</v>
      </c>
      <c r="C74" s="238" t="s">
        <v>1432</v>
      </c>
      <c r="D74" s="239">
        <f t="shared" si="40"/>
        <v>150000</v>
      </c>
      <c r="E74" s="305">
        <f t="shared" si="40"/>
        <v>24680</v>
      </c>
      <c r="F74" s="241">
        <f t="shared" si="7"/>
        <v>0.16453333333333334</v>
      </c>
      <c r="G74" s="287">
        <f t="shared" si="41"/>
        <v>131000</v>
      </c>
      <c r="H74" s="243"/>
      <c r="I74" s="244"/>
      <c r="J74" s="283">
        <v>360</v>
      </c>
      <c r="K74" s="258">
        <v>1000</v>
      </c>
      <c r="L74" s="245">
        <f t="shared" si="4"/>
        <v>150000</v>
      </c>
      <c r="M74" s="248">
        <f t="shared" si="4"/>
        <v>24320</v>
      </c>
      <c r="N74" s="247">
        <f t="shared" si="4"/>
        <v>130000</v>
      </c>
      <c r="O74" s="248">
        <v>0</v>
      </c>
      <c r="P74" s="283">
        <v>6211</v>
      </c>
      <c r="Q74" s="250">
        <v>20000</v>
      </c>
      <c r="R74" s="251"/>
      <c r="S74" s="283"/>
      <c r="T74" s="250"/>
      <c r="U74" s="252"/>
      <c r="V74" s="285"/>
      <c r="W74" s="258"/>
      <c r="X74" s="254"/>
      <c r="Y74" s="255"/>
      <c r="Z74" s="250"/>
      <c r="AA74" s="255"/>
      <c r="AB74" s="255"/>
      <c r="AC74" s="250">
        <v>10000</v>
      </c>
      <c r="AD74" s="244">
        <v>150000</v>
      </c>
      <c r="AE74" s="285">
        <v>18109</v>
      </c>
      <c r="AF74" s="256">
        <v>100000</v>
      </c>
      <c r="AG74" s="248">
        <f t="shared" si="42"/>
        <v>0</v>
      </c>
      <c r="AH74" s="244">
        <f t="shared" si="42"/>
        <v>0</v>
      </c>
      <c r="AI74" s="256">
        <f t="shared" si="24"/>
        <v>0</v>
      </c>
      <c r="AJ74" s="248"/>
      <c r="AK74" s="285"/>
      <c r="AL74" s="258"/>
      <c r="AM74" s="286"/>
      <c r="AN74" s="285"/>
      <c r="AO74" s="250"/>
      <c r="AP74" s="248"/>
      <c r="AQ74" s="285"/>
      <c r="AR74" s="260"/>
      <c r="AS74" s="248"/>
      <c r="AT74" s="285"/>
      <c r="AU74" s="256"/>
    </row>
    <row r="75" spans="1:47" x14ac:dyDescent="0.2">
      <c r="A75" s="236">
        <v>64</v>
      </c>
      <c r="B75" s="237" t="s">
        <v>1433</v>
      </c>
      <c r="C75" s="238" t="s">
        <v>1434</v>
      </c>
      <c r="D75" s="239">
        <f t="shared" si="40"/>
        <v>80000</v>
      </c>
      <c r="E75" s="305">
        <f t="shared" si="40"/>
        <v>71922.25</v>
      </c>
      <c r="F75" s="241">
        <f t="shared" si="7"/>
        <v>0.89902812499999996</v>
      </c>
      <c r="G75" s="287">
        <f t="shared" si="41"/>
        <v>190000</v>
      </c>
      <c r="H75" s="243"/>
      <c r="I75" s="244"/>
      <c r="J75" s="283">
        <v>264.83999999999997</v>
      </c>
      <c r="K75" s="258"/>
      <c r="L75" s="245">
        <f t="shared" si="4"/>
        <v>80000</v>
      </c>
      <c r="M75" s="248">
        <f t="shared" si="4"/>
        <v>71657.41</v>
      </c>
      <c r="N75" s="247">
        <f t="shared" si="4"/>
        <v>190000</v>
      </c>
      <c r="O75" s="248">
        <v>0</v>
      </c>
      <c r="P75" s="283"/>
      <c r="Q75" s="250"/>
      <c r="R75" s="251"/>
      <c r="S75" s="283">
        <v>22385</v>
      </c>
      <c r="T75" s="250">
        <v>70000</v>
      </c>
      <c r="U75" s="252"/>
      <c r="V75" s="285"/>
      <c r="W75" s="258"/>
      <c r="X75" s="254"/>
      <c r="Y75" s="255"/>
      <c r="Z75" s="250"/>
      <c r="AA75" s="255"/>
      <c r="AB75" s="255"/>
      <c r="AC75" s="250"/>
      <c r="AD75" s="244">
        <v>80000</v>
      </c>
      <c r="AE75" s="285">
        <v>49272.41</v>
      </c>
      <c r="AF75" s="256">
        <v>120000</v>
      </c>
      <c r="AG75" s="248">
        <f t="shared" si="42"/>
        <v>0</v>
      </c>
      <c r="AH75" s="244">
        <f t="shared" si="42"/>
        <v>0</v>
      </c>
      <c r="AI75" s="256">
        <f t="shared" si="24"/>
        <v>0</v>
      </c>
      <c r="AJ75" s="248"/>
      <c r="AK75" s="285"/>
      <c r="AL75" s="258"/>
      <c r="AM75" s="286"/>
      <c r="AN75" s="285"/>
      <c r="AO75" s="250"/>
      <c r="AP75" s="248"/>
      <c r="AQ75" s="285"/>
      <c r="AR75" s="260"/>
      <c r="AS75" s="248"/>
      <c r="AT75" s="285"/>
      <c r="AU75" s="256"/>
    </row>
    <row r="76" spans="1:47" x14ac:dyDescent="0.2">
      <c r="A76" s="236">
        <v>65</v>
      </c>
      <c r="B76" s="237" t="s">
        <v>1435</v>
      </c>
      <c r="C76" s="238" t="s">
        <v>1436</v>
      </c>
      <c r="D76" s="239">
        <f t="shared" si="40"/>
        <v>35000</v>
      </c>
      <c r="E76" s="305">
        <f t="shared" si="40"/>
        <v>77829</v>
      </c>
      <c r="F76" s="241">
        <f t="shared" si="7"/>
        <v>2.2236857142857143</v>
      </c>
      <c r="G76" s="287">
        <f t="shared" si="41"/>
        <v>480000</v>
      </c>
      <c r="H76" s="243"/>
      <c r="I76" s="244"/>
      <c r="J76" s="283"/>
      <c r="K76" s="258"/>
      <c r="L76" s="245">
        <f t="shared" si="4"/>
        <v>35000</v>
      </c>
      <c r="M76" s="248">
        <f t="shared" si="4"/>
        <v>77829</v>
      </c>
      <c r="N76" s="247">
        <f t="shared" si="4"/>
        <v>480000</v>
      </c>
      <c r="O76" s="248"/>
      <c r="P76" s="283">
        <v>257</v>
      </c>
      <c r="Q76" s="250">
        <v>30000</v>
      </c>
      <c r="R76" s="251"/>
      <c r="S76" s="283"/>
      <c r="T76" s="250"/>
      <c r="U76" s="252"/>
      <c r="V76" s="285"/>
      <c r="W76" s="258"/>
      <c r="X76" s="254"/>
      <c r="Y76" s="255"/>
      <c r="Z76" s="250"/>
      <c r="AA76" s="255"/>
      <c r="AB76" s="255"/>
      <c r="AC76" s="250">
        <v>250000</v>
      </c>
      <c r="AD76" s="244">
        <v>35000</v>
      </c>
      <c r="AE76" s="285">
        <v>77572</v>
      </c>
      <c r="AF76" s="256">
        <v>200000</v>
      </c>
      <c r="AG76" s="248">
        <f t="shared" si="42"/>
        <v>0</v>
      </c>
      <c r="AH76" s="244">
        <f t="shared" si="42"/>
        <v>0</v>
      </c>
      <c r="AI76" s="256">
        <f t="shared" si="24"/>
        <v>0</v>
      </c>
      <c r="AJ76" s="248"/>
      <c r="AK76" s="285"/>
      <c r="AL76" s="258"/>
      <c r="AM76" s="286"/>
      <c r="AN76" s="285"/>
      <c r="AO76" s="250"/>
      <c r="AP76" s="248"/>
      <c r="AQ76" s="285"/>
      <c r="AR76" s="260"/>
      <c r="AS76" s="248"/>
      <c r="AT76" s="285"/>
      <c r="AU76" s="256"/>
    </row>
    <row r="77" spans="1:47" x14ac:dyDescent="0.2">
      <c r="A77" s="236">
        <v>66</v>
      </c>
      <c r="B77" s="237" t="s">
        <v>1437</v>
      </c>
      <c r="C77" s="238" t="s">
        <v>1438</v>
      </c>
      <c r="D77" s="239">
        <f t="shared" si="40"/>
        <v>50000</v>
      </c>
      <c r="E77" s="305">
        <f t="shared" si="40"/>
        <v>10248</v>
      </c>
      <c r="F77" s="241">
        <f t="shared" si="7"/>
        <v>0.20496</v>
      </c>
      <c r="G77" s="287">
        <f>SUM(K77,N77,AI77)</f>
        <v>50000</v>
      </c>
      <c r="H77" s="243"/>
      <c r="I77" s="244"/>
      <c r="J77" s="283"/>
      <c r="K77" s="258"/>
      <c r="L77" s="245">
        <f t="shared" si="4"/>
        <v>50000</v>
      </c>
      <c r="M77" s="248">
        <f t="shared" si="4"/>
        <v>10248</v>
      </c>
      <c r="N77" s="247">
        <f t="shared" si="4"/>
        <v>50000</v>
      </c>
      <c r="O77" s="248"/>
      <c r="P77" s="283"/>
      <c r="Q77" s="250"/>
      <c r="R77" s="251"/>
      <c r="S77" s="283"/>
      <c r="T77" s="250"/>
      <c r="U77" s="252"/>
      <c r="V77" s="285"/>
      <c r="W77" s="258"/>
      <c r="X77" s="254"/>
      <c r="Y77" s="255"/>
      <c r="Z77" s="250"/>
      <c r="AA77" s="255"/>
      <c r="AB77" s="255"/>
      <c r="AC77" s="250"/>
      <c r="AD77" s="244">
        <v>50000</v>
      </c>
      <c r="AE77" s="285">
        <v>10248</v>
      </c>
      <c r="AF77" s="256">
        <v>50000</v>
      </c>
      <c r="AG77" s="248">
        <f t="shared" si="42"/>
        <v>0</v>
      </c>
      <c r="AH77" s="244">
        <f t="shared" si="42"/>
        <v>0</v>
      </c>
      <c r="AI77" s="256">
        <f t="shared" si="24"/>
        <v>0</v>
      </c>
      <c r="AJ77" s="248"/>
      <c r="AK77" s="285"/>
      <c r="AL77" s="258"/>
      <c r="AM77" s="286"/>
      <c r="AN77" s="285"/>
      <c r="AO77" s="250"/>
      <c r="AP77" s="248"/>
      <c r="AQ77" s="285"/>
      <c r="AR77" s="260"/>
      <c r="AS77" s="248"/>
      <c r="AT77" s="285"/>
      <c r="AU77" s="256"/>
    </row>
    <row r="78" spans="1:47" x14ac:dyDescent="0.2">
      <c r="A78" s="236">
        <v>67</v>
      </c>
      <c r="B78" s="237" t="s">
        <v>1439</v>
      </c>
      <c r="C78" s="238" t="s">
        <v>1440</v>
      </c>
      <c r="D78" s="239">
        <f t="shared" si="40"/>
        <v>25000</v>
      </c>
      <c r="E78" s="295">
        <f t="shared" si="40"/>
        <v>1689.53</v>
      </c>
      <c r="F78" s="241">
        <f t="shared" si="7"/>
        <v>6.7581199999999994E-2</v>
      </c>
      <c r="G78" s="297">
        <f>SUM(K78,N78,AI78)</f>
        <v>12000</v>
      </c>
      <c r="H78" s="243"/>
      <c r="I78" s="244">
        <v>10000</v>
      </c>
      <c r="J78" s="295">
        <v>1689.53</v>
      </c>
      <c r="K78" s="258">
        <v>5000</v>
      </c>
      <c r="L78" s="245">
        <f t="shared" si="4"/>
        <v>15000</v>
      </c>
      <c r="M78" s="248">
        <f t="shared" si="4"/>
        <v>0</v>
      </c>
      <c r="N78" s="247">
        <f t="shared" si="4"/>
        <v>7000</v>
      </c>
      <c r="O78" s="248"/>
      <c r="P78" s="314"/>
      <c r="Q78" s="250"/>
      <c r="R78" s="251"/>
      <c r="S78" s="314"/>
      <c r="T78" s="250"/>
      <c r="U78" s="286"/>
      <c r="V78" s="315"/>
      <c r="W78" s="258"/>
      <c r="X78" s="254"/>
      <c r="Y78" s="255"/>
      <c r="Z78" s="250">
        <v>2000</v>
      </c>
      <c r="AA78" s="255"/>
      <c r="AB78" s="255"/>
      <c r="AC78" s="250"/>
      <c r="AD78" s="244">
        <v>15000</v>
      </c>
      <c r="AE78" s="315">
        <v>0</v>
      </c>
      <c r="AF78" s="256">
        <v>5000</v>
      </c>
      <c r="AG78" s="248">
        <f t="shared" si="42"/>
        <v>0</v>
      </c>
      <c r="AH78" s="244">
        <f t="shared" si="42"/>
        <v>0</v>
      </c>
      <c r="AI78" s="256">
        <f>SUM(AL78,AO78,AR78,AU78)</f>
        <v>0</v>
      </c>
      <c r="AJ78" s="248"/>
      <c r="AK78" s="315"/>
      <c r="AL78" s="258"/>
      <c r="AM78" s="286"/>
      <c r="AN78" s="315"/>
      <c r="AO78" s="250"/>
      <c r="AP78" s="248"/>
      <c r="AQ78" s="315"/>
      <c r="AR78" s="260"/>
      <c r="AS78" s="248"/>
      <c r="AT78" s="315"/>
      <c r="AU78" s="256"/>
    </row>
    <row r="79" spans="1:47" x14ac:dyDescent="0.2">
      <c r="A79" s="236">
        <v>68</v>
      </c>
      <c r="B79" s="237" t="s">
        <v>1439</v>
      </c>
      <c r="C79" s="238" t="s">
        <v>1441</v>
      </c>
      <c r="D79" s="239">
        <f t="shared" si="40"/>
        <v>13600000</v>
      </c>
      <c r="E79" s="295">
        <f t="shared" si="40"/>
        <v>7828707.1500000004</v>
      </c>
      <c r="F79" s="241">
        <f t="shared" si="7"/>
        <v>0.5756402316176471</v>
      </c>
      <c r="G79" s="297">
        <f>SUM(K79,N79,AI79)</f>
        <v>17100000</v>
      </c>
      <c r="H79" s="243"/>
      <c r="I79" s="244"/>
      <c r="J79" s="295"/>
      <c r="K79" s="258"/>
      <c r="L79" s="245">
        <f t="shared" si="4"/>
        <v>0</v>
      </c>
      <c r="M79" s="248">
        <f t="shared" si="4"/>
        <v>0</v>
      </c>
      <c r="N79" s="247">
        <f t="shared" si="4"/>
        <v>0</v>
      </c>
      <c r="O79" s="248"/>
      <c r="P79" s="314"/>
      <c r="Q79" s="250"/>
      <c r="R79" s="251"/>
      <c r="S79" s="314"/>
      <c r="T79" s="250"/>
      <c r="U79" s="286"/>
      <c r="V79" s="315"/>
      <c r="W79" s="258"/>
      <c r="X79" s="254"/>
      <c r="Y79" s="255"/>
      <c r="Z79" s="250"/>
      <c r="AA79" s="255"/>
      <c r="AB79" s="255"/>
      <c r="AC79" s="250"/>
      <c r="AD79" s="244"/>
      <c r="AE79" s="315"/>
      <c r="AF79" s="256"/>
      <c r="AG79" s="248">
        <f t="shared" si="42"/>
        <v>13600000</v>
      </c>
      <c r="AH79" s="244">
        <f t="shared" si="42"/>
        <v>7828707.1500000004</v>
      </c>
      <c r="AI79" s="256">
        <f>SUM(AL79,AO79,AR79,AU79)</f>
        <v>17100000</v>
      </c>
      <c r="AJ79" s="248"/>
      <c r="AK79" s="315"/>
      <c r="AL79" s="258"/>
      <c r="AM79" s="286">
        <v>5100000</v>
      </c>
      <c r="AN79" s="315">
        <v>3788029.65</v>
      </c>
      <c r="AO79" s="250">
        <v>8500000</v>
      </c>
      <c r="AP79" s="248"/>
      <c r="AQ79" s="315"/>
      <c r="AR79" s="260"/>
      <c r="AS79" s="248">
        <v>8500000</v>
      </c>
      <c r="AT79" s="315">
        <v>4040677.5</v>
      </c>
      <c r="AU79" s="256">
        <v>8600000</v>
      </c>
    </row>
    <row r="80" spans="1:47" x14ac:dyDescent="0.2">
      <c r="A80" s="236">
        <v>69</v>
      </c>
      <c r="B80" s="237" t="s">
        <v>1442</v>
      </c>
      <c r="C80" s="238" t="s">
        <v>1443</v>
      </c>
      <c r="D80" s="239">
        <f t="shared" si="40"/>
        <v>375000</v>
      </c>
      <c r="E80" s="295">
        <f t="shared" si="40"/>
        <v>229877.3</v>
      </c>
      <c r="F80" s="241">
        <f t="shared" si="7"/>
        <v>0.61300613333333331</v>
      </c>
      <c r="G80" s="297">
        <f>SUM(K80,N80,AI80)</f>
        <v>530000</v>
      </c>
      <c r="H80" s="243"/>
      <c r="I80" s="244">
        <v>80000</v>
      </c>
      <c r="J80" s="295">
        <v>80975</v>
      </c>
      <c r="K80" s="258">
        <v>160000</v>
      </c>
      <c r="L80" s="245">
        <f t="shared" si="4"/>
        <v>45000</v>
      </c>
      <c r="M80" s="248">
        <f t="shared" si="4"/>
        <v>39856.870000000003</v>
      </c>
      <c r="N80" s="247">
        <f t="shared" si="4"/>
        <v>90000</v>
      </c>
      <c r="O80" s="248"/>
      <c r="P80" s="314"/>
      <c r="Q80" s="250"/>
      <c r="R80" s="251"/>
      <c r="S80" s="314"/>
      <c r="T80" s="250"/>
      <c r="U80" s="286"/>
      <c r="V80" s="315"/>
      <c r="W80" s="258"/>
      <c r="X80" s="254"/>
      <c r="Y80" s="255"/>
      <c r="Z80" s="250"/>
      <c r="AA80" s="255"/>
      <c r="AB80" s="255"/>
      <c r="AC80" s="250"/>
      <c r="AD80" s="244">
        <v>45000</v>
      </c>
      <c r="AE80" s="315">
        <v>39856.870000000003</v>
      </c>
      <c r="AF80" s="256">
        <v>90000</v>
      </c>
      <c r="AG80" s="248">
        <f t="shared" si="42"/>
        <v>250000</v>
      </c>
      <c r="AH80" s="244">
        <f t="shared" si="42"/>
        <v>109045.43</v>
      </c>
      <c r="AI80" s="256">
        <f t="shared" si="24"/>
        <v>280000</v>
      </c>
      <c r="AJ80" s="248"/>
      <c r="AK80" s="315"/>
      <c r="AL80" s="258"/>
      <c r="AM80" s="286"/>
      <c r="AN80" s="315"/>
      <c r="AO80" s="250"/>
      <c r="AP80" s="248">
        <v>250000</v>
      </c>
      <c r="AQ80" s="315">
        <v>109045.43</v>
      </c>
      <c r="AR80" s="260">
        <v>280000</v>
      </c>
      <c r="AS80" s="248"/>
      <c r="AT80" s="315"/>
      <c r="AU80" s="256"/>
    </row>
    <row r="81" spans="1:47" x14ac:dyDescent="0.2">
      <c r="A81" s="236">
        <v>70</v>
      </c>
      <c r="B81" s="237" t="s">
        <v>1444</v>
      </c>
      <c r="C81" s="238" t="s">
        <v>1445</v>
      </c>
      <c r="D81" s="239">
        <f t="shared" si="40"/>
        <v>1790000</v>
      </c>
      <c r="E81" s="295">
        <f t="shared" si="40"/>
        <v>827262.14</v>
      </c>
      <c r="F81" s="241">
        <f t="shared" si="7"/>
        <v>0.46215762011173184</v>
      </c>
      <c r="G81" s="297">
        <f>SUM(K81,N81,AI81)</f>
        <v>2030000</v>
      </c>
      <c r="H81" s="243"/>
      <c r="I81" s="244">
        <v>40000</v>
      </c>
      <c r="J81" s="295">
        <v>37520.43</v>
      </c>
      <c r="K81" s="258">
        <v>80000</v>
      </c>
      <c r="L81" s="245">
        <f t="shared" si="4"/>
        <v>50000</v>
      </c>
      <c r="M81" s="248">
        <f t="shared" si="4"/>
        <v>3939.91</v>
      </c>
      <c r="N81" s="247">
        <f t="shared" si="4"/>
        <v>130000</v>
      </c>
      <c r="O81" s="248"/>
      <c r="P81" s="314"/>
      <c r="Q81" s="250"/>
      <c r="R81" s="251"/>
      <c r="S81" s="314"/>
      <c r="T81" s="250"/>
      <c r="U81" s="286"/>
      <c r="V81" s="315"/>
      <c r="W81" s="258"/>
      <c r="X81" s="254"/>
      <c r="Y81" s="255"/>
      <c r="Z81" s="250">
        <v>100000</v>
      </c>
      <c r="AA81" s="255"/>
      <c r="AB81" s="255"/>
      <c r="AC81" s="250"/>
      <c r="AD81" s="244">
        <v>50000</v>
      </c>
      <c r="AE81" s="315">
        <v>3939.91</v>
      </c>
      <c r="AF81" s="256">
        <v>30000</v>
      </c>
      <c r="AG81" s="248">
        <f t="shared" si="42"/>
        <v>1700000</v>
      </c>
      <c r="AH81" s="244">
        <f t="shared" si="42"/>
        <v>785801.8</v>
      </c>
      <c r="AI81" s="256">
        <f t="shared" si="24"/>
        <v>1820000</v>
      </c>
      <c r="AJ81" s="248"/>
      <c r="AK81" s="315"/>
      <c r="AL81" s="258"/>
      <c r="AM81" s="286">
        <v>250000</v>
      </c>
      <c r="AN81" s="315">
        <v>92127.64</v>
      </c>
      <c r="AO81" s="250">
        <v>270000</v>
      </c>
      <c r="AP81" s="248">
        <v>750000</v>
      </c>
      <c r="AQ81" s="315">
        <v>422185.98</v>
      </c>
      <c r="AR81" s="260">
        <v>950000</v>
      </c>
      <c r="AS81" s="248">
        <v>700000</v>
      </c>
      <c r="AT81" s="315">
        <v>271488.18</v>
      </c>
      <c r="AU81" s="256">
        <v>600000</v>
      </c>
    </row>
    <row r="82" spans="1:47" x14ac:dyDescent="0.2">
      <c r="A82" s="236">
        <v>71</v>
      </c>
      <c r="B82" s="237" t="s">
        <v>1446</v>
      </c>
      <c r="C82" s="238" t="s">
        <v>1447</v>
      </c>
      <c r="D82" s="239">
        <f t="shared" si="40"/>
        <v>1195000</v>
      </c>
      <c r="E82" s="295">
        <f t="shared" si="40"/>
        <v>551473.52</v>
      </c>
      <c r="F82" s="241">
        <f t="shared" si="7"/>
        <v>0.46148411715481175</v>
      </c>
      <c r="G82" s="297">
        <f t="shared" ref="G82:G89" si="43">SUM(K82,N82,AI82)</f>
        <v>1900000</v>
      </c>
      <c r="H82" s="243"/>
      <c r="I82" s="244">
        <v>30000</v>
      </c>
      <c r="J82" s="295">
        <v>6520.7</v>
      </c>
      <c r="K82" s="258">
        <v>30000</v>
      </c>
      <c r="L82" s="245">
        <f t="shared" si="4"/>
        <v>1035000</v>
      </c>
      <c r="M82" s="248">
        <f t="shared" si="4"/>
        <v>489585.80000000005</v>
      </c>
      <c r="N82" s="247">
        <f t="shared" si="4"/>
        <v>1740000</v>
      </c>
      <c r="O82" s="248">
        <v>70000</v>
      </c>
      <c r="P82" s="314">
        <v>42457.72</v>
      </c>
      <c r="Q82" s="250">
        <v>90000</v>
      </c>
      <c r="R82" s="251">
        <v>550000</v>
      </c>
      <c r="S82" s="314">
        <v>259755.73</v>
      </c>
      <c r="T82" s="250">
        <v>800000</v>
      </c>
      <c r="U82" s="286">
        <v>10000</v>
      </c>
      <c r="V82" s="315">
        <v>0</v>
      </c>
      <c r="W82" s="258"/>
      <c r="X82" s="254"/>
      <c r="Y82" s="255"/>
      <c r="Z82" s="250">
        <v>300000</v>
      </c>
      <c r="AA82" s="255"/>
      <c r="AB82" s="255"/>
      <c r="AC82" s="250">
        <v>130000</v>
      </c>
      <c r="AD82" s="244">
        <v>405000</v>
      </c>
      <c r="AE82" s="315">
        <v>187372.35</v>
      </c>
      <c r="AF82" s="256">
        <v>420000</v>
      </c>
      <c r="AG82" s="248">
        <f t="shared" si="42"/>
        <v>130000</v>
      </c>
      <c r="AH82" s="244">
        <f t="shared" si="42"/>
        <v>55367.02</v>
      </c>
      <c r="AI82" s="256">
        <f t="shared" si="24"/>
        <v>130000</v>
      </c>
      <c r="AJ82" s="248"/>
      <c r="AK82" s="315"/>
      <c r="AL82" s="258"/>
      <c r="AM82" s="286">
        <v>80000</v>
      </c>
      <c r="AN82" s="315">
        <v>52738.59</v>
      </c>
      <c r="AO82" s="250">
        <v>110000</v>
      </c>
      <c r="AP82" s="248"/>
      <c r="AQ82" s="315"/>
      <c r="AR82" s="260"/>
      <c r="AS82" s="248">
        <v>50000</v>
      </c>
      <c r="AT82" s="315">
        <v>2628.43</v>
      </c>
      <c r="AU82" s="256">
        <v>20000</v>
      </c>
    </row>
    <row r="83" spans="1:47" x14ac:dyDescent="0.2">
      <c r="A83" s="236">
        <v>72</v>
      </c>
      <c r="B83" s="237" t="s">
        <v>1448</v>
      </c>
      <c r="C83" s="238" t="s">
        <v>1449</v>
      </c>
      <c r="D83" s="239">
        <f t="shared" si="40"/>
        <v>67500</v>
      </c>
      <c r="E83" s="295">
        <f t="shared" si="40"/>
        <v>21500</v>
      </c>
      <c r="F83" s="241">
        <f t="shared" si="7"/>
        <v>0.31851851851851853</v>
      </c>
      <c r="G83" s="297">
        <f t="shared" si="43"/>
        <v>55000</v>
      </c>
      <c r="H83" s="243"/>
      <c r="I83" s="244">
        <v>6500</v>
      </c>
      <c r="J83" s="295">
        <v>1804</v>
      </c>
      <c r="K83" s="258">
        <v>7000</v>
      </c>
      <c r="L83" s="245">
        <f t="shared" si="4"/>
        <v>1000</v>
      </c>
      <c r="M83" s="248">
        <f t="shared" si="4"/>
        <v>972</v>
      </c>
      <c r="N83" s="247">
        <f t="shared" si="4"/>
        <v>3000</v>
      </c>
      <c r="O83" s="248"/>
      <c r="P83" s="314"/>
      <c r="Q83" s="250"/>
      <c r="R83" s="251"/>
      <c r="S83" s="314"/>
      <c r="T83" s="250"/>
      <c r="U83" s="286"/>
      <c r="V83" s="315"/>
      <c r="W83" s="258"/>
      <c r="X83" s="254"/>
      <c r="Y83" s="255"/>
      <c r="Z83" s="250"/>
      <c r="AA83" s="255"/>
      <c r="AB83" s="255"/>
      <c r="AC83" s="250"/>
      <c r="AD83" s="244">
        <v>1000</v>
      </c>
      <c r="AE83" s="315">
        <v>972</v>
      </c>
      <c r="AF83" s="256">
        <v>3000</v>
      </c>
      <c r="AG83" s="248">
        <f t="shared" si="42"/>
        <v>60000</v>
      </c>
      <c r="AH83" s="244">
        <f t="shared" si="42"/>
        <v>18724</v>
      </c>
      <c r="AI83" s="256">
        <f t="shared" si="24"/>
        <v>45000</v>
      </c>
      <c r="AJ83" s="248"/>
      <c r="AK83" s="315">
        <v>12649</v>
      </c>
      <c r="AL83" s="258"/>
      <c r="AM83" s="286">
        <v>40000</v>
      </c>
      <c r="AN83" s="315">
        <v>6075</v>
      </c>
      <c r="AO83" s="250">
        <v>45000</v>
      </c>
      <c r="AP83" s="248">
        <v>20000</v>
      </c>
      <c r="AQ83" s="315">
        <v>0</v>
      </c>
      <c r="AR83" s="260"/>
      <c r="AS83" s="248"/>
      <c r="AT83" s="315"/>
      <c r="AU83" s="256"/>
    </row>
    <row r="84" spans="1:47" x14ac:dyDescent="0.2">
      <c r="A84" s="236">
        <v>73</v>
      </c>
      <c r="B84" s="237" t="s">
        <v>1450</v>
      </c>
      <c r="C84" s="238" t="s">
        <v>1451</v>
      </c>
      <c r="D84" s="239">
        <f t="shared" si="40"/>
        <v>65600</v>
      </c>
      <c r="E84" s="295">
        <f t="shared" si="40"/>
        <v>49163.040000000001</v>
      </c>
      <c r="F84" s="241">
        <f t="shared" si="7"/>
        <v>0.74943658536585367</v>
      </c>
      <c r="G84" s="297">
        <f t="shared" si="43"/>
        <v>125300</v>
      </c>
      <c r="H84" s="243"/>
      <c r="I84" s="244">
        <v>10000</v>
      </c>
      <c r="J84" s="295">
        <v>7622.24</v>
      </c>
      <c r="K84" s="258">
        <v>17000</v>
      </c>
      <c r="L84" s="245">
        <f t="shared" si="4"/>
        <v>35600</v>
      </c>
      <c r="M84" s="248">
        <f t="shared" si="4"/>
        <v>28175.61</v>
      </c>
      <c r="N84" s="247">
        <f t="shared" si="4"/>
        <v>82300</v>
      </c>
      <c r="O84" s="248">
        <v>1800</v>
      </c>
      <c r="P84" s="314">
        <v>1501.25</v>
      </c>
      <c r="Q84" s="250">
        <v>3000</v>
      </c>
      <c r="R84" s="251">
        <v>6000</v>
      </c>
      <c r="S84" s="314">
        <v>4889.54</v>
      </c>
      <c r="T84" s="250">
        <v>20000</v>
      </c>
      <c r="U84" s="286">
        <v>1800</v>
      </c>
      <c r="V84" s="315">
        <v>0</v>
      </c>
      <c r="W84" s="258">
        <v>1800</v>
      </c>
      <c r="X84" s="254"/>
      <c r="Y84" s="255"/>
      <c r="Z84" s="250">
        <v>9000</v>
      </c>
      <c r="AA84" s="255"/>
      <c r="AB84" s="255"/>
      <c r="AC84" s="250">
        <v>4500</v>
      </c>
      <c r="AD84" s="244">
        <v>26000</v>
      </c>
      <c r="AE84" s="315">
        <v>21784.82</v>
      </c>
      <c r="AF84" s="256">
        <v>44000</v>
      </c>
      <c r="AG84" s="248">
        <f t="shared" si="42"/>
        <v>20000</v>
      </c>
      <c r="AH84" s="244">
        <f t="shared" si="42"/>
        <v>13365.19</v>
      </c>
      <c r="AI84" s="256">
        <f t="shared" si="24"/>
        <v>26000</v>
      </c>
      <c r="AJ84" s="248"/>
      <c r="AK84" s="315">
        <v>2103.84</v>
      </c>
      <c r="AL84" s="258"/>
      <c r="AM84" s="286">
        <v>10000</v>
      </c>
      <c r="AN84" s="315">
        <v>6557.18</v>
      </c>
      <c r="AO84" s="250">
        <v>14000</v>
      </c>
      <c r="AP84" s="248">
        <v>10000</v>
      </c>
      <c r="AQ84" s="315">
        <v>4426.25</v>
      </c>
      <c r="AR84" s="260">
        <v>10000</v>
      </c>
      <c r="AS84" s="248">
        <v>0</v>
      </c>
      <c r="AT84" s="315">
        <v>277.92</v>
      </c>
      <c r="AU84" s="256">
        <v>2000</v>
      </c>
    </row>
    <row r="85" spans="1:47" x14ac:dyDescent="0.2">
      <c r="A85" s="236">
        <v>74</v>
      </c>
      <c r="B85" s="237" t="s">
        <v>1452</v>
      </c>
      <c r="C85" s="238" t="s">
        <v>1453</v>
      </c>
      <c r="D85" s="239">
        <f t="shared" si="40"/>
        <v>374000</v>
      </c>
      <c r="E85" s="295">
        <f t="shared" si="40"/>
        <v>96390.529999999984</v>
      </c>
      <c r="F85" s="241">
        <f t="shared" si="7"/>
        <v>0.25772868983957214</v>
      </c>
      <c r="G85" s="297">
        <f t="shared" si="43"/>
        <v>331000</v>
      </c>
      <c r="H85" s="243"/>
      <c r="I85" s="244">
        <v>15000</v>
      </c>
      <c r="J85" s="295">
        <v>16169.01</v>
      </c>
      <c r="K85" s="258">
        <v>35000</v>
      </c>
      <c r="L85" s="245">
        <f t="shared" si="4"/>
        <v>330000</v>
      </c>
      <c r="M85" s="248">
        <f t="shared" si="4"/>
        <v>78990.62</v>
      </c>
      <c r="N85" s="247">
        <f t="shared" si="4"/>
        <v>290000</v>
      </c>
      <c r="O85" s="248">
        <v>110000</v>
      </c>
      <c r="P85" s="314">
        <v>19535</v>
      </c>
      <c r="Q85" s="250">
        <v>45000</v>
      </c>
      <c r="R85" s="251">
        <v>140000</v>
      </c>
      <c r="S85" s="314">
        <v>36865.68</v>
      </c>
      <c r="T85" s="250">
        <v>160000</v>
      </c>
      <c r="U85" s="286"/>
      <c r="V85" s="315"/>
      <c r="W85" s="258"/>
      <c r="X85" s="254"/>
      <c r="Y85" s="255"/>
      <c r="Z85" s="250">
        <v>25000</v>
      </c>
      <c r="AA85" s="255"/>
      <c r="AB85" s="255"/>
      <c r="AC85" s="250">
        <v>10000</v>
      </c>
      <c r="AD85" s="244">
        <v>80000</v>
      </c>
      <c r="AE85" s="315">
        <v>22589.94</v>
      </c>
      <c r="AF85" s="256">
        <v>50000</v>
      </c>
      <c r="AG85" s="248">
        <f t="shared" si="42"/>
        <v>29000</v>
      </c>
      <c r="AH85" s="244">
        <f t="shared" si="42"/>
        <v>1230.9000000000001</v>
      </c>
      <c r="AI85" s="256">
        <f t="shared" si="24"/>
        <v>6000</v>
      </c>
      <c r="AJ85" s="248"/>
      <c r="AK85" s="315">
        <v>981.9</v>
      </c>
      <c r="AL85" s="258"/>
      <c r="AM85" s="286">
        <v>28000</v>
      </c>
      <c r="AN85" s="315">
        <v>249</v>
      </c>
      <c r="AO85" s="250">
        <v>6000</v>
      </c>
      <c r="AP85" s="248">
        <v>1000</v>
      </c>
      <c r="AQ85" s="315">
        <v>0</v>
      </c>
      <c r="AR85" s="260"/>
      <c r="AS85" s="248"/>
      <c r="AT85" s="315"/>
      <c r="AU85" s="256"/>
    </row>
    <row r="86" spans="1:47" x14ac:dyDescent="0.2">
      <c r="A86" s="236">
        <v>75</v>
      </c>
      <c r="B86" s="237" t="s">
        <v>1454</v>
      </c>
      <c r="C86" s="238" t="s">
        <v>1455</v>
      </c>
      <c r="D86" s="239">
        <f t="shared" si="40"/>
        <v>8460000</v>
      </c>
      <c r="E86" s="295">
        <f t="shared" si="40"/>
        <v>4186657</v>
      </c>
      <c r="F86" s="241">
        <f t="shared" si="7"/>
        <v>0.49487671394799054</v>
      </c>
      <c r="G86" s="297">
        <f>SUM(K86,N86,AI86)</f>
        <v>8470000</v>
      </c>
      <c r="H86" s="243"/>
      <c r="I86" s="244"/>
      <c r="J86" s="295"/>
      <c r="K86" s="258"/>
      <c r="L86" s="245">
        <f t="shared" si="4"/>
        <v>100000</v>
      </c>
      <c r="M86" s="248">
        <f t="shared" si="4"/>
        <v>6655</v>
      </c>
      <c r="N86" s="247">
        <f t="shared" si="4"/>
        <v>100000</v>
      </c>
      <c r="O86" s="248">
        <v>82000</v>
      </c>
      <c r="P86" s="314">
        <v>0</v>
      </c>
      <c r="Q86" s="250">
        <v>40000</v>
      </c>
      <c r="R86" s="251">
        <v>18000</v>
      </c>
      <c r="S86" s="314">
        <v>6655</v>
      </c>
      <c r="T86" s="250">
        <v>30000</v>
      </c>
      <c r="U86" s="286"/>
      <c r="V86" s="315"/>
      <c r="W86" s="258"/>
      <c r="X86" s="254"/>
      <c r="Y86" s="255"/>
      <c r="Z86" s="250">
        <v>30000</v>
      </c>
      <c r="AA86" s="255"/>
      <c r="AB86" s="255"/>
      <c r="AC86" s="250"/>
      <c r="AD86" s="244"/>
      <c r="AE86" s="315"/>
      <c r="AF86" s="256"/>
      <c r="AG86" s="248">
        <f t="shared" si="42"/>
        <v>8360000</v>
      </c>
      <c r="AH86" s="244">
        <f t="shared" si="42"/>
        <v>4180002</v>
      </c>
      <c r="AI86" s="256">
        <f t="shared" si="24"/>
        <v>8370000</v>
      </c>
      <c r="AJ86" s="248"/>
      <c r="AK86" s="315"/>
      <c r="AL86" s="258"/>
      <c r="AM86" s="286">
        <v>2660000</v>
      </c>
      <c r="AN86" s="315">
        <v>1330002</v>
      </c>
      <c r="AO86" s="250">
        <v>2660000</v>
      </c>
      <c r="AP86" s="248">
        <v>5490000</v>
      </c>
      <c r="AQ86" s="315">
        <v>2745000</v>
      </c>
      <c r="AR86" s="260">
        <v>5490000</v>
      </c>
      <c r="AS86" s="248">
        <v>210000</v>
      </c>
      <c r="AT86" s="315">
        <v>105000</v>
      </c>
      <c r="AU86" s="256">
        <v>220000</v>
      </c>
    </row>
    <row r="87" spans="1:47" x14ac:dyDescent="0.2">
      <c r="A87" s="236">
        <v>76</v>
      </c>
      <c r="B87" s="237" t="s">
        <v>1456</v>
      </c>
      <c r="C87" s="238" t="s">
        <v>1457</v>
      </c>
      <c r="D87" s="239">
        <f t="shared" si="40"/>
        <v>390000</v>
      </c>
      <c r="E87" s="295">
        <f t="shared" si="40"/>
        <v>14520</v>
      </c>
      <c r="F87" s="241">
        <f t="shared" si="7"/>
        <v>3.7230769230769234E-2</v>
      </c>
      <c r="G87" s="297">
        <f t="shared" si="43"/>
        <v>340000</v>
      </c>
      <c r="H87" s="243"/>
      <c r="I87" s="244">
        <v>120000</v>
      </c>
      <c r="J87" s="295">
        <v>0</v>
      </c>
      <c r="K87" s="258">
        <v>120000</v>
      </c>
      <c r="L87" s="245">
        <f t="shared" si="4"/>
        <v>50000</v>
      </c>
      <c r="M87" s="248">
        <f t="shared" si="4"/>
        <v>14520</v>
      </c>
      <c r="N87" s="247">
        <v>50000</v>
      </c>
      <c r="O87" s="248"/>
      <c r="P87" s="314"/>
      <c r="Q87" s="250"/>
      <c r="R87" s="251">
        <v>30000</v>
      </c>
      <c r="S87" s="314">
        <v>14520</v>
      </c>
      <c r="T87" s="250">
        <v>30000</v>
      </c>
      <c r="U87" s="286"/>
      <c r="V87" s="315"/>
      <c r="W87" s="258"/>
      <c r="X87" s="254"/>
      <c r="Y87" s="255"/>
      <c r="Z87" s="250">
        <v>30000</v>
      </c>
      <c r="AA87" s="255"/>
      <c r="AB87" s="255"/>
      <c r="AC87" s="250"/>
      <c r="AD87" s="244">
        <v>20000</v>
      </c>
      <c r="AE87" s="315">
        <v>0</v>
      </c>
      <c r="AF87" s="256">
        <v>20000</v>
      </c>
      <c r="AG87" s="248">
        <f t="shared" si="42"/>
        <v>220000</v>
      </c>
      <c r="AH87" s="244">
        <f t="shared" si="42"/>
        <v>0</v>
      </c>
      <c r="AI87" s="256">
        <f t="shared" si="24"/>
        <v>170000</v>
      </c>
      <c r="AJ87" s="248"/>
      <c r="AK87" s="315">
        <v>0</v>
      </c>
      <c r="AL87" s="258"/>
      <c r="AM87" s="286">
        <v>100000</v>
      </c>
      <c r="AN87" s="315">
        <v>0</v>
      </c>
      <c r="AO87" s="250">
        <v>100000</v>
      </c>
      <c r="AP87" s="248">
        <v>50000</v>
      </c>
      <c r="AQ87" s="315">
        <v>0</v>
      </c>
      <c r="AR87" s="260">
        <v>50000</v>
      </c>
      <c r="AS87" s="248">
        <v>70000</v>
      </c>
      <c r="AT87" s="315">
        <v>0</v>
      </c>
      <c r="AU87" s="256">
        <v>20000</v>
      </c>
    </row>
    <row r="88" spans="1:47" x14ac:dyDescent="0.2">
      <c r="A88" s="236">
        <v>77</v>
      </c>
      <c r="B88" s="237" t="s">
        <v>1458</v>
      </c>
      <c r="C88" s="238" t="s">
        <v>1459</v>
      </c>
      <c r="D88" s="239">
        <f t="shared" si="40"/>
        <v>78500</v>
      </c>
      <c r="E88" s="295">
        <f t="shared" si="40"/>
        <v>17430</v>
      </c>
      <c r="F88" s="241">
        <f t="shared" si="7"/>
        <v>0.22203821656050957</v>
      </c>
      <c r="G88" s="297">
        <f t="shared" si="43"/>
        <v>100000</v>
      </c>
      <c r="H88" s="243"/>
      <c r="I88" s="244">
        <v>10000</v>
      </c>
      <c r="J88" s="295">
        <v>4580</v>
      </c>
      <c r="K88" s="258">
        <v>20000</v>
      </c>
      <c r="L88" s="245">
        <f t="shared" si="4"/>
        <v>61500</v>
      </c>
      <c r="M88" s="248">
        <f t="shared" si="4"/>
        <v>5650</v>
      </c>
      <c r="N88" s="247">
        <f t="shared" si="4"/>
        <v>65000</v>
      </c>
      <c r="O88" s="248">
        <v>2500</v>
      </c>
      <c r="P88" s="314">
        <v>2400</v>
      </c>
      <c r="Q88" s="250">
        <v>5000</v>
      </c>
      <c r="R88" s="251">
        <v>10000</v>
      </c>
      <c r="S88" s="314">
        <v>0</v>
      </c>
      <c r="T88" s="250">
        <v>10000</v>
      </c>
      <c r="U88" s="286"/>
      <c r="V88" s="315"/>
      <c r="W88" s="258"/>
      <c r="X88" s="254"/>
      <c r="Y88" s="255"/>
      <c r="Z88" s="250">
        <v>10000</v>
      </c>
      <c r="AA88" s="255"/>
      <c r="AB88" s="255"/>
      <c r="AC88" s="250">
        <v>10000</v>
      </c>
      <c r="AD88" s="244">
        <v>49000</v>
      </c>
      <c r="AE88" s="315">
        <v>3250</v>
      </c>
      <c r="AF88" s="256">
        <v>30000</v>
      </c>
      <c r="AG88" s="248">
        <f t="shared" si="42"/>
        <v>7000</v>
      </c>
      <c r="AH88" s="244">
        <f t="shared" si="42"/>
        <v>7200</v>
      </c>
      <c r="AI88" s="256">
        <f t="shared" si="24"/>
        <v>15000</v>
      </c>
      <c r="AJ88" s="248"/>
      <c r="AK88" s="315"/>
      <c r="AL88" s="258"/>
      <c r="AM88" s="286">
        <v>6000</v>
      </c>
      <c r="AN88" s="315">
        <v>7200</v>
      </c>
      <c r="AO88" s="250">
        <v>10000</v>
      </c>
      <c r="AP88" s="248">
        <v>1000</v>
      </c>
      <c r="AQ88" s="315">
        <v>0</v>
      </c>
      <c r="AR88" s="260">
        <v>5000</v>
      </c>
      <c r="AS88" s="248"/>
      <c r="AT88" s="315"/>
      <c r="AU88" s="256"/>
    </row>
    <row r="89" spans="1:47" x14ac:dyDescent="0.2">
      <c r="A89" s="236">
        <v>78</v>
      </c>
      <c r="B89" s="237" t="s">
        <v>1460</v>
      </c>
      <c r="C89" s="238" t="s">
        <v>1461</v>
      </c>
      <c r="D89" s="239">
        <f t="shared" si="40"/>
        <v>447000</v>
      </c>
      <c r="E89" s="295">
        <f t="shared" si="40"/>
        <v>66435.399999999994</v>
      </c>
      <c r="F89" s="241">
        <f t="shared" si="7"/>
        <v>0.14862505592841163</v>
      </c>
      <c r="G89" s="297">
        <f t="shared" si="43"/>
        <v>310000</v>
      </c>
      <c r="H89" s="243"/>
      <c r="I89" s="244">
        <v>38000</v>
      </c>
      <c r="J89" s="295">
        <v>23564.44</v>
      </c>
      <c r="K89" s="258">
        <v>50000</v>
      </c>
      <c r="L89" s="245">
        <f t="shared" si="4"/>
        <v>186000</v>
      </c>
      <c r="M89" s="248">
        <f t="shared" si="4"/>
        <v>16200.240000000002</v>
      </c>
      <c r="N89" s="247">
        <f t="shared" si="4"/>
        <v>150000</v>
      </c>
      <c r="O89" s="248">
        <v>20000</v>
      </c>
      <c r="P89" s="314">
        <v>0</v>
      </c>
      <c r="Q89" s="250">
        <v>10000</v>
      </c>
      <c r="R89" s="251">
        <v>45000</v>
      </c>
      <c r="S89" s="314">
        <v>2710.7</v>
      </c>
      <c r="T89" s="250">
        <v>45000</v>
      </c>
      <c r="U89" s="286"/>
      <c r="V89" s="315"/>
      <c r="W89" s="258"/>
      <c r="X89" s="254"/>
      <c r="Y89" s="255"/>
      <c r="Z89" s="250">
        <v>45000</v>
      </c>
      <c r="AA89" s="255"/>
      <c r="AB89" s="255"/>
      <c r="AC89" s="250"/>
      <c r="AD89" s="244">
        <v>121000</v>
      </c>
      <c r="AE89" s="315">
        <v>13489.54</v>
      </c>
      <c r="AF89" s="256">
        <v>50000</v>
      </c>
      <c r="AG89" s="248">
        <f t="shared" si="42"/>
        <v>223000</v>
      </c>
      <c r="AH89" s="244">
        <f t="shared" si="42"/>
        <v>26670.720000000001</v>
      </c>
      <c r="AI89" s="256">
        <f>SUM(AL89,AO89,AR89,AU89)</f>
        <v>110000</v>
      </c>
      <c r="AJ89" s="248"/>
      <c r="AK89" s="315">
        <v>20787.72</v>
      </c>
      <c r="AL89" s="258"/>
      <c r="AM89" s="286">
        <v>110000</v>
      </c>
      <c r="AN89" s="315">
        <v>183</v>
      </c>
      <c r="AO89" s="250">
        <v>50000</v>
      </c>
      <c r="AP89" s="248">
        <v>17000</v>
      </c>
      <c r="AQ89" s="315">
        <v>0</v>
      </c>
      <c r="AR89" s="260">
        <v>10000</v>
      </c>
      <c r="AS89" s="248">
        <v>96000</v>
      </c>
      <c r="AT89" s="315">
        <v>5700</v>
      </c>
      <c r="AU89" s="256">
        <v>50000</v>
      </c>
    </row>
    <row r="90" spans="1:47" x14ac:dyDescent="0.2">
      <c r="A90" s="292">
        <v>79</v>
      </c>
      <c r="B90" s="293" t="s">
        <v>1384</v>
      </c>
      <c r="C90" s="294" t="s">
        <v>1462</v>
      </c>
      <c r="D90" s="295">
        <f>SUM(D91:D107)</f>
        <v>5866000</v>
      </c>
      <c r="E90" s="295">
        <f>SUM(E91:E107)</f>
        <v>3007789.52</v>
      </c>
      <c r="F90" s="296">
        <f t="shared" si="7"/>
        <v>0.51274966246164333</v>
      </c>
      <c r="G90" s="297">
        <f>SUM(G91:G107)</f>
        <v>8556600</v>
      </c>
      <c r="H90" s="243"/>
      <c r="I90" s="295">
        <f>SUM(I91:I107)</f>
        <v>167000</v>
      </c>
      <c r="J90" s="295">
        <f t="shared" ref="J90:AT90" si="44">SUM(J91:J107)</f>
        <v>110091</v>
      </c>
      <c r="K90" s="298">
        <f t="shared" si="44"/>
        <v>201000</v>
      </c>
      <c r="L90" s="299">
        <f t="shared" si="44"/>
        <v>3898500</v>
      </c>
      <c r="M90" s="301">
        <f t="shared" si="44"/>
        <v>1851196.72</v>
      </c>
      <c r="N90" s="323">
        <f t="shared" si="44"/>
        <v>5999100</v>
      </c>
      <c r="O90" s="301">
        <f t="shared" si="44"/>
        <v>60000</v>
      </c>
      <c r="P90" s="301">
        <f t="shared" si="44"/>
        <v>10082</v>
      </c>
      <c r="Q90" s="302">
        <f t="shared" si="44"/>
        <v>60000</v>
      </c>
      <c r="R90" s="301">
        <f t="shared" si="44"/>
        <v>1685000</v>
      </c>
      <c r="S90" s="301">
        <f t="shared" si="44"/>
        <v>702574.5</v>
      </c>
      <c r="T90" s="302">
        <f t="shared" si="44"/>
        <v>2134600</v>
      </c>
      <c r="U90" s="301">
        <f t="shared" si="44"/>
        <v>12500</v>
      </c>
      <c r="V90" s="301">
        <f t="shared" si="44"/>
        <v>0</v>
      </c>
      <c r="W90" s="298">
        <f t="shared" si="44"/>
        <v>12500</v>
      </c>
      <c r="X90" s="303">
        <f>SUM(X91:X107)</f>
        <v>0</v>
      </c>
      <c r="Y90" s="301">
        <f t="shared" si="44"/>
        <v>0</v>
      </c>
      <c r="Z90" s="302">
        <f t="shared" si="44"/>
        <v>518000</v>
      </c>
      <c r="AA90" s="301">
        <f t="shared" si="44"/>
        <v>0</v>
      </c>
      <c r="AB90" s="301">
        <f t="shared" si="44"/>
        <v>0</v>
      </c>
      <c r="AC90" s="302">
        <f t="shared" si="44"/>
        <v>388000</v>
      </c>
      <c r="AD90" s="301">
        <f t="shared" si="44"/>
        <v>2141000</v>
      </c>
      <c r="AE90" s="301">
        <f t="shared" si="44"/>
        <v>1138540.22</v>
      </c>
      <c r="AF90" s="300">
        <f t="shared" si="44"/>
        <v>2886000</v>
      </c>
      <c r="AG90" s="301">
        <f t="shared" si="44"/>
        <v>1800500</v>
      </c>
      <c r="AH90" s="295">
        <f t="shared" si="44"/>
        <v>1046501.8</v>
      </c>
      <c r="AI90" s="300">
        <f>SUM(AI91:AI107)</f>
        <v>2356500</v>
      </c>
      <c r="AJ90" s="301">
        <f t="shared" si="44"/>
        <v>0</v>
      </c>
      <c r="AK90" s="295">
        <f t="shared" si="44"/>
        <v>19275</v>
      </c>
      <c r="AL90" s="298">
        <f t="shared" si="44"/>
        <v>0</v>
      </c>
      <c r="AM90" s="303">
        <f t="shared" si="44"/>
        <v>280000</v>
      </c>
      <c r="AN90" s="295">
        <f t="shared" si="44"/>
        <v>38888</v>
      </c>
      <c r="AO90" s="302">
        <f t="shared" si="44"/>
        <v>236000</v>
      </c>
      <c r="AP90" s="301">
        <f t="shared" si="44"/>
        <v>1480500</v>
      </c>
      <c r="AQ90" s="295">
        <f t="shared" si="44"/>
        <v>988338.8</v>
      </c>
      <c r="AR90" s="304">
        <f t="shared" si="44"/>
        <v>2125500</v>
      </c>
      <c r="AS90" s="301">
        <f t="shared" si="44"/>
        <v>40000</v>
      </c>
      <c r="AT90" s="301">
        <f t="shared" si="44"/>
        <v>0</v>
      </c>
      <c r="AU90" s="300">
        <f>SUM(AU91:AU107)</f>
        <v>20000</v>
      </c>
    </row>
    <row r="91" spans="1:47" x14ac:dyDescent="0.2">
      <c r="A91" s="236">
        <v>80</v>
      </c>
      <c r="B91" s="237" t="s">
        <v>1463</v>
      </c>
      <c r="C91" s="238" t="s">
        <v>1464</v>
      </c>
      <c r="D91" s="239">
        <f t="shared" ref="D91:E107" si="45">SUM(I91,L91,AG91)</f>
        <v>400000</v>
      </c>
      <c r="E91" s="305">
        <f t="shared" si="45"/>
        <v>218032.8</v>
      </c>
      <c r="F91" s="241">
        <f t="shared" si="7"/>
        <v>0.54508199999999996</v>
      </c>
      <c r="G91" s="287">
        <f t="shared" ref="G91:G122" si="46">SUM(K91,N91,AI91)</f>
        <v>500000</v>
      </c>
      <c r="H91" s="243"/>
      <c r="I91" s="244"/>
      <c r="J91" s="266"/>
      <c r="K91" s="258"/>
      <c r="L91" s="245">
        <f t="shared" si="4"/>
        <v>0</v>
      </c>
      <c r="M91" s="248">
        <f t="shared" si="4"/>
        <v>0</v>
      </c>
      <c r="N91" s="247">
        <f t="shared" si="4"/>
        <v>0</v>
      </c>
      <c r="O91" s="248"/>
      <c r="P91" s="266"/>
      <c r="Q91" s="250"/>
      <c r="R91" s="251"/>
      <c r="S91" s="266"/>
      <c r="T91" s="250"/>
      <c r="U91" s="252"/>
      <c r="V91" s="267"/>
      <c r="W91" s="258"/>
      <c r="X91" s="254"/>
      <c r="Y91" s="255"/>
      <c r="Z91" s="250"/>
      <c r="AA91" s="255"/>
      <c r="AB91" s="255"/>
      <c r="AC91" s="250"/>
      <c r="AD91" s="244">
        <v>0</v>
      </c>
      <c r="AE91" s="267"/>
      <c r="AF91" s="256"/>
      <c r="AG91" s="248">
        <f t="shared" si="42"/>
        <v>400000</v>
      </c>
      <c r="AH91" s="244">
        <f t="shared" si="42"/>
        <v>218032.8</v>
      </c>
      <c r="AI91" s="256">
        <f>SUM(AL91,AO91,AR91,AU91)</f>
        <v>500000</v>
      </c>
      <c r="AJ91" s="248"/>
      <c r="AK91" s="267"/>
      <c r="AL91" s="258"/>
      <c r="AM91" s="286"/>
      <c r="AN91" s="267"/>
      <c r="AO91" s="250"/>
      <c r="AP91" s="248">
        <v>400000</v>
      </c>
      <c r="AQ91" s="285">
        <v>218032.8</v>
      </c>
      <c r="AR91" s="260">
        <v>500000</v>
      </c>
      <c r="AS91" s="248"/>
      <c r="AT91" s="267"/>
      <c r="AU91" s="256"/>
    </row>
    <row r="92" spans="1:47" x14ac:dyDescent="0.2">
      <c r="A92" s="236">
        <v>81</v>
      </c>
      <c r="B92" s="237" t="s">
        <v>1465</v>
      </c>
      <c r="C92" s="238" t="s">
        <v>1466</v>
      </c>
      <c r="D92" s="239">
        <f t="shared" si="45"/>
        <v>830000</v>
      </c>
      <c r="E92" s="305">
        <f t="shared" si="45"/>
        <v>732672</v>
      </c>
      <c r="F92" s="241">
        <f t="shared" si="7"/>
        <v>0.88273734939759041</v>
      </c>
      <c r="G92" s="287">
        <f t="shared" si="46"/>
        <v>1490000</v>
      </c>
      <c r="H92" s="243"/>
      <c r="I92" s="244"/>
      <c r="J92" s="266"/>
      <c r="K92" s="258"/>
      <c r="L92" s="245">
        <f t="shared" si="4"/>
        <v>0</v>
      </c>
      <c r="M92" s="248">
        <f t="shared" si="4"/>
        <v>83560</v>
      </c>
      <c r="N92" s="247">
        <f t="shared" si="4"/>
        <v>150000</v>
      </c>
      <c r="O92" s="248"/>
      <c r="P92" s="266"/>
      <c r="Q92" s="250"/>
      <c r="R92" s="251"/>
      <c r="S92" s="266"/>
      <c r="T92" s="250"/>
      <c r="U92" s="252"/>
      <c r="V92" s="267"/>
      <c r="W92" s="258"/>
      <c r="X92" s="254"/>
      <c r="Y92" s="255"/>
      <c r="Z92" s="250"/>
      <c r="AA92" s="255"/>
      <c r="AB92" s="255"/>
      <c r="AC92" s="250"/>
      <c r="AD92" s="244"/>
      <c r="AE92" s="285">
        <v>83560</v>
      </c>
      <c r="AF92" s="256">
        <v>150000</v>
      </c>
      <c r="AG92" s="248">
        <f t="shared" si="42"/>
        <v>830000</v>
      </c>
      <c r="AH92" s="244">
        <f t="shared" si="42"/>
        <v>649112</v>
      </c>
      <c r="AI92" s="256">
        <f>SUM(AL92,AO92,AR92,AU92)</f>
        <v>1340000</v>
      </c>
      <c r="AJ92" s="248"/>
      <c r="AK92" s="267"/>
      <c r="AL92" s="258"/>
      <c r="AM92" s="286">
        <v>30000</v>
      </c>
      <c r="AN92" s="285">
        <v>16800</v>
      </c>
      <c r="AO92" s="250">
        <v>40000</v>
      </c>
      <c r="AP92" s="248">
        <v>800000</v>
      </c>
      <c r="AQ92" s="285">
        <v>632312</v>
      </c>
      <c r="AR92" s="260">
        <v>1300000</v>
      </c>
      <c r="AS92" s="248"/>
      <c r="AT92" s="267"/>
      <c r="AU92" s="256"/>
    </row>
    <row r="93" spans="1:47" x14ac:dyDescent="0.2">
      <c r="A93" s="236">
        <v>83</v>
      </c>
      <c r="B93" s="237" t="s">
        <v>1467</v>
      </c>
      <c r="C93" s="238" t="s">
        <v>1468</v>
      </c>
      <c r="D93" s="239">
        <f t="shared" si="45"/>
        <v>205000</v>
      </c>
      <c r="E93" s="305">
        <f t="shared" si="45"/>
        <v>128400</v>
      </c>
      <c r="F93" s="241">
        <f t="shared" si="7"/>
        <v>0.62634146341463415</v>
      </c>
      <c r="G93" s="287">
        <f t="shared" si="46"/>
        <v>314000</v>
      </c>
      <c r="H93" s="243"/>
      <c r="I93" s="244">
        <v>45000</v>
      </c>
      <c r="J93" s="283">
        <v>28350</v>
      </c>
      <c r="K93" s="258">
        <v>50000</v>
      </c>
      <c r="L93" s="245">
        <f t="shared" si="4"/>
        <v>80000</v>
      </c>
      <c r="M93" s="248">
        <f t="shared" si="4"/>
        <v>78775</v>
      </c>
      <c r="N93" s="247">
        <f t="shared" si="4"/>
        <v>204000</v>
      </c>
      <c r="O93" s="248">
        <v>8000</v>
      </c>
      <c r="P93" s="283">
        <v>0</v>
      </c>
      <c r="Q93" s="250">
        <v>8000</v>
      </c>
      <c r="R93" s="251">
        <v>10000</v>
      </c>
      <c r="S93" s="283">
        <v>0</v>
      </c>
      <c r="T93" s="250">
        <v>10000</v>
      </c>
      <c r="U93" s="252">
        <v>2000</v>
      </c>
      <c r="V93" s="285">
        <v>0</v>
      </c>
      <c r="W93" s="258">
        <v>2000</v>
      </c>
      <c r="X93" s="254"/>
      <c r="Y93" s="255"/>
      <c r="Z93" s="250">
        <v>4000</v>
      </c>
      <c r="AA93" s="255"/>
      <c r="AB93" s="255"/>
      <c r="AC93" s="250">
        <v>40000</v>
      </c>
      <c r="AD93" s="244">
        <v>60000</v>
      </c>
      <c r="AE93" s="285">
        <v>78775</v>
      </c>
      <c r="AF93" s="256">
        <v>140000</v>
      </c>
      <c r="AG93" s="248">
        <f t="shared" si="42"/>
        <v>80000</v>
      </c>
      <c r="AH93" s="244">
        <f t="shared" si="42"/>
        <v>21275</v>
      </c>
      <c r="AI93" s="256">
        <f>SUM(AL93,AO93,AR93,AU93)</f>
        <v>60000</v>
      </c>
      <c r="AJ93" s="248"/>
      <c r="AK93" s="285">
        <v>19275</v>
      </c>
      <c r="AL93" s="258"/>
      <c r="AM93" s="286">
        <v>22000</v>
      </c>
      <c r="AN93" s="285">
        <v>2000</v>
      </c>
      <c r="AO93" s="250">
        <v>20000</v>
      </c>
      <c r="AP93" s="248">
        <v>18000</v>
      </c>
      <c r="AQ93" s="285">
        <v>0</v>
      </c>
      <c r="AR93" s="260">
        <v>20000</v>
      </c>
      <c r="AS93" s="248">
        <v>40000</v>
      </c>
      <c r="AT93" s="285">
        <v>0</v>
      </c>
      <c r="AU93" s="256">
        <v>20000</v>
      </c>
    </row>
    <row r="94" spans="1:47" x14ac:dyDescent="0.2">
      <c r="A94" s="236">
        <v>84</v>
      </c>
      <c r="B94" s="237" t="s">
        <v>1469</v>
      </c>
      <c r="C94" s="238" t="s">
        <v>1470</v>
      </c>
      <c r="D94" s="239">
        <f t="shared" si="45"/>
        <v>130000</v>
      </c>
      <c r="E94" s="305">
        <f t="shared" si="45"/>
        <v>84648</v>
      </c>
      <c r="F94" s="241">
        <f t="shared" si="7"/>
        <v>0.65113846153846155</v>
      </c>
      <c r="G94" s="287">
        <f t="shared" si="46"/>
        <v>170000</v>
      </c>
      <c r="H94" s="243"/>
      <c r="I94" s="244"/>
      <c r="J94" s="283"/>
      <c r="K94" s="258"/>
      <c r="L94" s="245">
        <f t="shared" si="4"/>
        <v>0</v>
      </c>
      <c r="M94" s="248">
        <f t="shared" si="4"/>
        <v>0</v>
      </c>
      <c r="N94" s="247">
        <f t="shared" si="4"/>
        <v>0</v>
      </c>
      <c r="O94" s="248"/>
      <c r="P94" s="283"/>
      <c r="Q94" s="250"/>
      <c r="R94" s="251"/>
      <c r="S94" s="283"/>
      <c r="T94" s="250"/>
      <c r="U94" s="252"/>
      <c r="V94" s="285"/>
      <c r="W94" s="258"/>
      <c r="X94" s="254"/>
      <c r="Y94" s="255"/>
      <c r="Z94" s="250"/>
      <c r="AA94" s="255"/>
      <c r="AB94" s="255"/>
      <c r="AC94" s="250"/>
      <c r="AD94" s="244"/>
      <c r="AE94" s="285"/>
      <c r="AF94" s="256"/>
      <c r="AG94" s="248">
        <f t="shared" si="42"/>
        <v>130000</v>
      </c>
      <c r="AH94" s="244">
        <f t="shared" si="42"/>
        <v>84648</v>
      </c>
      <c r="AI94" s="256">
        <f t="shared" si="24"/>
        <v>170000</v>
      </c>
      <c r="AJ94" s="248"/>
      <c r="AK94" s="285"/>
      <c r="AL94" s="258"/>
      <c r="AM94" s="286">
        <v>65000</v>
      </c>
      <c r="AN94" s="285">
        <v>8228</v>
      </c>
      <c r="AO94" s="250">
        <v>80000</v>
      </c>
      <c r="AP94" s="248">
        <v>65000</v>
      </c>
      <c r="AQ94" s="285">
        <v>76420</v>
      </c>
      <c r="AR94" s="260">
        <v>90000</v>
      </c>
      <c r="AS94" s="248"/>
      <c r="AT94" s="285"/>
      <c r="AU94" s="256"/>
    </row>
    <row r="95" spans="1:47" x14ac:dyDescent="0.2">
      <c r="A95" s="236">
        <v>85</v>
      </c>
      <c r="B95" s="237" t="s">
        <v>1471</v>
      </c>
      <c r="C95" s="238" t="s">
        <v>1472</v>
      </c>
      <c r="D95" s="239">
        <f t="shared" si="45"/>
        <v>40000</v>
      </c>
      <c r="E95" s="305">
        <f t="shared" si="45"/>
        <v>0</v>
      </c>
      <c r="F95" s="241">
        <f t="shared" si="7"/>
        <v>0</v>
      </c>
      <c r="G95" s="287">
        <f t="shared" si="46"/>
        <v>40000</v>
      </c>
      <c r="H95" s="243"/>
      <c r="I95" s="244"/>
      <c r="J95" s="283"/>
      <c r="K95" s="258"/>
      <c r="L95" s="245">
        <f t="shared" si="4"/>
        <v>0</v>
      </c>
      <c r="M95" s="248">
        <f t="shared" si="4"/>
        <v>0</v>
      </c>
      <c r="N95" s="247">
        <f t="shared" si="4"/>
        <v>0</v>
      </c>
      <c r="O95" s="248"/>
      <c r="P95" s="283"/>
      <c r="Q95" s="250"/>
      <c r="R95" s="251"/>
      <c r="S95" s="283"/>
      <c r="T95" s="250"/>
      <c r="U95" s="252"/>
      <c r="V95" s="285"/>
      <c r="W95" s="258"/>
      <c r="X95" s="254"/>
      <c r="Y95" s="255"/>
      <c r="Z95" s="250"/>
      <c r="AA95" s="255"/>
      <c r="AB95" s="255"/>
      <c r="AC95" s="250"/>
      <c r="AD95" s="244"/>
      <c r="AE95" s="285"/>
      <c r="AF95" s="256"/>
      <c r="AG95" s="248">
        <f t="shared" si="42"/>
        <v>40000</v>
      </c>
      <c r="AH95" s="244">
        <f t="shared" si="42"/>
        <v>0</v>
      </c>
      <c r="AI95" s="256">
        <f t="shared" si="24"/>
        <v>40000</v>
      </c>
      <c r="AJ95" s="248"/>
      <c r="AK95" s="285"/>
      <c r="AL95" s="258"/>
      <c r="AM95" s="286"/>
      <c r="AN95" s="285"/>
      <c r="AO95" s="250"/>
      <c r="AP95" s="248">
        <v>40000</v>
      </c>
      <c r="AQ95" s="285">
        <v>0</v>
      </c>
      <c r="AR95" s="260">
        <v>40000</v>
      </c>
      <c r="AS95" s="248"/>
      <c r="AT95" s="285"/>
      <c r="AU95" s="256"/>
    </row>
    <row r="96" spans="1:47" x14ac:dyDescent="0.2">
      <c r="A96" s="236">
        <v>86</v>
      </c>
      <c r="B96" s="237" t="s">
        <v>1473</v>
      </c>
      <c r="C96" s="238" t="s">
        <v>1474</v>
      </c>
      <c r="D96" s="239">
        <f t="shared" si="45"/>
        <v>19500</v>
      </c>
      <c r="E96" s="305">
        <f t="shared" si="45"/>
        <v>11000</v>
      </c>
      <c r="F96" s="241">
        <f t="shared" si="7"/>
        <v>0.5641025641025641</v>
      </c>
      <c r="G96" s="287">
        <f t="shared" si="46"/>
        <v>55500</v>
      </c>
      <c r="H96" s="243"/>
      <c r="I96" s="244">
        <v>2000</v>
      </c>
      <c r="J96" s="283">
        <v>500</v>
      </c>
      <c r="K96" s="258">
        <v>2000</v>
      </c>
      <c r="L96" s="245">
        <f t="shared" si="4"/>
        <v>7500</v>
      </c>
      <c r="M96" s="248">
        <f t="shared" si="4"/>
        <v>6200</v>
      </c>
      <c r="N96" s="247">
        <f t="shared" si="4"/>
        <v>44500</v>
      </c>
      <c r="O96" s="248">
        <v>1000</v>
      </c>
      <c r="P96" s="283">
        <v>0</v>
      </c>
      <c r="Q96" s="250">
        <v>1000</v>
      </c>
      <c r="R96" s="251"/>
      <c r="S96" s="283">
        <v>5700</v>
      </c>
      <c r="T96" s="250">
        <v>12000</v>
      </c>
      <c r="U96" s="252">
        <v>500</v>
      </c>
      <c r="V96" s="285">
        <v>0</v>
      </c>
      <c r="W96" s="258">
        <v>500</v>
      </c>
      <c r="X96" s="254"/>
      <c r="Y96" s="255"/>
      <c r="Z96" s="250">
        <v>5000</v>
      </c>
      <c r="AA96" s="255"/>
      <c r="AB96" s="255"/>
      <c r="AC96" s="250">
        <v>5000</v>
      </c>
      <c r="AD96" s="244">
        <v>6000</v>
      </c>
      <c r="AE96" s="285">
        <v>500</v>
      </c>
      <c r="AF96" s="256">
        <v>21000</v>
      </c>
      <c r="AG96" s="248">
        <f t="shared" si="42"/>
        <v>10000</v>
      </c>
      <c r="AH96" s="244">
        <f t="shared" si="42"/>
        <v>4300</v>
      </c>
      <c r="AI96" s="256">
        <f t="shared" si="24"/>
        <v>9000</v>
      </c>
      <c r="AJ96" s="248"/>
      <c r="AK96" s="285"/>
      <c r="AL96" s="258"/>
      <c r="AM96" s="286">
        <v>8000</v>
      </c>
      <c r="AN96" s="285">
        <v>4300</v>
      </c>
      <c r="AO96" s="250">
        <v>6000</v>
      </c>
      <c r="AP96" s="248">
        <v>2000</v>
      </c>
      <c r="AQ96" s="285">
        <v>0</v>
      </c>
      <c r="AR96" s="250">
        <v>3000</v>
      </c>
      <c r="AS96" s="248"/>
      <c r="AT96" s="285"/>
      <c r="AU96" s="256"/>
    </row>
    <row r="97" spans="1:47" x14ac:dyDescent="0.2">
      <c r="A97" s="236">
        <v>87</v>
      </c>
      <c r="B97" s="237" t="s">
        <v>1475</v>
      </c>
      <c r="C97" s="238" t="s">
        <v>1476</v>
      </c>
      <c r="D97" s="239">
        <f t="shared" si="45"/>
        <v>13000</v>
      </c>
      <c r="E97" s="305">
        <f t="shared" si="45"/>
        <v>1014</v>
      </c>
      <c r="F97" s="241">
        <f t="shared" si="7"/>
        <v>7.8E-2</v>
      </c>
      <c r="G97" s="287">
        <f t="shared" si="46"/>
        <v>15000</v>
      </c>
      <c r="H97" s="243"/>
      <c r="I97" s="244"/>
      <c r="J97" s="283"/>
      <c r="K97" s="258"/>
      <c r="L97" s="245">
        <f t="shared" si="4"/>
        <v>13000</v>
      </c>
      <c r="M97" s="248">
        <f t="shared" si="4"/>
        <v>0</v>
      </c>
      <c r="N97" s="247">
        <f t="shared" si="4"/>
        <v>13000</v>
      </c>
      <c r="O97" s="248"/>
      <c r="P97" s="283"/>
      <c r="Q97" s="250"/>
      <c r="R97" s="251">
        <v>8000</v>
      </c>
      <c r="S97" s="283"/>
      <c r="T97" s="250">
        <v>8000</v>
      </c>
      <c r="U97" s="252"/>
      <c r="V97" s="285"/>
      <c r="W97" s="258"/>
      <c r="X97" s="254"/>
      <c r="Y97" s="255"/>
      <c r="Z97" s="250"/>
      <c r="AA97" s="255"/>
      <c r="AB97" s="255"/>
      <c r="AC97" s="250"/>
      <c r="AD97" s="244">
        <v>5000</v>
      </c>
      <c r="AE97" s="285">
        <v>0</v>
      </c>
      <c r="AF97" s="256">
        <v>5000</v>
      </c>
      <c r="AG97" s="244">
        <f t="shared" si="42"/>
        <v>0</v>
      </c>
      <c r="AH97" s="244">
        <f t="shared" si="42"/>
        <v>1014</v>
      </c>
      <c r="AI97" s="256">
        <f t="shared" si="24"/>
        <v>2000</v>
      </c>
      <c r="AJ97" s="248"/>
      <c r="AK97" s="285"/>
      <c r="AL97" s="258"/>
      <c r="AM97" s="286"/>
      <c r="AN97" s="285"/>
      <c r="AO97" s="250"/>
      <c r="AP97" s="248">
        <v>0</v>
      </c>
      <c r="AQ97" s="285">
        <v>1014</v>
      </c>
      <c r="AR97" s="250">
        <v>2000</v>
      </c>
      <c r="AS97" s="248"/>
      <c r="AT97" s="285"/>
      <c r="AU97" s="256"/>
    </row>
    <row r="98" spans="1:47" x14ac:dyDescent="0.2">
      <c r="A98" s="236">
        <v>88</v>
      </c>
      <c r="B98" s="237" t="s">
        <v>1477</v>
      </c>
      <c r="C98" s="238" t="s">
        <v>1478</v>
      </c>
      <c r="D98" s="239">
        <f t="shared" si="45"/>
        <v>200000</v>
      </c>
      <c r="E98" s="305">
        <f t="shared" si="45"/>
        <v>0</v>
      </c>
      <c r="F98" s="241">
        <f t="shared" ref="F98:F123" si="47">E98/D98</f>
        <v>0</v>
      </c>
      <c r="G98" s="287">
        <f t="shared" si="46"/>
        <v>200000</v>
      </c>
      <c r="H98" s="243"/>
      <c r="I98" s="244"/>
      <c r="J98" s="283"/>
      <c r="K98" s="258"/>
      <c r="L98" s="245">
        <f t="shared" si="4"/>
        <v>200000</v>
      </c>
      <c r="M98" s="248">
        <f t="shared" si="4"/>
        <v>0</v>
      </c>
      <c r="N98" s="247">
        <f t="shared" si="4"/>
        <v>200000</v>
      </c>
      <c r="O98" s="248"/>
      <c r="P98" s="283"/>
      <c r="Q98" s="250"/>
      <c r="R98" s="251"/>
      <c r="S98" s="283"/>
      <c r="T98" s="250"/>
      <c r="U98" s="252"/>
      <c r="V98" s="285"/>
      <c r="W98" s="258"/>
      <c r="X98" s="254"/>
      <c r="Y98" s="255"/>
      <c r="Z98" s="250"/>
      <c r="AA98" s="255"/>
      <c r="AB98" s="255"/>
      <c r="AC98" s="250"/>
      <c r="AD98" s="244">
        <v>200000</v>
      </c>
      <c r="AE98" s="285">
        <v>0</v>
      </c>
      <c r="AF98" s="256">
        <v>200000</v>
      </c>
      <c r="AG98" s="244">
        <f t="shared" si="42"/>
        <v>0</v>
      </c>
      <c r="AH98" s="244">
        <f t="shared" si="42"/>
        <v>0</v>
      </c>
      <c r="AI98" s="256">
        <f t="shared" si="24"/>
        <v>0</v>
      </c>
      <c r="AJ98" s="248"/>
      <c r="AK98" s="285"/>
      <c r="AL98" s="258"/>
      <c r="AM98" s="286"/>
      <c r="AN98" s="285"/>
      <c r="AO98" s="250"/>
      <c r="AP98" s="248"/>
      <c r="AQ98" s="285"/>
      <c r="AR98" s="250"/>
      <c r="AS98" s="248"/>
      <c r="AT98" s="285"/>
      <c r="AU98" s="256"/>
    </row>
    <row r="99" spans="1:47" x14ac:dyDescent="0.2">
      <c r="A99" s="236">
        <v>89</v>
      </c>
      <c r="B99" s="237" t="s">
        <v>1479</v>
      </c>
      <c r="C99" s="238" t="s">
        <v>1480</v>
      </c>
      <c r="D99" s="239">
        <f t="shared" si="45"/>
        <v>1500000</v>
      </c>
      <c r="E99" s="305">
        <f t="shared" si="45"/>
        <v>660217.5</v>
      </c>
      <c r="F99" s="241">
        <f t="shared" si="47"/>
        <v>0.44014500000000001</v>
      </c>
      <c r="G99" s="287">
        <f>SUM(K99,N99,AI99)</f>
        <v>1900000</v>
      </c>
      <c r="H99" s="243"/>
      <c r="I99" s="244"/>
      <c r="J99" s="283"/>
      <c r="K99" s="258"/>
      <c r="L99" s="245">
        <f t="shared" si="4"/>
        <v>1500000</v>
      </c>
      <c r="M99" s="248">
        <f t="shared" si="4"/>
        <v>660217.5</v>
      </c>
      <c r="N99" s="247">
        <f t="shared" si="4"/>
        <v>1900000</v>
      </c>
      <c r="O99" s="248"/>
      <c r="P99" s="283"/>
      <c r="Q99" s="250"/>
      <c r="R99" s="251">
        <v>1500000</v>
      </c>
      <c r="S99" s="283">
        <v>660217.5</v>
      </c>
      <c r="T99" s="250">
        <v>1900000</v>
      </c>
      <c r="U99" s="252"/>
      <c r="V99" s="285"/>
      <c r="W99" s="258"/>
      <c r="X99" s="254"/>
      <c r="Y99" s="255"/>
      <c r="Z99" s="250"/>
      <c r="AA99" s="255"/>
      <c r="AB99" s="255"/>
      <c r="AC99" s="250"/>
      <c r="AD99" s="244"/>
      <c r="AE99" s="285"/>
      <c r="AF99" s="256"/>
      <c r="AG99" s="244">
        <f t="shared" si="42"/>
        <v>0</v>
      </c>
      <c r="AH99" s="244">
        <f t="shared" si="42"/>
        <v>0</v>
      </c>
      <c r="AI99" s="256">
        <f t="shared" si="24"/>
        <v>0</v>
      </c>
      <c r="AJ99" s="248"/>
      <c r="AK99" s="285"/>
      <c r="AL99" s="258"/>
      <c r="AM99" s="286"/>
      <c r="AN99" s="285"/>
      <c r="AO99" s="250"/>
      <c r="AP99" s="248"/>
      <c r="AQ99" s="285"/>
      <c r="AR99" s="250"/>
      <c r="AS99" s="248"/>
      <c r="AT99" s="285"/>
      <c r="AU99" s="256"/>
    </row>
    <row r="100" spans="1:47" x14ac:dyDescent="0.2">
      <c r="A100" s="236">
        <v>91</v>
      </c>
      <c r="B100" s="237" t="s">
        <v>1481</v>
      </c>
      <c r="C100" s="238" t="s">
        <v>1482</v>
      </c>
      <c r="D100" s="239">
        <f t="shared" si="45"/>
        <v>150000</v>
      </c>
      <c r="E100" s="305">
        <f t="shared" si="45"/>
        <v>34116</v>
      </c>
      <c r="F100" s="241">
        <f t="shared" si="47"/>
        <v>0.22744</v>
      </c>
      <c r="G100" s="287">
        <f t="shared" si="46"/>
        <v>187600</v>
      </c>
      <c r="H100" s="243"/>
      <c r="I100" s="244"/>
      <c r="J100" s="283"/>
      <c r="K100" s="258"/>
      <c r="L100" s="245">
        <f t="shared" si="4"/>
        <v>150000</v>
      </c>
      <c r="M100" s="248">
        <f t="shared" si="4"/>
        <v>34116</v>
      </c>
      <c r="N100" s="247">
        <f t="shared" si="4"/>
        <v>187600</v>
      </c>
      <c r="O100" s="248"/>
      <c r="P100" s="283"/>
      <c r="Q100" s="250"/>
      <c r="R100" s="251">
        <v>150000</v>
      </c>
      <c r="S100" s="283">
        <v>34116</v>
      </c>
      <c r="T100" s="250">
        <v>187600</v>
      </c>
      <c r="U100" s="252"/>
      <c r="V100" s="285"/>
      <c r="W100" s="258"/>
      <c r="X100" s="254"/>
      <c r="Y100" s="255"/>
      <c r="Z100" s="250"/>
      <c r="AA100" s="255"/>
      <c r="AB100" s="255"/>
      <c r="AC100" s="250"/>
      <c r="AD100" s="244"/>
      <c r="AE100" s="285"/>
      <c r="AF100" s="256"/>
      <c r="AG100" s="244">
        <f t="shared" si="42"/>
        <v>0</v>
      </c>
      <c r="AH100" s="244">
        <f t="shared" si="42"/>
        <v>0</v>
      </c>
      <c r="AI100" s="256">
        <f t="shared" si="24"/>
        <v>0</v>
      </c>
      <c r="AJ100" s="248"/>
      <c r="AK100" s="285"/>
      <c r="AL100" s="258"/>
      <c r="AM100" s="286"/>
      <c r="AN100" s="285"/>
      <c r="AO100" s="250"/>
      <c r="AP100" s="248"/>
      <c r="AQ100" s="285"/>
      <c r="AR100" s="250"/>
      <c r="AS100" s="248"/>
      <c r="AT100" s="285"/>
      <c r="AU100" s="256"/>
    </row>
    <row r="101" spans="1:47" x14ac:dyDescent="0.2">
      <c r="A101" s="236">
        <v>94</v>
      </c>
      <c r="B101" s="237" t="s">
        <v>1483</v>
      </c>
      <c r="C101" s="238" t="s">
        <v>1484</v>
      </c>
      <c r="D101" s="239">
        <f t="shared" si="45"/>
        <v>500000</v>
      </c>
      <c r="E101" s="305">
        <f t="shared" si="45"/>
        <v>0</v>
      </c>
      <c r="F101" s="241">
        <f t="shared" si="47"/>
        <v>0</v>
      </c>
      <c r="G101" s="287">
        <f t="shared" si="46"/>
        <v>300000</v>
      </c>
      <c r="H101" s="243"/>
      <c r="I101" s="244"/>
      <c r="J101" s="283"/>
      <c r="K101" s="258"/>
      <c r="L101" s="245">
        <f t="shared" si="4"/>
        <v>500000</v>
      </c>
      <c r="M101" s="248">
        <f t="shared" si="4"/>
        <v>0</v>
      </c>
      <c r="N101" s="247">
        <f t="shared" si="4"/>
        <v>300000</v>
      </c>
      <c r="O101" s="248"/>
      <c r="P101" s="283"/>
      <c r="Q101" s="250"/>
      <c r="R101" s="251"/>
      <c r="S101" s="283"/>
      <c r="T101" s="250"/>
      <c r="U101" s="252"/>
      <c r="V101" s="285"/>
      <c r="W101" s="258"/>
      <c r="X101" s="254"/>
      <c r="Y101" s="255"/>
      <c r="Z101" s="250"/>
      <c r="AA101" s="255"/>
      <c r="AB101" s="255"/>
      <c r="AC101" s="258"/>
      <c r="AD101" s="286">
        <v>500000</v>
      </c>
      <c r="AE101" s="285">
        <v>0</v>
      </c>
      <c r="AF101" s="256">
        <v>300000</v>
      </c>
      <c r="AG101" s="244">
        <f t="shared" si="42"/>
        <v>0</v>
      </c>
      <c r="AH101" s="244">
        <f t="shared" si="42"/>
        <v>0</v>
      </c>
      <c r="AI101" s="256">
        <f t="shared" si="24"/>
        <v>0</v>
      </c>
      <c r="AJ101" s="248"/>
      <c r="AK101" s="285"/>
      <c r="AL101" s="258"/>
      <c r="AM101" s="286"/>
      <c r="AN101" s="285"/>
      <c r="AO101" s="250"/>
      <c r="AP101" s="248"/>
      <c r="AQ101" s="285"/>
      <c r="AR101" s="250"/>
      <c r="AS101" s="248"/>
      <c r="AT101" s="285"/>
      <c r="AU101" s="256"/>
    </row>
    <row r="102" spans="1:47" x14ac:dyDescent="0.2">
      <c r="A102" s="236">
        <v>96</v>
      </c>
      <c r="B102" s="237" t="s">
        <v>1485</v>
      </c>
      <c r="C102" s="238" t="s">
        <v>1486</v>
      </c>
      <c r="D102" s="239">
        <f t="shared" si="45"/>
        <v>15500</v>
      </c>
      <c r="E102" s="305">
        <f t="shared" si="45"/>
        <v>5206.8500000000004</v>
      </c>
      <c r="F102" s="241">
        <f t="shared" si="47"/>
        <v>0.33592580645161291</v>
      </c>
      <c r="G102" s="287">
        <f t="shared" si="46"/>
        <v>18500</v>
      </c>
      <c r="H102" s="243"/>
      <c r="I102" s="244">
        <v>7000</v>
      </c>
      <c r="J102" s="283">
        <v>5206.8500000000004</v>
      </c>
      <c r="K102" s="258">
        <v>10000</v>
      </c>
      <c r="L102" s="245">
        <f t="shared" si="4"/>
        <v>8000</v>
      </c>
      <c r="M102" s="248">
        <f t="shared" si="4"/>
        <v>0</v>
      </c>
      <c r="N102" s="247">
        <f t="shared" si="4"/>
        <v>8000</v>
      </c>
      <c r="O102" s="248">
        <v>1000</v>
      </c>
      <c r="P102" s="283">
        <v>0</v>
      </c>
      <c r="Q102" s="250">
        <v>1000</v>
      </c>
      <c r="R102" s="251">
        <v>2000</v>
      </c>
      <c r="S102" s="283">
        <v>0</v>
      </c>
      <c r="T102" s="250">
        <v>2000</v>
      </c>
      <c r="U102" s="252"/>
      <c r="V102" s="285"/>
      <c r="W102" s="258"/>
      <c r="X102" s="254"/>
      <c r="Y102" s="255"/>
      <c r="Z102" s="250"/>
      <c r="AA102" s="255"/>
      <c r="AB102" s="255"/>
      <c r="AC102" s="258"/>
      <c r="AD102" s="286">
        <v>5000</v>
      </c>
      <c r="AE102" s="285">
        <v>0</v>
      </c>
      <c r="AF102" s="256">
        <v>5000</v>
      </c>
      <c r="AG102" s="244">
        <f t="shared" si="42"/>
        <v>500</v>
      </c>
      <c r="AH102" s="244">
        <f t="shared" si="42"/>
        <v>0</v>
      </c>
      <c r="AI102" s="256">
        <f t="shared" si="24"/>
        <v>500</v>
      </c>
      <c r="AJ102" s="248"/>
      <c r="AK102" s="285"/>
      <c r="AL102" s="258"/>
      <c r="AM102" s="286"/>
      <c r="AN102" s="285"/>
      <c r="AO102" s="250"/>
      <c r="AP102" s="248">
        <v>500</v>
      </c>
      <c r="AQ102" s="285">
        <v>0</v>
      </c>
      <c r="AR102" s="250">
        <v>500</v>
      </c>
      <c r="AS102" s="248"/>
      <c r="AT102" s="285"/>
      <c r="AU102" s="256"/>
    </row>
    <row r="103" spans="1:47" x14ac:dyDescent="0.2">
      <c r="A103" s="236">
        <v>97</v>
      </c>
      <c r="B103" s="237" t="s">
        <v>1487</v>
      </c>
      <c r="C103" s="238" t="s">
        <v>1488</v>
      </c>
      <c r="D103" s="239">
        <f t="shared" si="45"/>
        <v>0</v>
      </c>
      <c r="E103" s="305">
        <f t="shared" si="45"/>
        <v>3369.15</v>
      </c>
      <c r="F103" s="241">
        <v>0</v>
      </c>
      <c r="G103" s="287">
        <f t="shared" si="46"/>
        <v>5000</v>
      </c>
      <c r="H103" s="243"/>
      <c r="I103" s="244">
        <v>0</v>
      </c>
      <c r="J103" s="283">
        <v>3369.15</v>
      </c>
      <c r="K103" s="258">
        <v>5000</v>
      </c>
      <c r="L103" s="245">
        <f t="shared" si="4"/>
        <v>0</v>
      </c>
      <c r="M103" s="248">
        <f t="shared" si="4"/>
        <v>0</v>
      </c>
      <c r="N103" s="247">
        <f t="shared" si="4"/>
        <v>0</v>
      </c>
      <c r="O103" s="248"/>
      <c r="P103" s="283"/>
      <c r="Q103" s="250"/>
      <c r="R103" s="251"/>
      <c r="S103" s="283"/>
      <c r="T103" s="250"/>
      <c r="U103" s="252"/>
      <c r="V103" s="285"/>
      <c r="W103" s="258"/>
      <c r="X103" s="254"/>
      <c r="Y103" s="255"/>
      <c r="Z103" s="250"/>
      <c r="AA103" s="255"/>
      <c r="AB103" s="255"/>
      <c r="AC103" s="258"/>
      <c r="AD103" s="286"/>
      <c r="AE103" s="285"/>
      <c r="AF103" s="256"/>
      <c r="AG103" s="244">
        <f t="shared" si="42"/>
        <v>0</v>
      </c>
      <c r="AH103" s="244">
        <f t="shared" si="42"/>
        <v>0</v>
      </c>
      <c r="AI103" s="256">
        <f t="shared" si="24"/>
        <v>0</v>
      </c>
      <c r="AJ103" s="248"/>
      <c r="AK103" s="285"/>
      <c r="AL103" s="258"/>
      <c r="AM103" s="286"/>
      <c r="AN103" s="285"/>
      <c r="AO103" s="250"/>
      <c r="AP103" s="248"/>
      <c r="AQ103" s="285"/>
      <c r="AR103" s="250"/>
      <c r="AS103" s="248"/>
      <c r="AT103" s="285"/>
      <c r="AU103" s="256"/>
    </row>
    <row r="104" spans="1:47" x14ac:dyDescent="0.2">
      <c r="A104" s="236">
        <v>98</v>
      </c>
      <c r="B104" s="237" t="s">
        <v>1489</v>
      </c>
      <c r="C104" s="238" t="s">
        <v>1490</v>
      </c>
      <c r="D104" s="239">
        <f t="shared" si="45"/>
        <v>900000</v>
      </c>
      <c r="E104" s="305">
        <f t="shared" si="45"/>
        <v>703726.22</v>
      </c>
      <c r="F104" s="241">
        <f t="shared" si="47"/>
        <v>0.78191802222222218</v>
      </c>
      <c r="G104" s="287">
        <f t="shared" si="46"/>
        <v>2408000</v>
      </c>
      <c r="H104" s="243"/>
      <c r="I104" s="244">
        <v>100000</v>
      </c>
      <c r="J104" s="283">
        <v>66453.5</v>
      </c>
      <c r="K104" s="258">
        <v>120000</v>
      </c>
      <c r="L104" s="245">
        <f t="shared" si="4"/>
        <v>575000</v>
      </c>
      <c r="M104" s="248">
        <f t="shared" si="4"/>
        <v>582068.72</v>
      </c>
      <c r="N104" s="247">
        <f t="shared" si="4"/>
        <v>2118000</v>
      </c>
      <c r="O104" s="248">
        <v>50000</v>
      </c>
      <c r="P104" s="283">
        <v>10082</v>
      </c>
      <c r="Q104" s="250">
        <v>50000</v>
      </c>
      <c r="R104" s="251">
        <v>15000</v>
      </c>
      <c r="S104" s="283">
        <v>2541</v>
      </c>
      <c r="T104" s="250">
        <v>15000</v>
      </c>
      <c r="U104" s="252">
        <v>10000</v>
      </c>
      <c r="V104" s="285">
        <v>0</v>
      </c>
      <c r="W104" s="258">
        <v>10000</v>
      </c>
      <c r="X104" s="254"/>
      <c r="Y104" s="255"/>
      <c r="Z104" s="250">
        <v>500000</v>
      </c>
      <c r="AA104" s="255"/>
      <c r="AB104" s="255"/>
      <c r="AC104" s="258">
        <v>343000</v>
      </c>
      <c r="AD104" s="286">
        <v>500000</v>
      </c>
      <c r="AE104" s="285">
        <v>569445.72</v>
      </c>
      <c r="AF104" s="256">
        <v>1200000</v>
      </c>
      <c r="AG104" s="244">
        <f t="shared" si="42"/>
        <v>225000</v>
      </c>
      <c r="AH104" s="244">
        <f t="shared" si="42"/>
        <v>55204</v>
      </c>
      <c r="AI104" s="256">
        <f t="shared" si="24"/>
        <v>170000</v>
      </c>
      <c r="AJ104" s="248"/>
      <c r="AK104" s="285"/>
      <c r="AL104" s="258"/>
      <c r="AM104" s="286">
        <v>125000</v>
      </c>
      <c r="AN104" s="285">
        <v>0</v>
      </c>
      <c r="AO104" s="250">
        <v>60000</v>
      </c>
      <c r="AP104" s="248">
        <v>100000</v>
      </c>
      <c r="AQ104" s="285">
        <v>55204</v>
      </c>
      <c r="AR104" s="250">
        <v>110000</v>
      </c>
      <c r="AS104" s="248"/>
      <c r="AT104" s="285"/>
      <c r="AU104" s="256"/>
    </row>
    <row r="105" spans="1:47" x14ac:dyDescent="0.2">
      <c r="A105" s="236">
        <v>99</v>
      </c>
      <c r="B105" s="237" t="s">
        <v>1491</v>
      </c>
      <c r="C105" s="238" t="s">
        <v>1492</v>
      </c>
      <c r="D105" s="239">
        <f t="shared" si="45"/>
        <v>75000</v>
      </c>
      <c r="E105" s="305">
        <f t="shared" si="45"/>
        <v>7560</v>
      </c>
      <c r="F105" s="241">
        <f t="shared" si="47"/>
        <v>0.1008</v>
      </c>
      <c r="G105" s="287">
        <f t="shared" si="46"/>
        <v>50000</v>
      </c>
      <c r="H105" s="243"/>
      <c r="I105" s="244"/>
      <c r="J105" s="283">
        <v>0</v>
      </c>
      <c r="K105" s="258"/>
      <c r="L105" s="245">
        <f t="shared" si="4"/>
        <v>0</v>
      </c>
      <c r="M105" s="248">
        <f t="shared" si="4"/>
        <v>0</v>
      </c>
      <c r="N105" s="247">
        <f t="shared" si="4"/>
        <v>0</v>
      </c>
      <c r="O105" s="248"/>
      <c r="P105" s="283"/>
      <c r="Q105" s="250"/>
      <c r="R105" s="251"/>
      <c r="S105" s="283"/>
      <c r="T105" s="250"/>
      <c r="U105" s="252"/>
      <c r="V105" s="285"/>
      <c r="W105" s="258"/>
      <c r="X105" s="254"/>
      <c r="Y105" s="255"/>
      <c r="Z105" s="250"/>
      <c r="AA105" s="255"/>
      <c r="AB105" s="255"/>
      <c r="AC105" s="258"/>
      <c r="AD105" s="286"/>
      <c r="AE105" s="285"/>
      <c r="AF105" s="256"/>
      <c r="AG105" s="244">
        <f t="shared" si="42"/>
        <v>75000</v>
      </c>
      <c r="AH105" s="244">
        <f t="shared" si="42"/>
        <v>7560</v>
      </c>
      <c r="AI105" s="256">
        <v>50000</v>
      </c>
      <c r="AJ105" s="248"/>
      <c r="AK105" s="285"/>
      <c r="AL105" s="258"/>
      <c r="AM105" s="286">
        <v>25000</v>
      </c>
      <c r="AN105" s="285">
        <v>7560</v>
      </c>
      <c r="AO105" s="250">
        <v>25000</v>
      </c>
      <c r="AP105" s="248">
        <v>50000</v>
      </c>
      <c r="AQ105" s="285">
        <v>0</v>
      </c>
      <c r="AR105" s="250">
        <v>50000</v>
      </c>
      <c r="AS105" s="248"/>
      <c r="AT105" s="285"/>
      <c r="AU105" s="256"/>
    </row>
    <row r="106" spans="1:47" x14ac:dyDescent="0.2">
      <c r="A106" s="236">
        <v>100</v>
      </c>
      <c r="B106" s="237" t="s">
        <v>1493</v>
      </c>
      <c r="C106" s="238" t="s">
        <v>1494</v>
      </c>
      <c r="D106" s="239">
        <f t="shared" si="45"/>
        <v>38000</v>
      </c>
      <c r="E106" s="305">
        <f t="shared" si="45"/>
        <v>17920</v>
      </c>
      <c r="F106" s="241">
        <f t="shared" si="47"/>
        <v>0.47157894736842104</v>
      </c>
      <c r="G106" s="287">
        <f t="shared" si="46"/>
        <v>53000</v>
      </c>
      <c r="H106" s="243"/>
      <c r="I106" s="244">
        <v>13000</v>
      </c>
      <c r="J106" s="283">
        <v>6211.5</v>
      </c>
      <c r="K106" s="258">
        <v>14000</v>
      </c>
      <c r="L106" s="245">
        <f t="shared" si="4"/>
        <v>15000</v>
      </c>
      <c r="M106" s="248">
        <f t="shared" si="4"/>
        <v>6352.5</v>
      </c>
      <c r="N106" s="247">
        <f t="shared" si="4"/>
        <v>24000</v>
      </c>
      <c r="O106" s="248"/>
      <c r="P106" s="283"/>
      <c r="Q106" s="250"/>
      <c r="R106" s="251"/>
      <c r="S106" s="283"/>
      <c r="T106" s="250"/>
      <c r="U106" s="252"/>
      <c r="V106" s="285"/>
      <c r="W106" s="258"/>
      <c r="X106" s="254"/>
      <c r="Y106" s="255"/>
      <c r="Z106" s="250">
        <v>9000</v>
      </c>
      <c r="AA106" s="255"/>
      <c r="AB106" s="255"/>
      <c r="AC106" s="258"/>
      <c r="AD106" s="286">
        <v>15000</v>
      </c>
      <c r="AE106" s="285">
        <v>6352.5</v>
      </c>
      <c r="AF106" s="256">
        <v>15000</v>
      </c>
      <c r="AG106" s="244">
        <f t="shared" si="42"/>
        <v>10000</v>
      </c>
      <c r="AH106" s="244">
        <f t="shared" si="42"/>
        <v>5356</v>
      </c>
      <c r="AI106" s="256">
        <f t="shared" si="24"/>
        <v>15000</v>
      </c>
      <c r="AJ106" s="248"/>
      <c r="AK106" s="285"/>
      <c r="AL106" s="258"/>
      <c r="AM106" s="286">
        <v>5000</v>
      </c>
      <c r="AN106" s="285">
        <v>0</v>
      </c>
      <c r="AO106" s="250">
        <v>5000</v>
      </c>
      <c r="AP106" s="248">
        <v>5000</v>
      </c>
      <c r="AQ106" s="285">
        <v>5356</v>
      </c>
      <c r="AR106" s="250">
        <v>10000</v>
      </c>
      <c r="AS106" s="248"/>
      <c r="AT106" s="285"/>
      <c r="AU106" s="256"/>
    </row>
    <row r="107" spans="1:47" x14ac:dyDescent="0.2">
      <c r="A107" s="236">
        <v>101</v>
      </c>
      <c r="B107" s="237" t="s">
        <v>1495</v>
      </c>
      <c r="C107" s="238" t="s">
        <v>1496</v>
      </c>
      <c r="D107" s="239">
        <f t="shared" si="45"/>
        <v>850000</v>
      </c>
      <c r="E107" s="305">
        <f t="shared" si="45"/>
        <v>399907</v>
      </c>
      <c r="F107" s="241">
        <f t="shared" si="47"/>
        <v>0.47047882352941178</v>
      </c>
      <c r="G107" s="287">
        <f t="shared" si="46"/>
        <v>850000</v>
      </c>
      <c r="H107" s="243"/>
      <c r="I107" s="244"/>
      <c r="J107" s="283"/>
      <c r="K107" s="258"/>
      <c r="L107" s="245">
        <f t="shared" si="4"/>
        <v>850000</v>
      </c>
      <c r="M107" s="248">
        <f t="shared" si="4"/>
        <v>399907</v>
      </c>
      <c r="N107" s="247">
        <f t="shared" si="4"/>
        <v>850000</v>
      </c>
      <c r="O107" s="248"/>
      <c r="P107" s="283"/>
      <c r="Q107" s="250"/>
      <c r="R107" s="251"/>
      <c r="S107" s="283"/>
      <c r="T107" s="250"/>
      <c r="U107" s="252"/>
      <c r="V107" s="285"/>
      <c r="W107" s="258"/>
      <c r="X107" s="254"/>
      <c r="Y107" s="255"/>
      <c r="Z107" s="250"/>
      <c r="AA107" s="255"/>
      <c r="AB107" s="255"/>
      <c r="AC107" s="258"/>
      <c r="AD107" s="286">
        <v>850000</v>
      </c>
      <c r="AE107" s="285">
        <v>399907</v>
      </c>
      <c r="AF107" s="256">
        <v>850000</v>
      </c>
      <c r="AG107" s="244">
        <f t="shared" si="42"/>
        <v>0</v>
      </c>
      <c r="AH107" s="244">
        <f t="shared" si="42"/>
        <v>0</v>
      </c>
      <c r="AI107" s="256">
        <f t="shared" si="24"/>
        <v>0</v>
      </c>
      <c r="AJ107" s="248"/>
      <c r="AK107" s="285"/>
      <c r="AL107" s="258"/>
      <c r="AM107" s="286"/>
      <c r="AN107" s="285"/>
      <c r="AO107" s="250"/>
      <c r="AP107" s="248"/>
      <c r="AQ107" s="285"/>
      <c r="AR107" s="250"/>
      <c r="AS107" s="248"/>
      <c r="AT107" s="285"/>
      <c r="AU107" s="256"/>
    </row>
    <row r="108" spans="1:47" x14ac:dyDescent="0.2">
      <c r="A108" s="292">
        <v>103</v>
      </c>
      <c r="B108" s="293" t="s">
        <v>1497</v>
      </c>
      <c r="C108" s="294" t="s">
        <v>118</v>
      </c>
      <c r="D108" s="295">
        <f>SUM(D109:D112)</f>
        <v>5476000</v>
      </c>
      <c r="E108" s="295">
        <f>SUM(E109:E112)</f>
        <v>951585.07000000007</v>
      </c>
      <c r="F108" s="296">
        <f t="shared" si="47"/>
        <v>0.17377375273922571</v>
      </c>
      <c r="G108" s="297">
        <f>SUM(G109:G112)</f>
        <v>5300000</v>
      </c>
      <c r="H108" s="243"/>
      <c r="I108" s="295">
        <f>SUM(I109:I112)</f>
        <v>25000</v>
      </c>
      <c r="J108" s="295">
        <f t="shared" ref="J108:K108" si="48">SUM(J109:J112)</f>
        <v>3500</v>
      </c>
      <c r="K108" s="298">
        <f t="shared" si="48"/>
        <v>70000</v>
      </c>
      <c r="L108" s="299">
        <f>SUM(L109:L112)</f>
        <v>550000</v>
      </c>
      <c r="M108" s="295">
        <f>SUM(M109:M112)</f>
        <v>347322.26999999996</v>
      </c>
      <c r="N108" s="300">
        <f>SUM(N109:N112)</f>
        <v>815000</v>
      </c>
      <c r="O108" s="301">
        <f>SUM(O109:O112)</f>
        <v>42500</v>
      </c>
      <c r="P108" s="295">
        <f t="shared" ref="P108:Q108" si="49">SUM(P109:P112)</f>
        <v>13822</v>
      </c>
      <c r="Q108" s="297">
        <f t="shared" si="49"/>
        <v>42500</v>
      </c>
      <c r="R108" s="295">
        <f>SUM(R109:R112)</f>
        <v>42500</v>
      </c>
      <c r="S108" s="295">
        <f t="shared" ref="S108:T108" si="50">SUM(S109:S112)</f>
        <v>127085.28</v>
      </c>
      <c r="T108" s="297">
        <f t="shared" si="50"/>
        <v>202500</v>
      </c>
      <c r="U108" s="295">
        <f>SUM(U109:U112)</f>
        <v>0</v>
      </c>
      <c r="V108" s="295">
        <f t="shared" ref="V108:W108" si="51">SUM(V109:V112)</f>
        <v>0</v>
      </c>
      <c r="W108" s="298">
        <f t="shared" si="51"/>
        <v>0</v>
      </c>
      <c r="X108" s="303">
        <f>SUM(X109:X112)</f>
        <v>0</v>
      </c>
      <c r="Y108" s="295">
        <f t="shared" ref="Y108:Z108" si="52">SUM(Y109:Y112)</f>
        <v>0</v>
      </c>
      <c r="Z108" s="302">
        <f t="shared" si="52"/>
        <v>70000</v>
      </c>
      <c r="AA108" s="301">
        <f>SUM(AA109:AA112)</f>
        <v>0</v>
      </c>
      <c r="AB108" s="295">
        <f t="shared" ref="AB108:AC108" si="53">SUM(AB109:AB112)</f>
        <v>0</v>
      </c>
      <c r="AC108" s="298">
        <f t="shared" si="53"/>
        <v>40000</v>
      </c>
      <c r="AD108" s="303">
        <f>SUM(AD109:AD112)</f>
        <v>465000</v>
      </c>
      <c r="AE108" s="295">
        <f t="shared" ref="AE108:AF108" si="54">SUM(AE109:AE112)</f>
        <v>206414.99</v>
      </c>
      <c r="AF108" s="298">
        <f t="shared" si="54"/>
        <v>460000</v>
      </c>
      <c r="AG108" s="299">
        <f>SUM(AG109:AG112)</f>
        <v>4901000</v>
      </c>
      <c r="AH108" s="295">
        <f t="shared" ref="AH108:AI108" si="55">SUM(AH109:AH112)</f>
        <v>600762.80000000005</v>
      </c>
      <c r="AI108" s="300">
        <f t="shared" si="55"/>
        <v>4415000</v>
      </c>
      <c r="AJ108" s="301">
        <f>SUM(AJ109:AJ112)</f>
        <v>0</v>
      </c>
      <c r="AK108" s="295">
        <f t="shared" ref="AK108:AL108" si="56">SUM(AK109:AK112)</f>
        <v>0</v>
      </c>
      <c r="AL108" s="298">
        <f t="shared" si="56"/>
        <v>0</v>
      </c>
      <c r="AM108" s="303">
        <f>SUM(AM109:AM112)</f>
        <v>1235000</v>
      </c>
      <c r="AN108" s="295">
        <f t="shared" ref="AN108:AO108" si="57">SUM(AN109:AN112)</f>
        <v>312469.8</v>
      </c>
      <c r="AO108" s="302">
        <f t="shared" si="57"/>
        <v>2520000</v>
      </c>
      <c r="AP108" s="301">
        <f>SUM(AP109:AP112)</f>
        <v>3266000</v>
      </c>
      <c r="AQ108" s="295">
        <f t="shared" ref="AQ108:AR108" si="58">SUM(AQ109:AQ112)</f>
        <v>137957</v>
      </c>
      <c r="AR108" s="302">
        <f t="shared" si="58"/>
        <v>1325000</v>
      </c>
      <c r="AS108" s="301">
        <f>SUM(AS109:AS112)</f>
        <v>400000</v>
      </c>
      <c r="AT108" s="295">
        <f>SUM(AT109:AT112)</f>
        <v>150336</v>
      </c>
      <c r="AU108" s="300">
        <f t="shared" ref="AU108" si="59">SUM(AU109:AU112)</f>
        <v>570000</v>
      </c>
    </row>
    <row r="109" spans="1:47" x14ac:dyDescent="0.2">
      <c r="A109" s="236">
        <v>104</v>
      </c>
      <c r="B109" s="237" t="s">
        <v>1498</v>
      </c>
      <c r="C109" s="238" t="s">
        <v>1499</v>
      </c>
      <c r="D109" s="239">
        <f t="shared" ref="D109:E122" si="60">SUM(I109,L109,AG109)</f>
        <v>585000</v>
      </c>
      <c r="E109" s="305">
        <f t="shared" si="60"/>
        <v>338241.36</v>
      </c>
      <c r="F109" s="241">
        <f t="shared" si="47"/>
        <v>0.578190358974359</v>
      </c>
      <c r="G109" s="287">
        <f t="shared" si="46"/>
        <v>815000</v>
      </c>
      <c r="H109" s="243"/>
      <c r="I109" s="244">
        <v>10000</v>
      </c>
      <c r="J109" s="283">
        <v>3500</v>
      </c>
      <c r="K109" s="258">
        <v>10000</v>
      </c>
      <c r="L109" s="245">
        <f t="shared" si="4"/>
        <v>400000</v>
      </c>
      <c r="M109" s="248">
        <f t="shared" si="4"/>
        <v>305708.36</v>
      </c>
      <c r="N109" s="247">
        <f t="shared" si="4"/>
        <v>630000</v>
      </c>
      <c r="O109" s="248">
        <v>40000</v>
      </c>
      <c r="P109" s="283">
        <v>13822</v>
      </c>
      <c r="Q109" s="250">
        <v>40000</v>
      </c>
      <c r="R109" s="251">
        <v>40000</v>
      </c>
      <c r="S109" s="283">
        <v>127085.28</v>
      </c>
      <c r="T109" s="250">
        <v>200000</v>
      </c>
      <c r="U109" s="252"/>
      <c r="V109" s="285"/>
      <c r="W109" s="258"/>
      <c r="X109" s="254"/>
      <c r="Y109" s="255"/>
      <c r="Z109" s="250">
        <v>50000</v>
      </c>
      <c r="AA109" s="255"/>
      <c r="AB109" s="255"/>
      <c r="AC109" s="258">
        <v>20000</v>
      </c>
      <c r="AD109" s="286">
        <v>320000</v>
      </c>
      <c r="AE109" s="285">
        <v>164801.07999999999</v>
      </c>
      <c r="AF109" s="256">
        <v>320000</v>
      </c>
      <c r="AG109" s="244">
        <f t="shared" si="42"/>
        <v>175000</v>
      </c>
      <c r="AH109" s="244">
        <f t="shared" si="42"/>
        <v>29033</v>
      </c>
      <c r="AI109" s="256">
        <f t="shared" si="24"/>
        <v>175000</v>
      </c>
      <c r="AJ109" s="248"/>
      <c r="AK109" s="285"/>
      <c r="AL109" s="258"/>
      <c r="AM109" s="286">
        <v>75000</v>
      </c>
      <c r="AN109" s="285">
        <v>27756</v>
      </c>
      <c r="AO109" s="250">
        <v>75000</v>
      </c>
      <c r="AP109" s="248"/>
      <c r="AQ109" s="267"/>
      <c r="AR109" s="250"/>
      <c r="AS109" s="248">
        <v>100000</v>
      </c>
      <c r="AT109" s="285">
        <v>1277</v>
      </c>
      <c r="AU109" s="256">
        <v>100000</v>
      </c>
    </row>
    <row r="110" spans="1:47" x14ac:dyDescent="0.2">
      <c r="A110" s="236">
        <v>105</v>
      </c>
      <c r="B110" s="237" t="s">
        <v>1500</v>
      </c>
      <c r="C110" s="238" t="s">
        <v>1501</v>
      </c>
      <c r="D110" s="239">
        <f t="shared" si="60"/>
        <v>250000</v>
      </c>
      <c r="E110" s="305">
        <f t="shared" si="60"/>
        <v>167739.91</v>
      </c>
      <c r="F110" s="241">
        <f t="shared" si="47"/>
        <v>0.67095963999999997</v>
      </c>
      <c r="G110" s="287">
        <f t="shared" si="46"/>
        <v>430000</v>
      </c>
      <c r="H110" s="243"/>
      <c r="I110" s="244">
        <v>15000</v>
      </c>
      <c r="J110" s="283">
        <v>0</v>
      </c>
      <c r="K110" s="258">
        <v>10000</v>
      </c>
      <c r="L110" s="245">
        <f t="shared" si="4"/>
        <v>100000</v>
      </c>
      <c r="M110" s="248">
        <f t="shared" si="4"/>
        <v>25437.91</v>
      </c>
      <c r="N110" s="247">
        <f t="shared" si="4"/>
        <v>115000</v>
      </c>
      <c r="O110" s="248">
        <v>2500</v>
      </c>
      <c r="P110" s="283">
        <v>0</v>
      </c>
      <c r="Q110" s="250">
        <v>2500</v>
      </c>
      <c r="R110" s="251">
        <v>2500</v>
      </c>
      <c r="S110" s="283">
        <v>0</v>
      </c>
      <c r="T110" s="250">
        <v>2500</v>
      </c>
      <c r="U110" s="252"/>
      <c r="V110" s="285"/>
      <c r="W110" s="258"/>
      <c r="X110" s="254"/>
      <c r="Y110" s="255"/>
      <c r="Z110" s="250">
        <v>20000</v>
      </c>
      <c r="AA110" s="255"/>
      <c r="AB110" s="255"/>
      <c r="AC110" s="258">
        <v>20000</v>
      </c>
      <c r="AD110" s="286">
        <v>95000</v>
      </c>
      <c r="AE110" s="285">
        <v>25437.91</v>
      </c>
      <c r="AF110" s="256">
        <v>70000</v>
      </c>
      <c r="AG110" s="244">
        <f t="shared" si="42"/>
        <v>135000</v>
      </c>
      <c r="AH110" s="244">
        <f t="shared" si="42"/>
        <v>142302</v>
      </c>
      <c r="AI110" s="256">
        <f t="shared" si="24"/>
        <v>305000</v>
      </c>
      <c r="AJ110" s="248"/>
      <c r="AK110" s="285"/>
      <c r="AL110" s="258"/>
      <c r="AM110" s="286">
        <v>35000</v>
      </c>
      <c r="AN110" s="285">
        <v>0</v>
      </c>
      <c r="AO110" s="250">
        <v>35000</v>
      </c>
      <c r="AP110" s="248">
        <v>100000</v>
      </c>
      <c r="AQ110" s="285">
        <v>0</v>
      </c>
      <c r="AR110" s="250">
        <v>100000</v>
      </c>
      <c r="AS110" s="248">
        <v>0</v>
      </c>
      <c r="AT110" s="285">
        <v>142302</v>
      </c>
      <c r="AU110" s="256">
        <v>170000</v>
      </c>
    </row>
    <row r="111" spans="1:47" x14ac:dyDescent="0.2">
      <c r="A111" s="236">
        <v>106</v>
      </c>
      <c r="B111" s="237" t="s">
        <v>1502</v>
      </c>
      <c r="C111" s="238" t="s">
        <v>1503</v>
      </c>
      <c r="D111" s="239">
        <f t="shared" si="60"/>
        <v>550000</v>
      </c>
      <c r="E111" s="305">
        <f t="shared" si="60"/>
        <v>101870</v>
      </c>
      <c r="F111" s="241">
        <f t="shared" si="47"/>
        <v>0.18521818181818181</v>
      </c>
      <c r="G111" s="287">
        <f t="shared" si="46"/>
        <v>770000</v>
      </c>
      <c r="H111" s="243"/>
      <c r="I111" s="244">
        <v>0</v>
      </c>
      <c r="J111" s="283">
        <v>0</v>
      </c>
      <c r="K111" s="258">
        <v>50000</v>
      </c>
      <c r="L111" s="245">
        <f t="shared" si="4"/>
        <v>50000</v>
      </c>
      <c r="M111" s="248">
        <f t="shared" si="4"/>
        <v>16176</v>
      </c>
      <c r="N111" s="247">
        <f t="shared" si="4"/>
        <v>70000</v>
      </c>
      <c r="O111" s="248"/>
      <c r="P111" s="283"/>
      <c r="Q111" s="250"/>
      <c r="R111" s="251"/>
      <c r="S111" s="283"/>
      <c r="T111" s="250"/>
      <c r="U111" s="252"/>
      <c r="V111" s="285"/>
      <c r="W111" s="258"/>
      <c r="X111" s="254"/>
      <c r="Y111" s="255"/>
      <c r="Z111" s="250"/>
      <c r="AA111" s="255"/>
      <c r="AB111" s="255"/>
      <c r="AC111" s="258"/>
      <c r="AD111" s="286">
        <v>50000</v>
      </c>
      <c r="AE111" s="285">
        <v>16176</v>
      </c>
      <c r="AF111" s="256">
        <v>70000</v>
      </c>
      <c r="AG111" s="244">
        <f t="shared" si="42"/>
        <v>500000</v>
      </c>
      <c r="AH111" s="244">
        <f t="shared" si="42"/>
        <v>85694</v>
      </c>
      <c r="AI111" s="256">
        <f t="shared" si="42"/>
        <v>650000</v>
      </c>
      <c r="AJ111" s="248"/>
      <c r="AK111" s="285"/>
      <c r="AL111" s="258"/>
      <c r="AM111" s="286">
        <v>50000</v>
      </c>
      <c r="AN111" s="285">
        <v>0</v>
      </c>
      <c r="AO111" s="250">
        <v>200000</v>
      </c>
      <c r="AP111" s="248">
        <v>150000</v>
      </c>
      <c r="AQ111" s="285">
        <v>78937</v>
      </c>
      <c r="AR111" s="250">
        <v>150000</v>
      </c>
      <c r="AS111" s="248">
        <v>300000</v>
      </c>
      <c r="AT111" s="285">
        <v>6757</v>
      </c>
      <c r="AU111" s="256">
        <v>300000</v>
      </c>
    </row>
    <row r="112" spans="1:47" x14ac:dyDescent="0.2">
      <c r="A112" s="236">
        <v>107</v>
      </c>
      <c r="B112" s="237" t="s">
        <v>1504</v>
      </c>
      <c r="C112" s="238" t="s">
        <v>1505</v>
      </c>
      <c r="D112" s="239">
        <f t="shared" si="60"/>
        <v>4091000</v>
      </c>
      <c r="E112" s="305">
        <f t="shared" si="60"/>
        <v>343733.8</v>
      </c>
      <c r="F112" s="241">
        <f t="shared" si="47"/>
        <v>8.4021950623319477E-2</v>
      </c>
      <c r="G112" s="287">
        <f t="shared" si="46"/>
        <v>3285000</v>
      </c>
      <c r="H112" s="243"/>
      <c r="I112" s="244"/>
      <c r="J112" s="283"/>
      <c r="K112" s="258"/>
      <c r="L112" s="245">
        <f t="shared" si="4"/>
        <v>0</v>
      </c>
      <c r="M112" s="248">
        <f t="shared" si="4"/>
        <v>0</v>
      </c>
      <c r="N112" s="247">
        <f t="shared" si="4"/>
        <v>0</v>
      </c>
      <c r="O112" s="248"/>
      <c r="P112" s="283"/>
      <c r="Q112" s="250"/>
      <c r="R112" s="251"/>
      <c r="S112" s="283"/>
      <c r="T112" s="250"/>
      <c r="U112" s="252"/>
      <c r="V112" s="285"/>
      <c r="W112" s="258"/>
      <c r="X112" s="254"/>
      <c r="Y112" s="255"/>
      <c r="Z112" s="250"/>
      <c r="AA112" s="255"/>
      <c r="AB112" s="255"/>
      <c r="AC112" s="258"/>
      <c r="AD112" s="286">
        <v>0</v>
      </c>
      <c r="AE112" s="285"/>
      <c r="AF112" s="256"/>
      <c r="AG112" s="244">
        <f t="shared" si="42"/>
        <v>4091000</v>
      </c>
      <c r="AH112" s="244">
        <f t="shared" si="42"/>
        <v>343733.8</v>
      </c>
      <c r="AI112" s="256">
        <f t="shared" si="42"/>
        <v>3285000</v>
      </c>
      <c r="AJ112" s="248"/>
      <c r="AK112" s="285"/>
      <c r="AL112" s="258"/>
      <c r="AM112" s="286">
        <v>1075000</v>
      </c>
      <c r="AN112" s="285">
        <v>284713.8</v>
      </c>
      <c r="AO112" s="250">
        <v>2210000</v>
      </c>
      <c r="AP112" s="248">
        <v>3016000</v>
      </c>
      <c r="AQ112" s="285">
        <v>59020</v>
      </c>
      <c r="AR112" s="250">
        <v>1075000</v>
      </c>
      <c r="AS112" s="248"/>
      <c r="AT112" s="285"/>
      <c r="AU112" s="256"/>
    </row>
    <row r="113" spans="1:47" x14ac:dyDescent="0.2">
      <c r="A113" s="236">
        <v>109</v>
      </c>
      <c r="B113" s="237" t="s">
        <v>1506</v>
      </c>
      <c r="C113" s="238" t="s">
        <v>120</v>
      </c>
      <c r="D113" s="239">
        <f t="shared" si="60"/>
        <v>4500</v>
      </c>
      <c r="E113" s="295">
        <f t="shared" si="60"/>
        <v>6552</v>
      </c>
      <c r="F113" s="241">
        <f t="shared" si="47"/>
        <v>1.456</v>
      </c>
      <c r="G113" s="297">
        <f t="shared" si="46"/>
        <v>20000</v>
      </c>
      <c r="H113" s="243"/>
      <c r="I113" s="244">
        <v>4500</v>
      </c>
      <c r="J113" s="295">
        <v>6552</v>
      </c>
      <c r="K113" s="258">
        <v>20000</v>
      </c>
      <c r="L113" s="245">
        <f t="shared" si="4"/>
        <v>0</v>
      </c>
      <c r="M113" s="248">
        <f t="shared" si="4"/>
        <v>0</v>
      </c>
      <c r="N113" s="247">
        <f t="shared" si="4"/>
        <v>0</v>
      </c>
      <c r="O113" s="248"/>
      <c r="P113" s="314"/>
      <c r="Q113" s="250"/>
      <c r="R113" s="251"/>
      <c r="S113" s="314"/>
      <c r="T113" s="250"/>
      <c r="U113" s="324"/>
      <c r="V113" s="315"/>
      <c r="W113" s="258"/>
      <c r="X113" s="254"/>
      <c r="Y113" s="255"/>
      <c r="Z113" s="250"/>
      <c r="AA113" s="255"/>
      <c r="AB113" s="255"/>
      <c r="AC113" s="258"/>
      <c r="AD113" s="286"/>
      <c r="AE113" s="315"/>
      <c r="AF113" s="256"/>
      <c r="AG113" s="244">
        <f t="shared" si="42"/>
        <v>0</v>
      </c>
      <c r="AH113" s="244">
        <f t="shared" si="42"/>
        <v>0</v>
      </c>
      <c r="AI113" s="256">
        <f t="shared" si="42"/>
        <v>0</v>
      </c>
      <c r="AJ113" s="248"/>
      <c r="AK113" s="315"/>
      <c r="AL113" s="258"/>
      <c r="AM113" s="286"/>
      <c r="AN113" s="315"/>
      <c r="AO113" s="250"/>
      <c r="AP113" s="248"/>
      <c r="AQ113" s="315"/>
      <c r="AR113" s="250"/>
      <c r="AS113" s="248"/>
      <c r="AT113" s="315"/>
      <c r="AU113" s="256"/>
    </row>
    <row r="114" spans="1:47" x14ac:dyDescent="0.2">
      <c r="A114" s="236">
        <v>110</v>
      </c>
      <c r="B114" s="237" t="s">
        <v>1507</v>
      </c>
      <c r="C114" s="238" t="s">
        <v>1508</v>
      </c>
      <c r="D114" s="239">
        <f t="shared" si="60"/>
        <v>1500</v>
      </c>
      <c r="E114" s="295">
        <f t="shared" si="60"/>
        <v>10189.6</v>
      </c>
      <c r="F114" s="241">
        <f t="shared" si="47"/>
        <v>6.7930666666666673</v>
      </c>
      <c r="G114" s="297">
        <f t="shared" si="46"/>
        <v>20000</v>
      </c>
      <c r="H114" s="243"/>
      <c r="I114" s="244">
        <v>1500</v>
      </c>
      <c r="J114" s="295">
        <v>8118.7</v>
      </c>
      <c r="K114" s="258">
        <v>20000</v>
      </c>
      <c r="L114" s="245">
        <f t="shared" si="4"/>
        <v>0</v>
      </c>
      <c r="M114" s="248">
        <f t="shared" si="4"/>
        <v>2070.9</v>
      </c>
      <c r="N114" s="247">
        <f t="shared" si="4"/>
        <v>0</v>
      </c>
      <c r="O114" s="248"/>
      <c r="P114" s="314"/>
      <c r="Q114" s="250"/>
      <c r="R114" s="251"/>
      <c r="S114" s="314"/>
      <c r="T114" s="250"/>
      <c r="U114" s="324"/>
      <c r="V114" s="315"/>
      <c r="W114" s="258"/>
      <c r="X114" s="254"/>
      <c r="Y114" s="255"/>
      <c r="Z114" s="250"/>
      <c r="AA114" s="255"/>
      <c r="AB114" s="255"/>
      <c r="AC114" s="258"/>
      <c r="AD114" s="286"/>
      <c r="AE114" s="315">
        <v>2070.9</v>
      </c>
      <c r="AF114" s="256"/>
      <c r="AG114" s="244">
        <f t="shared" si="42"/>
        <v>0</v>
      </c>
      <c r="AH114" s="244">
        <f t="shared" si="42"/>
        <v>0</v>
      </c>
      <c r="AI114" s="256">
        <f t="shared" si="42"/>
        <v>0</v>
      </c>
      <c r="AJ114" s="248"/>
      <c r="AK114" s="315"/>
      <c r="AL114" s="258"/>
      <c r="AM114" s="286"/>
      <c r="AN114" s="315"/>
      <c r="AO114" s="250"/>
      <c r="AP114" s="248"/>
      <c r="AQ114" s="315"/>
      <c r="AR114" s="250"/>
      <c r="AS114" s="248"/>
      <c r="AT114" s="315"/>
      <c r="AU114" s="256"/>
    </row>
    <row r="115" spans="1:47" x14ac:dyDescent="0.2">
      <c r="A115" s="236">
        <v>111</v>
      </c>
      <c r="B115" s="237" t="s">
        <v>1509</v>
      </c>
      <c r="C115" s="238" t="s">
        <v>1510</v>
      </c>
      <c r="D115" s="239">
        <f t="shared" si="60"/>
        <v>28000</v>
      </c>
      <c r="E115" s="295">
        <f t="shared" si="60"/>
        <v>0</v>
      </c>
      <c r="F115" s="241">
        <f t="shared" si="47"/>
        <v>0</v>
      </c>
      <c r="G115" s="297">
        <f t="shared" si="46"/>
        <v>0</v>
      </c>
      <c r="H115" s="243"/>
      <c r="I115" s="244">
        <v>5000</v>
      </c>
      <c r="J115" s="295">
        <v>0</v>
      </c>
      <c r="K115" s="258"/>
      <c r="L115" s="245">
        <f t="shared" ref="L115:N122" si="61">SUM(O115,R115,U115,X115,AA115,AD115)</f>
        <v>19000</v>
      </c>
      <c r="M115" s="248">
        <f t="shared" si="61"/>
        <v>0</v>
      </c>
      <c r="N115" s="247">
        <f t="shared" si="61"/>
        <v>0</v>
      </c>
      <c r="O115" s="248">
        <v>2000</v>
      </c>
      <c r="P115" s="314">
        <v>0</v>
      </c>
      <c r="Q115" s="250"/>
      <c r="R115" s="251">
        <v>4000</v>
      </c>
      <c r="S115" s="314">
        <v>0</v>
      </c>
      <c r="T115" s="250"/>
      <c r="U115" s="324">
        <v>1000</v>
      </c>
      <c r="V115" s="315">
        <v>0</v>
      </c>
      <c r="W115" s="258"/>
      <c r="X115" s="254"/>
      <c r="Y115" s="255"/>
      <c r="Z115" s="250"/>
      <c r="AA115" s="255"/>
      <c r="AB115" s="255"/>
      <c r="AC115" s="258"/>
      <c r="AD115" s="286">
        <v>12000</v>
      </c>
      <c r="AE115" s="315">
        <v>0</v>
      </c>
      <c r="AF115" s="256"/>
      <c r="AG115" s="244">
        <f t="shared" si="42"/>
        <v>4000</v>
      </c>
      <c r="AH115" s="244">
        <f t="shared" si="42"/>
        <v>0</v>
      </c>
      <c r="AI115" s="256">
        <f t="shared" si="42"/>
        <v>0</v>
      </c>
      <c r="AJ115" s="248"/>
      <c r="AK115" s="315"/>
      <c r="AL115" s="258"/>
      <c r="AM115" s="286">
        <v>2000</v>
      </c>
      <c r="AN115" s="315">
        <v>0</v>
      </c>
      <c r="AO115" s="250"/>
      <c r="AP115" s="248">
        <v>2000</v>
      </c>
      <c r="AQ115" s="315">
        <v>0</v>
      </c>
      <c r="AR115" s="250"/>
      <c r="AS115" s="248"/>
      <c r="AT115" s="315"/>
      <c r="AU115" s="256"/>
    </row>
    <row r="116" spans="1:47" x14ac:dyDescent="0.2">
      <c r="A116" s="236">
        <v>112</v>
      </c>
      <c r="B116" s="237" t="s">
        <v>1511</v>
      </c>
      <c r="C116" s="238" t="s">
        <v>1512</v>
      </c>
      <c r="D116" s="239">
        <f t="shared" si="60"/>
        <v>2374299</v>
      </c>
      <c r="E116" s="295">
        <f t="shared" si="60"/>
        <v>1566334</v>
      </c>
      <c r="F116" s="241">
        <f t="shared" si="47"/>
        <v>0.65970376940730713</v>
      </c>
      <c r="G116" s="297">
        <f t="shared" si="46"/>
        <v>2855000</v>
      </c>
      <c r="H116" s="243"/>
      <c r="I116" s="244">
        <v>65000</v>
      </c>
      <c r="J116" s="295">
        <v>83058</v>
      </c>
      <c r="K116" s="258">
        <v>160000</v>
      </c>
      <c r="L116" s="245">
        <f t="shared" si="61"/>
        <v>2214299</v>
      </c>
      <c r="M116" s="248">
        <f t="shared" si="61"/>
        <v>1307111</v>
      </c>
      <c r="N116" s="247">
        <f t="shared" si="61"/>
        <v>2545000</v>
      </c>
      <c r="O116" s="248">
        <v>600000</v>
      </c>
      <c r="P116" s="314">
        <v>297636</v>
      </c>
      <c r="Q116" s="250">
        <v>600000</v>
      </c>
      <c r="R116" s="251">
        <v>1125000</v>
      </c>
      <c r="S116" s="314">
        <v>535536</v>
      </c>
      <c r="T116" s="250">
        <v>1125000</v>
      </c>
      <c r="U116" s="324"/>
      <c r="V116" s="315"/>
      <c r="W116" s="258"/>
      <c r="X116" s="254"/>
      <c r="Y116" s="255"/>
      <c r="Z116" s="250">
        <v>70000</v>
      </c>
      <c r="AA116" s="255"/>
      <c r="AB116" s="255"/>
      <c r="AC116" s="258">
        <v>50000</v>
      </c>
      <c r="AD116" s="286">
        <v>489299</v>
      </c>
      <c r="AE116" s="315">
        <v>473939</v>
      </c>
      <c r="AF116" s="256">
        <v>700000</v>
      </c>
      <c r="AG116" s="244">
        <f t="shared" si="42"/>
        <v>95000</v>
      </c>
      <c r="AH116" s="244">
        <f t="shared" si="42"/>
        <v>176165</v>
      </c>
      <c r="AI116" s="256">
        <f t="shared" si="42"/>
        <v>150000</v>
      </c>
      <c r="AJ116" s="248"/>
      <c r="AK116" s="315">
        <v>102738</v>
      </c>
      <c r="AL116" s="258"/>
      <c r="AM116" s="286">
        <v>30000</v>
      </c>
      <c r="AN116" s="315">
        <v>59177</v>
      </c>
      <c r="AO116" s="250">
        <v>75000</v>
      </c>
      <c r="AP116" s="248">
        <v>45000</v>
      </c>
      <c r="AQ116" s="315">
        <v>14250</v>
      </c>
      <c r="AR116" s="250">
        <v>75000</v>
      </c>
      <c r="AS116" s="248">
        <v>20000</v>
      </c>
      <c r="AT116" s="315">
        <v>0</v>
      </c>
      <c r="AU116" s="256"/>
    </row>
    <row r="117" spans="1:47" x14ac:dyDescent="0.2">
      <c r="A117" s="236">
        <v>113</v>
      </c>
      <c r="B117" s="237" t="s">
        <v>1513</v>
      </c>
      <c r="C117" s="238" t="s">
        <v>1514</v>
      </c>
      <c r="D117" s="239">
        <f t="shared" si="60"/>
        <v>0</v>
      </c>
      <c r="E117" s="295">
        <f t="shared" si="60"/>
        <v>-31112.979999999996</v>
      </c>
      <c r="F117" s="241">
        <v>0</v>
      </c>
      <c r="G117" s="297">
        <f t="shared" si="46"/>
        <v>0</v>
      </c>
      <c r="H117" s="243"/>
      <c r="I117" s="244">
        <v>0</v>
      </c>
      <c r="J117" s="295">
        <v>2.97</v>
      </c>
      <c r="K117" s="258"/>
      <c r="L117" s="245">
        <f t="shared" si="61"/>
        <v>0</v>
      </c>
      <c r="M117" s="248">
        <f t="shared" si="61"/>
        <v>-31524.28</v>
      </c>
      <c r="N117" s="247">
        <f t="shared" si="61"/>
        <v>0</v>
      </c>
      <c r="O117" s="248">
        <v>0</v>
      </c>
      <c r="P117" s="314">
        <v>0.56000000000000005</v>
      </c>
      <c r="Q117" s="250"/>
      <c r="R117" s="251">
        <v>0</v>
      </c>
      <c r="S117" s="314">
        <v>3.71</v>
      </c>
      <c r="T117" s="250"/>
      <c r="U117" s="324"/>
      <c r="V117" s="315"/>
      <c r="W117" s="258"/>
      <c r="X117" s="254"/>
      <c r="Y117" s="255"/>
      <c r="Z117" s="250"/>
      <c r="AA117" s="255"/>
      <c r="AB117" s="255"/>
      <c r="AC117" s="258"/>
      <c r="AD117" s="286"/>
      <c r="AE117" s="315">
        <v>-31528.55</v>
      </c>
      <c r="AF117" s="256"/>
      <c r="AG117" s="244">
        <f t="shared" si="42"/>
        <v>0</v>
      </c>
      <c r="AH117" s="244">
        <f t="shared" si="42"/>
        <v>408.33</v>
      </c>
      <c r="AI117" s="256">
        <f t="shared" si="42"/>
        <v>0</v>
      </c>
      <c r="AJ117" s="248"/>
      <c r="AK117" s="315">
        <v>394.99</v>
      </c>
      <c r="AL117" s="258"/>
      <c r="AM117" s="286">
        <v>0</v>
      </c>
      <c r="AN117" s="315">
        <v>7.11</v>
      </c>
      <c r="AO117" s="250"/>
      <c r="AP117" s="248">
        <v>0</v>
      </c>
      <c r="AQ117" s="315">
        <v>4.1500000000000004</v>
      </c>
      <c r="AR117" s="250"/>
      <c r="AS117" s="248">
        <v>0</v>
      </c>
      <c r="AT117" s="315">
        <v>2.08</v>
      </c>
      <c r="AU117" s="256"/>
    </row>
    <row r="118" spans="1:47" x14ac:dyDescent="0.2">
      <c r="A118" s="236">
        <v>114</v>
      </c>
      <c r="B118" s="237" t="s">
        <v>1515</v>
      </c>
      <c r="C118" s="238" t="s">
        <v>1516</v>
      </c>
      <c r="D118" s="239">
        <f t="shared" si="60"/>
        <v>107000</v>
      </c>
      <c r="E118" s="295">
        <f t="shared" si="60"/>
        <v>0</v>
      </c>
      <c r="F118" s="241">
        <f t="shared" si="47"/>
        <v>0</v>
      </c>
      <c r="G118" s="297">
        <f t="shared" si="46"/>
        <v>71000</v>
      </c>
      <c r="H118" s="243"/>
      <c r="I118" s="244">
        <v>4000</v>
      </c>
      <c r="J118" s="295">
        <v>0</v>
      </c>
      <c r="K118" s="258">
        <v>4000</v>
      </c>
      <c r="L118" s="245">
        <f t="shared" si="61"/>
        <v>28000</v>
      </c>
      <c r="M118" s="248">
        <f t="shared" si="61"/>
        <v>0</v>
      </c>
      <c r="N118" s="247">
        <f>SUM(Q118,T118,W118,Z118,AC118,AF118)</f>
        <v>42000</v>
      </c>
      <c r="O118" s="248">
        <v>10000</v>
      </c>
      <c r="P118" s="314">
        <v>0</v>
      </c>
      <c r="Q118" s="250">
        <v>10000</v>
      </c>
      <c r="R118" s="251">
        <v>12000</v>
      </c>
      <c r="S118" s="314">
        <v>0</v>
      </c>
      <c r="T118" s="250">
        <v>12000</v>
      </c>
      <c r="U118" s="324"/>
      <c r="V118" s="315"/>
      <c r="W118" s="258"/>
      <c r="X118" s="254"/>
      <c r="Y118" s="255"/>
      <c r="Z118" s="250">
        <v>10000</v>
      </c>
      <c r="AA118" s="255"/>
      <c r="AB118" s="255"/>
      <c r="AC118" s="258"/>
      <c r="AD118" s="286">
        <v>6000</v>
      </c>
      <c r="AE118" s="315">
        <v>0</v>
      </c>
      <c r="AF118" s="256">
        <v>10000</v>
      </c>
      <c r="AG118" s="244">
        <f t="shared" si="42"/>
        <v>75000</v>
      </c>
      <c r="AH118" s="244">
        <f t="shared" si="42"/>
        <v>0</v>
      </c>
      <c r="AI118" s="256">
        <f t="shared" si="42"/>
        <v>25000</v>
      </c>
      <c r="AJ118" s="248"/>
      <c r="AK118" s="315"/>
      <c r="AL118" s="258"/>
      <c r="AM118" s="286">
        <v>75000</v>
      </c>
      <c r="AN118" s="315">
        <v>0</v>
      </c>
      <c r="AO118" s="250">
        <v>25000</v>
      </c>
      <c r="AP118" s="248"/>
      <c r="AQ118" s="315"/>
      <c r="AR118" s="250"/>
      <c r="AS118" s="248"/>
      <c r="AT118" s="315"/>
      <c r="AU118" s="256"/>
    </row>
    <row r="119" spans="1:47" x14ac:dyDescent="0.2">
      <c r="A119" s="236">
        <v>115</v>
      </c>
      <c r="B119" s="237" t="s">
        <v>1517</v>
      </c>
      <c r="C119" s="238" t="s">
        <v>1518</v>
      </c>
      <c r="D119" s="239">
        <f t="shared" si="60"/>
        <v>449000</v>
      </c>
      <c r="E119" s="295">
        <f t="shared" si="60"/>
        <v>22930</v>
      </c>
      <c r="F119" s="241">
        <f t="shared" si="47"/>
        <v>5.1069042316258355E-2</v>
      </c>
      <c r="G119" s="297">
        <f t="shared" si="46"/>
        <v>0</v>
      </c>
      <c r="H119" s="243"/>
      <c r="I119" s="244">
        <v>30000</v>
      </c>
      <c r="J119" s="295">
        <v>0</v>
      </c>
      <c r="K119" s="258"/>
      <c r="L119" s="245">
        <f t="shared" si="61"/>
        <v>119000</v>
      </c>
      <c r="M119" s="248">
        <f t="shared" si="61"/>
        <v>13180</v>
      </c>
      <c r="N119" s="247">
        <f t="shared" si="61"/>
        <v>0</v>
      </c>
      <c r="O119" s="248">
        <v>110000</v>
      </c>
      <c r="P119" s="314">
        <v>10000</v>
      </c>
      <c r="Q119" s="250"/>
      <c r="R119" s="251"/>
      <c r="S119" s="314"/>
      <c r="T119" s="250"/>
      <c r="U119" s="324"/>
      <c r="V119" s="315"/>
      <c r="W119" s="258"/>
      <c r="X119" s="254"/>
      <c r="Y119" s="255"/>
      <c r="Z119" s="250"/>
      <c r="AA119" s="255"/>
      <c r="AB119" s="255"/>
      <c r="AC119" s="258"/>
      <c r="AD119" s="286">
        <v>9000</v>
      </c>
      <c r="AE119" s="315">
        <v>3180</v>
      </c>
      <c r="AF119" s="256"/>
      <c r="AG119" s="244">
        <f t="shared" si="42"/>
        <v>300000</v>
      </c>
      <c r="AH119" s="244">
        <f t="shared" si="42"/>
        <v>9750</v>
      </c>
      <c r="AI119" s="256">
        <f t="shared" si="42"/>
        <v>0</v>
      </c>
      <c r="AJ119" s="248"/>
      <c r="AK119" s="315"/>
      <c r="AL119" s="258"/>
      <c r="AM119" s="286">
        <v>300000</v>
      </c>
      <c r="AN119" s="315">
        <v>9750</v>
      </c>
      <c r="AO119" s="250"/>
      <c r="AP119" s="248"/>
      <c r="AQ119" s="315"/>
      <c r="AR119" s="250"/>
      <c r="AS119" s="248"/>
      <c r="AT119" s="315"/>
      <c r="AU119" s="256"/>
    </row>
    <row r="120" spans="1:47" x14ac:dyDescent="0.2">
      <c r="A120" s="236">
        <v>116</v>
      </c>
      <c r="B120" s="237" t="s">
        <v>1519</v>
      </c>
      <c r="C120" s="238" t="s">
        <v>1520</v>
      </c>
      <c r="D120" s="239">
        <f t="shared" si="60"/>
        <v>0</v>
      </c>
      <c r="E120" s="295">
        <f t="shared" si="60"/>
        <v>362.98</v>
      </c>
      <c r="F120" s="241">
        <v>0</v>
      </c>
      <c r="G120" s="297">
        <f t="shared" si="46"/>
        <v>0</v>
      </c>
      <c r="H120" s="243"/>
      <c r="I120" s="244"/>
      <c r="J120" s="295"/>
      <c r="K120" s="258"/>
      <c r="L120" s="245">
        <f t="shared" si="61"/>
        <v>0</v>
      </c>
      <c r="M120" s="248">
        <f t="shared" si="61"/>
        <v>362.98</v>
      </c>
      <c r="N120" s="247">
        <f t="shared" si="61"/>
        <v>0</v>
      </c>
      <c r="O120" s="248">
        <v>0</v>
      </c>
      <c r="P120" s="314">
        <v>362.98</v>
      </c>
      <c r="Q120" s="250"/>
      <c r="R120" s="251"/>
      <c r="S120" s="314"/>
      <c r="T120" s="250"/>
      <c r="U120" s="324"/>
      <c r="V120" s="315"/>
      <c r="W120" s="258"/>
      <c r="X120" s="254"/>
      <c r="Y120" s="255"/>
      <c r="Z120" s="250"/>
      <c r="AA120" s="255"/>
      <c r="AB120" s="255"/>
      <c r="AC120" s="258"/>
      <c r="AD120" s="325">
        <v>0</v>
      </c>
      <c r="AE120" s="315"/>
      <c r="AF120" s="256"/>
      <c r="AG120" s="244">
        <f t="shared" si="42"/>
        <v>0</v>
      </c>
      <c r="AH120" s="244">
        <f t="shared" si="42"/>
        <v>0</v>
      </c>
      <c r="AI120" s="256">
        <f t="shared" si="42"/>
        <v>0</v>
      </c>
      <c r="AJ120" s="248"/>
      <c r="AK120" s="315"/>
      <c r="AL120" s="258"/>
      <c r="AM120" s="286"/>
      <c r="AN120" s="315"/>
      <c r="AO120" s="250"/>
      <c r="AP120" s="248"/>
      <c r="AQ120" s="315"/>
      <c r="AR120" s="250"/>
      <c r="AS120" s="248"/>
      <c r="AT120" s="315"/>
      <c r="AU120" s="256"/>
    </row>
    <row r="121" spans="1:47" x14ac:dyDescent="0.2">
      <c r="A121" s="236">
        <v>117</v>
      </c>
      <c r="B121" s="237" t="s">
        <v>1521</v>
      </c>
      <c r="C121" s="238" t="s">
        <v>7</v>
      </c>
      <c r="D121" s="239">
        <f t="shared" si="60"/>
        <v>4100</v>
      </c>
      <c r="E121" s="295">
        <f t="shared" si="60"/>
        <v>49906.98</v>
      </c>
      <c r="F121" s="241">
        <f t="shared" si="47"/>
        <v>12.172434146341464</v>
      </c>
      <c r="G121" s="297">
        <f t="shared" si="46"/>
        <v>100000</v>
      </c>
      <c r="H121" s="243"/>
      <c r="I121" s="244">
        <v>2000</v>
      </c>
      <c r="J121" s="295">
        <v>10.98</v>
      </c>
      <c r="K121" s="258"/>
      <c r="L121" s="245">
        <f t="shared" si="61"/>
        <v>0</v>
      </c>
      <c r="M121" s="248">
        <f t="shared" si="61"/>
        <v>49734.98</v>
      </c>
      <c r="N121" s="247">
        <f t="shared" si="61"/>
        <v>100000</v>
      </c>
      <c r="O121" s="248"/>
      <c r="P121" s="314">
        <v>2989</v>
      </c>
      <c r="Q121" s="250"/>
      <c r="R121" s="251"/>
      <c r="S121" s="314"/>
      <c r="T121" s="250"/>
      <c r="U121" s="324"/>
      <c r="V121" s="315"/>
      <c r="W121" s="258"/>
      <c r="X121" s="254"/>
      <c r="Y121" s="255"/>
      <c r="Z121" s="250"/>
      <c r="AA121" s="255"/>
      <c r="AB121" s="255"/>
      <c r="AC121" s="258"/>
      <c r="AD121" s="325">
        <v>0</v>
      </c>
      <c r="AE121" s="315">
        <v>46745.98</v>
      </c>
      <c r="AF121" s="256">
        <v>100000</v>
      </c>
      <c r="AG121" s="244">
        <f t="shared" si="42"/>
        <v>2100</v>
      </c>
      <c r="AH121" s="244">
        <f t="shared" si="42"/>
        <v>161.02000000000001</v>
      </c>
      <c r="AI121" s="256">
        <f t="shared" si="42"/>
        <v>0</v>
      </c>
      <c r="AJ121" s="248"/>
      <c r="AK121" s="315">
        <v>161.02000000000001</v>
      </c>
      <c r="AL121" s="258"/>
      <c r="AM121" s="286">
        <v>1000</v>
      </c>
      <c r="AN121" s="315">
        <v>0</v>
      </c>
      <c r="AO121" s="250"/>
      <c r="AP121" s="248">
        <v>1000</v>
      </c>
      <c r="AQ121" s="315">
        <v>0</v>
      </c>
      <c r="AR121" s="250"/>
      <c r="AS121" s="248">
        <v>100</v>
      </c>
      <c r="AT121" s="315">
        <v>0</v>
      </c>
      <c r="AU121" s="256"/>
    </row>
    <row r="122" spans="1:47" x14ac:dyDescent="0.2">
      <c r="A122" s="236">
        <v>118</v>
      </c>
      <c r="B122" s="237" t="s">
        <v>1522</v>
      </c>
      <c r="C122" s="238" t="s">
        <v>1523</v>
      </c>
      <c r="D122" s="239">
        <f t="shared" si="60"/>
        <v>0</v>
      </c>
      <c r="E122" s="295">
        <f>SUM(J122,M122,AH122)</f>
        <v>15370</v>
      </c>
      <c r="F122" s="241">
        <v>0</v>
      </c>
      <c r="G122" s="297">
        <f t="shared" si="46"/>
        <v>30000</v>
      </c>
      <c r="H122" s="243"/>
      <c r="I122" s="244">
        <v>0</v>
      </c>
      <c r="J122" s="295">
        <v>15370</v>
      </c>
      <c r="K122" s="258">
        <v>30000</v>
      </c>
      <c r="L122" s="245">
        <f t="shared" si="61"/>
        <v>0</v>
      </c>
      <c r="M122" s="248">
        <f t="shared" si="61"/>
        <v>0</v>
      </c>
      <c r="N122" s="247">
        <f t="shared" si="61"/>
        <v>0</v>
      </c>
      <c r="O122" s="248">
        <v>0</v>
      </c>
      <c r="P122" s="314"/>
      <c r="Q122" s="250"/>
      <c r="R122" s="251">
        <v>0</v>
      </c>
      <c r="S122" s="314">
        <v>0</v>
      </c>
      <c r="T122" s="250"/>
      <c r="U122" s="324"/>
      <c r="V122" s="315"/>
      <c r="W122" s="258"/>
      <c r="X122" s="254"/>
      <c r="Y122" s="255"/>
      <c r="Z122" s="250"/>
      <c r="AA122" s="255"/>
      <c r="AB122" s="255"/>
      <c r="AC122" s="258"/>
      <c r="AD122" s="326">
        <v>0</v>
      </c>
      <c r="AE122" s="315"/>
      <c r="AF122" s="256"/>
      <c r="AG122" s="244">
        <f t="shared" si="42"/>
        <v>0</v>
      </c>
      <c r="AH122" s="244">
        <f t="shared" si="42"/>
        <v>0</v>
      </c>
      <c r="AI122" s="256">
        <f t="shared" si="42"/>
        <v>0</v>
      </c>
      <c r="AJ122" s="248"/>
      <c r="AK122" s="315">
        <v>0</v>
      </c>
      <c r="AL122" s="258"/>
      <c r="AM122" s="286"/>
      <c r="AN122" s="315"/>
      <c r="AO122" s="250"/>
      <c r="AP122" s="248"/>
      <c r="AQ122" s="315"/>
      <c r="AR122" s="250"/>
      <c r="AS122" s="248"/>
      <c r="AT122" s="315"/>
      <c r="AU122" s="256"/>
    </row>
    <row r="123" spans="1:47" x14ac:dyDescent="0.2">
      <c r="A123" s="327"/>
      <c r="B123" s="328"/>
      <c r="C123" s="329" t="s">
        <v>1524</v>
      </c>
      <c r="D123" s="330">
        <f>SUM(D113:D122,D108,D78:D90,D51:D55,D42)</f>
        <v>64860002</v>
      </c>
      <c r="E123" s="330">
        <f>SUM(E113:E122,E108,E78:E90,E51:E55,E42)</f>
        <v>28878026.870000001</v>
      </c>
      <c r="F123" s="331">
        <f t="shared" si="47"/>
        <v>0.44523629323970726</v>
      </c>
      <c r="G123" s="332">
        <f>SUM(G113:G122,G108,G78:G90,G51:G55,G42)</f>
        <v>84447873.425999999</v>
      </c>
      <c r="H123" s="243"/>
      <c r="I123" s="330">
        <f t="shared" ref="I123:Z123" si="62">SUM(I113:I122,I108,I78:I90,I51:I55,I42)</f>
        <v>3667039</v>
      </c>
      <c r="J123" s="330">
        <f t="shared" si="62"/>
        <v>1670574.03</v>
      </c>
      <c r="K123" s="333">
        <f t="shared" si="62"/>
        <v>4324927.0788000003</v>
      </c>
      <c r="L123" s="334">
        <f t="shared" si="62"/>
        <v>23313662</v>
      </c>
      <c r="M123" s="330">
        <f t="shared" si="62"/>
        <v>10281262.559999999</v>
      </c>
      <c r="N123" s="335">
        <f>SUM(N113:N122,N108,N78:N90,N51:N55,N42)</f>
        <v>36622281.059200004</v>
      </c>
      <c r="O123" s="336">
        <f t="shared" si="62"/>
        <v>2774404</v>
      </c>
      <c r="P123" s="330">
        <f t="shared" si="62"/>
        <v>767660.95</v>
      </c>
      <c r="Q123" s="337">
        <f t="shared" si="62"/>
        <v>2935481.3604000001</v>
      </c>
      <c r="R123" s="336">
        <f t="shared" si="62"/>
        <v>6993788</v>
      </c>
      <c r="S123" s="330">
        <f t="shared" si="62"/>
        <v>2713871.14</v>
      </c>
      <c r="T123" s="332">
        <f t="shared" si="62"/>
        <v>9911088.6127999984</v>
      </c>
      <c r="U123" s="336">
        <f t="shared" si="62"/>
        <v>638714</v>
      </c>
      <c r="V123" s="336">
        <f t="shared" si="62"/>
        <v>233865.52</v>
      </c>
      <c r="W123" s="338">
        <f t="shared" si="62"/>
        <v>682216.09479999996</v>
      </c>
      <c r="X123" s="339">
        <f t="shared" si="62"/>
        <v>0</v>
      </c>
      <c r="Y123" s="336">
        <f t="shared" si="62"/>
        <v>0</v>
      </c>
      <c r="Z123" s="340">
        <f t="shared" si="62"/>
        <v>2368118</v>
      </c>
      <c r="AA123" s="336">
        <f>SUM(AA113:AA122,AA108,AA78:AA90,AA51:AA55,AA42)</f>
        <v>0</v>
      </c>
      <c r="AB123" s="336">
        <f t="shared" ref="AB123:AK123" si="63">SUM(AB113:AB122,AB108,AB78:AB90,AB51:AB55,AB42)</f>
        <v>0</v>
      </c>
      <c r="AC123" s="338">
        <f t="shared" si="63"/>
        <v>2909736</v>
      </c>
      <c r="AD123" s="339">
        <f t="shared" si="63"/>
        <v>12906756</v>
      </c>
      <c r="AE123" s="336">
        <f t="shared" si="63"/>
        <v>6565864.9499999993</v>
      </c>
      <c r="AF123" s="338">
        <f t="shared" si="63"/>
        <v>17858640.9912</v>
      </c>
      <c r="AG123" s="334">
        <f t="shared" si="63"/>
        <v>37879301</v>
      </c>
      <c r="AH123" s="330">
        <f t="shared" si="63"/>
        <v>16926190.280000001</v>
      </c>
      <c r="AI123" s="335">
        <f t="shared" si="63"/>
        <v>43500665.288000003</v>
      </c>
      <c r="AJ123" s="336">
        <f t="shared" si="63"/>
        <v>0</v>
      </c>
      <c r="AK123" s="336">
        <f t="shared" si="63"/>
        <v>757220.47</v>
      </c>
      <c r="AL123" s="333">
        <f>SUM(AL113:AL122,AL108,AL78:AL90,AL51:AL55,AL42)</f>
        <v>2108377.7067999998</v>
      </c>
      <c r="AM123" s="339">
        <f t="shared" ref="AM123:AU123" si="64">SUM(AM113:AM122,AM108,AM78:AM90,AM51:AM55,AM42)</f>
        <v>15345080</v>
      </c>
      <c r="AN123" s="336">
        <f t="shared" si="64"/>
        <v>6913391.8599999994</v>
      </c>
      <c r="AO123" s="340">
        <f t="shared" si="64"/>
        <v>19451987.215599999</v>
      </c>
      <c r="AP123" s="336">
        <f t="shared" si="64"/>
        <v>12378121</v>
      </c>
      <c r="AQ123" s="336">
        <f t="shared" si="64"/>
        <v>4651499.370000001</v>
      </c>
      <c r="AR123" s="337">
        <f t="shared" si="64"/>
        <v>11610530.124399999</v>
      </c>
      <c r="AS123" s="336">
        <f t="shared" si="64"/>
        <v>10156100</v>
      </c>
      <c r="AT123" s="336">
        <f t="shared" si="64"/>
        <v>4604078.5799999991</v>
      </c>
      <c r="AU123" s="335">
        <f t="shared" si="64"/>
        <v>10354770.2412</v>
      </c>
    </row>
    <row r="124" spans="1:47" x14ac:dyDescent="0.2">
      <c r="A124" s="341"/>
      <c r="B124" s="342"/>
      <c r="C124" s="343"/>
      <c r="D124" s="344"/>
      <c r="E124" s="344" t="s">
        <v>1525</v>
      </c>
      <c r="F124" s="345"/>
      <c r="G124" s="346" t="s">
        <v>1525</v>
      </c>
      <c r="H124" s="347"/>
      <c r="I124" s="348"/>
      <c r="J124" s="348" t="s">
        <v>414</v>
      </c>
      <c r="K124" s="349"/>
      <c r="L124" s="350"/>
      <c r="M124" s="351" t="s">
        <v>1526</v>
      </c>
      <c r="N124" s="352"/>
      <c r="O124" s="353"/>
      <c r="P124" s="228" t="s">
        <v>441</v>
      </c>
      <c r="Q124" s="354"/>
      <c r="R124" s="355"/>
      <c r="S124" s="356" t="s">
        <v>190</v>
      </c>
      <c r="T124" s="357"/>
      <c r="U124" s="358"/>
      <c r="V124" s="359" t="s">
        <v>175</v>
      </c>
      <c r="W124" s="360"/>
      <c r="X124" s="361"/>
      <c r="Y124" s="362" t="s">
        <v>560</v>
      </c>
      <c r="Z124" s="363"/>
      <c r="AA124" s="364"/>
      <c r="AB124" s="364" t="s">
        <v>440</v>
      </c>
      <c r="AC124" s="365"/>
      <c r="AD124" s="366"/>
      <c r="AE124" s="367" t="s">
        <v>1527</v>
      </c>
      <c r="AF124" s="368"/>
      <c r="AG124" s="369"/>
      <c r="AH124" s="370" t="s">
        <v>1528</v>
      </c>
      <c r="AI124" s="371"/>
      <c r="AJ124" s="372"/>
      <c r="AK124" s="373" t="s">
        <v>1529</v>
      </c>
      <c r="AL124" s="374"/>
      <c r="AM124" s="375"/>
      <c r="AN124" s="376" t="s">
        <v>1530</v>
      </c>
      <c r="AO124" s="377"/>
      <c r="AP124" s="378"/>
      <c r="AQ124" s="378" t="s">
        <v>1531</v>
      </c>
      <c r="AR124" s="379"/>
      <c r="AS124" s="380"/>
      <c r="AT124" s="380" t="s">
        <v>1532</v>
      </c>
      <c r="AU124" s="381"/>
    </row>
    <row r="125" spans="1:47" x14ac:dyDescent="0.2">
      <c r="A125" s="382">
        <v>121</v>
      </c>
      <c r="B125" s="383" t="s">
        <v>1533</v>
      </c>
      <c r="C125" s="384" t="s">
        <v>1534</v>
      </c>
      <c r="D125" s="385">
        <v>0</v>
      </c>
      <c r="E125" s="385">
        <f>E123</f>
        <v>28878026.870000001</v>
      </c>
      <c r="F125" s="386"/>
      <c r="G125" s="387">
        <f>G123</f>
        <v>84447873.425999999</v>
      </c>
      <c r="H125" s="243"/>
      <c r="I125" s="388"/>
      <c r="J125" s="385">
        <f>J123</f>
        <v>1670574.03</v>
      </c>
      <c r="K125" s="389">
        <f>K123</f>
        <v>4324927.0788000003</v>
      </c>
      <c r="L125" s="390">
        <v>0</v>
      </c>
      <c r="M125" s="385">
        <f>M123</f>
        <v>10281262.559999999</v>
      </c>
      <c r="N125" s="391">
        <f>N123</f>
        <v>36622281.059200004</v>
      </c>
      <c r="O125" s="392">
        <v>0</v>
      </c>
      <c r="P125" s="385">
        <f>P123</f>
        <v>767660.95</v>
      </c>
      <c r="Q125" s="393">
        <f>Q123</f>
        <v>2935481.3604000001</v>
      </c>
      <c r="R125" s="394">
        <v>0</v>
      </c>
      <c r="S125" s="385">
        <f>S123</f>
        <v>2713871.14</v>
      </c>
      <c r="T125" s="387">
        <f>T123</f>
        <v>9911088.6127999984</v>
      </c>
      <c r="U125" s="395"/>
      <c r="V125" s="396">
        <f>V123</f>
        <v>233865.52</v>
      </c>
      <c r="W125" s="397">
        <f>W123</f>
        <v>682216.09479999996</v>
      </c>
      <c r="X125" s="395"/>
      <c r="Y125" s="396">
        <f>Y123</f>
        <v>0</v>
      </c>
      <c r="Z125" s="397">
        <f>Z123</f>
        <v>2368118</v>
      </c>
      <c r="AA125" s="395"/>
      <c r="AB125" s="396">
        <f>AB123</f>
        <v>0</v>
      </c>
      <c r="AC125" s="398">
        <f>AC123</f>
        <v>2909736</v>
      </c>
      <c r="AD125" s="399"/>
      <c r="AE125" s="396">
        <f>AE123</f>
        <v>6565864.9499999993</v>
      </c>
      <c r="AF125" s="398">
        <f>AF123</f>
        <v>17858640.9912</v>
      </c>
      <c r="AG125" s="390">
        <v>0</v>
      </c>
      <c r="AH125" s="388">
        <f>AH123</f>
        <v>16926190.280000001</v>
      </c>
      <c r="AI125" s="400">
        <f>AI123</f>
        <v>43500665.288000003</v>
      </c>
      <c r="AJ125" s="396"/>
      <c r="AK125" s="396">
        <f>AK123</f>
        <v>757220.47</v>
      </c>
      <c r="AL125" s="393">
        <f>AL123</f>
        <v>2108377.7067999998</v>
      </c>
      <c r="AM125" s="392"/>
      <c r="AN125" s="396">
        <f>AN123</f>
        <v>6913391.8599999994</v>
      </c>
      <c r="AO125" s="393">
        <f>AO123</f>
        <v>19451987.215599999</v>
      </c>
      <c r="AP125" s="392"/>
      <c r="AQ125" s="396">
        <f>AQ123</f>
        <v>4651499.370000001</v>
      </c>
      <c r="AR125" s="393">
        <f>AR123</f>
        <v>11610530.124399999</v>
      </c>
      <c r="AS125" s="392"/>
      <c r="AT125" s="396">
        <f>AT123</f>
        <v>4604078.5799999991</v>
      </c>
      <c r="AU125" s="391">
        <f>AU123</f>
        <v>10354770.2412</v>
      </c>
    </row>
    <row r="126" spans="1:47" x14ac:dyDescent="0.2">
      <c r="A126" s="401">
        <v>122</v>
      </c>
      <c r="B126" s="402" t="s">
        <v>1535</v>
      </c>
      <c r="C126" s="403" t="s">
        <v>1536</v>
      </c>
      <c r="D126" s="404">
        <v>0</v>
      </c>
      <c r="E126" s="404">
        <f>E34</f>
        <v>30281377.150000002</v>
      </c>
      <c r="F126" s="405"/>
      <c r="G126" s="406">
        <f>G34</f>
        <v>84447873.419999987</v>
      </c>
      <c r="H126" s="407"/>
      <c r="I126" s="408"/>
      <c r="J126" s="404">
        <f>J34</f>
        <v>2059243.63</v>
      </c>
      <c r="K126" s="409">
        <f>K34</f>
        <v>4324927.08</v>
      </c>
      <c r="L126" s="410">
        <v>0</v>
      </c>
      <c r="M126" s="404">
        <f t="shared" ref="M126:Q126" si="65">M34</f>
        <v>10590966.060000001</v>
      </c>
      <c r="N126" s="411">
        <f>N34</f>
        <v>36610946.339999996</v>
      </c>
      <c r="O126" s="412">
        <v>0</v>
      </c>
      <c r="P126" s="404">
        <f t="shared" si="65"/>
        <v>729340.9</v>
      </c>
      <c r="Q126" s="413">
        <f t="shared" si="65"/>
        <v>2935481.36</v>
      </c>
      <c r="R126" s="414">
        <v>0</v>
      </c>
      <c r="S126" s="404">
        <f>S34</f>
        <v>3841492.38</v>
      </c>
      <c r="T126" s="406">
        <f>T34</f>
        <v>10493040</v>
      </c>
      <c r="U126" s="415"/>
      <c r="V126" s="416">
        <f>V34</f>
        <v>285000</v>
      </c>
      <c r="W126" s="417">
        <f>W34</f>
        <v>100264.7</v>
      </c>
      <c r="X126" s="415"/>
      <c r="Y126" s="416">
        <f>Y34</f>
        <v>0</v>
      </c>
      <c r="Z126" s="417">
        <f>Z34</f>
        <v>2368118</v>
      </c>
      <c r="AA126" s="415"/>
      <c r="AB126" s="416">
        <f>AB34</f>
        <v>0</v>
      </c>
      <c r="AC126" s="418">
        <f>AC34</f>
        <v>2866736</v>
      </c>
      <c r="AD126" s="419"/>
      <c r="AE126" s="416">
        <f>AE34</f>
        <v>5735132.7800000003</v>
      </c>
      <c r="AF126" s="418">
        <f>AF34</f>
        <v>17847306.280000001</v>
      </c>
      <c r="AG126" s="410">
        <v>0</v>
      </c>
      <c r="AH126" s="408">
        <f>AH34</f>
        <v>17631167.460000001</v>
      </c>
      <c r="AI126" s="420">
        <f>AI34</f>
        <v>43512000</v>
      </c>
      <c r="AJ126" s="416"/>
      <c r="AK126" s="416">
        <f>AK34</f>
        <v>467.75</v>
      </c>
      <c r="AL126" s="413">
        <f>AL34</f>
        <v>0</v>
      </c>
      <c r="AM126" s="412"/>
      <c r="AN126" s="416">
        <f t="shared" ref="AN126:AO126" si="66">AN34</f>
        <v>6064911.6299999999</v>
      </c>
      <c r="AO126" s="413">
        <f t="shared" si="66"/>
        <v>17862000</v>
      </c>
      <c r="AP126" s="412"/>
      <c r="AQ126" s="416">
        <f>AQ34</f>
        <v>5706723.5899999999</v>
      </c>
      <c r="AR126" s="413">
        <f>AR34</f>
        <v>13650000</v>
      </c>
      <c r="AS126" s="392"/>
      <c r="AT126" s="416">
        <f t="shared" ref="AT126" si="67">AT34</f>
        <v>5859064.4900000002</v>
      </c>
      <c r="AU126" s="411">
        <f>AU34</f>
        <v>12000000</v>
      </c>
    </row>
    <row r="127" spans="1:47" ht="13.5" thickBot="1" x14ac:dyDescent="0.25">
      <c r="A127" s="421">
        <v>123</v>
      </c>
      <c r="B127" s="422" t="s">
        <v>1537</v>
      </c>
      <c r="C127" s="423" t="s">
        <v>1538</v>
      </c>
      <c r="D127" s="424">
        <v>0</v>
      </c>
      <c r="E127" s="425">
        <f>E126-E125</f>
        <v>1403350.2800000012</v>
      </c>
      <c r="F127" s="426"/>
      <c r="G127" s="427">
        <f>G126-G125</f>
        <v>-6.0000121593475342E-3</v>
      </c>
      <c r="H127" s="428"/>
      <c r="I127" s="429"/>
      <c r="J127" s="425">
        <f>J126-J125</f>
        <v>388669.59999999986</v>
      </c>
      <c r="K127" s="430">
        <f>K126-K125</f>
        <v>1.1999998241662979E-3</v>
      </c>
      <c r="L127" s="431">
        <v>0</v>
      </c>
      <c r="M127" s="425">
        <f>M126-M125</f>
        <v>309703.50000000186</v>
      </c>
      <c r="N127" s="432">
        <f>N126-N125</f>
        <v>-11334.719200007617</v>
      </c>
      <c r="O127" s="433">
        <v>0</v>
      </c>
      <c r="P127" s="425">
        <f>P126-P125</f>
        <v>-38320.04999999993</v>
      </c>
      <c r="Q127" s="434">
        <f>Q126-Q125</f>
        <v>-4.0000025182962418E-4</v>
      </c>
      <c r="R127" s="433">
        <v>0</v>
      </c>
      <c r="S127" s="425">
        <f>S126-S125</f>
        <v>1127621.2399999998</v>
      </c>
      <c r="T127" s="434">
        <f>T126-T125</f>
        <v>581951.38720000163</v>
      </c>
      <c r="U127" s="435"/>
      <c r="V127" s="425">
        <f>V126-V125</f>
        <v>51134.48000000001</v>
      </c>
      <c r="W127" s="434">
        <f>W126-W125</f>
        <v>-581951.39480000001</v>
      </c>
      <c r="X127" s="435"/>
      <c r="Y127" s="425">
        <f>Y126-Y125</f>
        <v>0</v>
      </c>
      <c r="Z127" s="436">
        <f>Z126-Z125</f>
        <v>0</v>
      </c>
      <c r="AA127" s="435"/>
      <c r="AB127" s="425">
        <f>AB126-AB125</f>
        <v>0</v>
      </c>
      <c r="AC127" s="430">
        <f>AC126-AC125</f>
        <v>-43000</v>
      </c>
      <c r="AD127" s="437"/>
      <c r="AE127" s="438">
        <f>AE126-AE125</f>
        <v>-830732.16999999899</v>
      </c>
      <c r="AF127" s="439">
        <f>AF126-AF125</f>
        <v>-11334.711199998856</v>
      </c>
      <c r="AG127" s="431">
        <v>0</v>
      </c>
      <c r="AH127" s="429">
        <f>AH126-AH125</f>
        <v>704977.1799999997</v>
      </c>
      <c r="AI127" s="440">
        <f>AI126-AI125</f>
        <v>11334.711999997497</v>
      </c>
      <c r="AJ127" s="435"/>
      <c r="AK127" s="424">
        <f>AK126-AK125</f>
        <v>-756752.72</v>
      </c>
      <c r="AL127" s="441">
        <f>AL126-AL125</f>
        <v>-2108377.7067999998</v>
      </c>
      <c r="AM127" s="433"/>
      <c r="AN127" s="424">
        <f>AN126-AN125</f>
        <v>-848480.22999999952</v>
      </c>
      <c r="AO127" s="441">
        <f>AO126-AO125</f>
        <v>-1589987.2155999988</v>
      </c>
      <c r="AP127" s="433"/>
      <c r="AQ127" s="424">
        <f>AQ126-AQ125</f>
        <v>1055224.2199999988</v>
      </c>
      <c r="AR127" s="441">
        <f>AR126-AR125</f>
        <v>2039469.8756000008</v>
      </c>
      <c r="AS127" s="433"/>
      <c r="AT127" s="435">
        <f>AT126-AT125</f>
        <v>1254985.9100000011</v>
      </c>
      <c r="AU127" s="442">
        <f>AU126-AU125</f>
        <v>1645229.7588</v>
      </c>
    </row>
    <row r="128" spans="1:47" ht="13.5" thickTop="1" x14ac:dyDescent="0.2"/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17"/>
  <sheetViews>
    <sheetView topLeftCell="A89" workbookViewId="0">
      <selection activeCell="K119" sqref="K119"/>
    </sheetView>
  </sheetViews>
  <sheetFormatPr defaultColWidth="8.7109375" defaultRowHeight="12" x14ac:dyDescent="0.2"/>
  <cols>
    <col min="1" max="1" width="21.140625" style="1912" bestFit="1" customWidth="1"/>
    <col min="2" max="2" width="12.28515625" style="1912" customWidth="1"/>
    <col min="3" max="3" width="8.7109375" style="1912"/>
    <col min="4" max="4" width="11.28515625" style="1912" bestFit="1" customWidth="1"/>
    <col min="5" max="5" width="11.140625" style="1912" bestFit="1" customWidth="1"/>
    <col min="6" max="6" width="11.28515625" style="1912" bestFit="1" customWidth="1"/>
    <col min="7" max="7" width="7.28515625" style="1912" bestFit="1" customWidth="1"/>
    <col min="8" max="9" width="6.42578125" style="1912" bestFit="1" customWidth="1"/>
    <col min="10" max="10" width="7.140625" style="1912" bestFit="1" customWidth="1"/>
    <col min="11" max="13" width="6.42578125" style="1912" bestFit="1" customWidth="1"/>
    <col min="14" max="14" width="6.5703125" style="1912" bestFit="1" customWidth="1"/>
    <col min="15" max="15" width="9" style="1912" customWidth="1"/>
    <col min="16" max="16" width="11.7109375" style="1912" bestFit="1" customWidth="1"/>
    <col min="17" max="17" width="10" style="1913" bestFit="1" customWidth="1"/>
    <col min="18" max="18" width="10" style="1912" bestFit="1" customWidth="1"/>
    <col min="19" max="19" width="9.85546875" style="1912" customWidth="1"/>
    <col min="20" max="28" width="8.7109375" style="1912"/>
    <col min="29" max="29" width="11.28515625" style="1912" customWidth="1"/>
    <col min="30" max="30" width="16.7109375" style="1912" customWidth="1"/>
    <col min="31" max="16384" width="8.7109375" style="1912"/>
  </cols>
  <sheetData>
    <row r="1" spans="1:29" ht="12.75" thickBot="1" x14ac:dyDescent="0.25"/>
    <row r="2" spans="1:29" ht="12.75" thickBot="1" x14ac:dyDescent="0.25">
      <c r="D2" s="1914" t="s">
        <v>1814</v>
      </c>
      <c r="E2" s="1914" t="s">
        <v>1815</v>
      </c>
      <c r="F2" s="1914" t="s">
        <v>1816</v>
      </c>
      <c r="G2" s="1914" t="s">
        <v>1817</v>
      </c>
      <c r="H2" s="1914" t="s">
        <v>1818</v>
      </c>
      <c r="I2" s="1914" t="s">
        <v>1819</v>
      </c>
      <c r="J2" s="1914" t="s">
        <v>1820</v>
      </c>
      <c r="K2" s="1914" t="s">
        <v>1821</v>
      </c>
      <c r="L2" s="1914" t="s">
        <v>1822</v>
      </c>
      <c r="M2" s="1914" t="s">
        <v>1823</v>
      </c>
      <c r="N2" s="1914" t="s">
        <v>1824</v>
      </c>
      <c r="O2" s="1915" t="s">
        <v>1825</v>
      </c>
      <c r="P2" s="1916" t="s">
        <v>712</v>
      </c>
      <c r="Q2" s="1913" t="s">
        <v>723</v>
      </c>
      <c r="R2" s="1912" t="s">
        <v>724</v>
      </c>
      <c r="S2" s="1912" t="s">
        <v>725</v>
      </c>
      <c r="T2" s="1912" t="s">
        <v>726</v>
      </c>
      <c r="U2" s="1912" t="s">
        <v>727</v>
      </c>
      <c r="V2" s="1912" t="s">
        <v>222</v>
      </c>
      <c r="W2" s="1912" t="s">
        <v>223</v>
      </c>
      <c r="X2" s="1912" t="s">
        <v>728</v>
      </c>
      <c r="Y2" s="1912" t="s">
        <v>729</v>
      </c>
      <c r="Z2" s="1912" t="s">
        <v>730</v>
      </c>
      <c r="AA2" s="1912" t="s">
        <v>731</v>
      </c>
      <c r="AB2" s="1912" t="s">
        <v>732</v>
      </c>
      <c r="AC2" s="1912" t="s">
        <v>1269</v>
      </c>
    </row>
    <row r="3" spans="1:29" x14ac:dyDescent="0.2">
      <c r="A3" s="2301" t="s">
        <v>1826</v>
      </c>
      <c r="B3" s="2303" t="s">
        <v>1827</v>
      </c>
      <c r="C3" s="1917" t="s">
        <v>1828</v>
      </c>
      <c r="D3" s="1918">
        <v>6407717</v>
      </c>
      <c r="E3" s="1918">
        <v>6453103</v>
      </c>
      <c r="F3" s="1918">
        <v>6518846</v>
      </c>
      <c r="G3" s="1918"/>
      <c r="H3" s="1918"/>
      <c r="I3" s="1918"/>
      <c r="J3" s="1918"/>
      <c r="K3" s="1918"/>
      <c r="L3" s="1918"/>
      <c r="M3" s="1918"/>
      <c r="N3" s="1918"/>
      <c r="O3" s="1919"/>
      <c r="P3" s="1920"/>
    </row>
    <row r="4" spans="1:29" x14ac:dyDescent="0.2">
      <c r="A4" s="2302"/>
      <c r="B4" s="2304"/>
      <c r="C4" s="1921" t="s">
        <v>1829</v>
      </c>
      <c r="D4" s="1922">
        <v>6453103</v>
      </c>
      <c r="E4" s="1922">
        <v>6518846</v>
      </c>
      <c r="F4" s="1922">
        <v>6586132</v>
      </c>
      <c r="G4" s="1922"/>
      <c r="H4" s="1922"/>
      <c r="I4" s="1922"/>
      <c r="J4" s="1922"/>
      <c r="K4" s="1922"/>
      <c r="L4" s="1922"/>
      <c r="M4" s="1922"/>
      <c r="N4" s="1922"/>
      <c r="O4" s="1923"/>
      <c r="P4" s="1924"/>
    </row>
    <row r="5" spans="1:29" x14ac:dyDescent="0.2">
      <c r="A5" s="2302"/>
      <c r="B5" s="2304"/>
      <c r="C5" s="1921" t="s">
        <v>1830</v>
      </c>
      <c r="D5" s="1922">
        <f>D4-D3</f>
        <v>45386</v>
      </c>
      <c r="E5" s="1922">
        <f t="shared" ref="E5" si="0">E4-E3</f>
        <v>65743</v>
      </c>
      <c r="F5" s="1922">
        <f>F4-F3</f>
        <v>67286</v>
      </c>
      <c r="G5" s="1922">
        <f>G4-G3</f>
        <v>0</v>
      </c>
      <c r="H5" s="1922">
        <f>H4-H3</f>
        <v>0</v>
      </c>
      <c r="I5" s="1922">
        <f>SUM(I4-I3)</f>
        <v>0</v>
      </c>
      <c r="J5" s="1922">
        <f>SUM(J4-J3)</f>
        <v>0</v>
      </c>
      <c r="K5" s="1922">
        <f>SUM(K4-K3)</f>
        <v>0</v>
      </c>
      <c r="L5" s="1922">
        <v>0</v>
      </c>
      <c r="M5" s="1922">
        <f>SUM(M4-M3)</f>
        <v>0</v>
      </c>
      <c r="N5" s="1922">
        <f>SUM(N4-N3)</f>
        <v>0</v>
      </c>
      <c r="O5" s="1925">
        <v>0</v>
      </c>
      <c r="P5" s="1926">
        <f>SUM(D5:O5)</f>
        <v>178415</v>
      </c>
      <c r="Q5" s="1913">
        <v>52110</v>
      </c>
    </row>
    <row r="6" spans="1:29" x14ac:dyDescent="0.2">
      <c r="A6" s="2302"/>
      <c r="B6" s="2304"/>
      <c r="C6" s="1921" t="s">
        <v>1831</v>
      </c>
      <c r="D6" s="1927">
        <v>12.65</v>
      </c>
      <c r="E6" s="1927">
        <v>12.65</v>
      </c>
      <c r="F6" s="1927">
        <v>12.65</v>
      </c>
      <c r="G6" s="1927">
        <v>12.65</v>
      </c>
      <c r="H6" s="1927">
        <v>13</v>
      </c>
      <c r="I6" s="1927">
        <v>13</v>
      </c>
      <c r="J6" s="1927">
        <v>13</v>
      </c>
      <c r="K6" s="1927">
        <v>13</v>
      </c>
      <c r="L6" s="1927">
        <v>13</v>
      </c>
      <c r="M6" s="1927">
        <v>13</v>
      </c>
      <c r="N6" s="1927">
        <v>13</v>
      </c>
      <c r="O6" s="1928">
        <v>13</v>
      </c>
      <c r="P6" s="1924"/>
    </row>
    <row r="7" spans="1:29" ht="12.75" thickBot="1" x14ac:dyDescent="0.25">
      <c r="A7" s="2302"/>
      <c r="B7" s="2305"/>
      <c r="C7" s="1929" t="s">
        <v>1832</v>
      </c>
      <c r="D7" s="1930">
        <f>D5*D6</f>
        <v>574132.9</v>
      </c>
      <c r="E7" s="1930">
        <f t="shared" ref="E7:O7" si="1">E5*E6</f>
        <v>831648.95000000007</v>
      </c>
      <c r="F7" s="1930">
        <f>F5*F6</f>
        <v>851167.9</v>
      </c>
      <c r="G7" s="1930">
        <f t="shared" si="1"/>
        <v>0</v>
      </c>
      <c r="H7" s="1930">
        <f>H5*H6</f>
        <v>0</v>
      </c>
      <c r="I7" s="1930">
        <f>SUM(I6*I5)</f>
        <v>0</v>
      </c>
      <c r="J7" s="1930">
        <f t="shared" si="1"/>
        <v>0</v>
      </c>
      <c r="K7" s="1930">
        <f>K5*K6</f>
        <v>0</v>
      </c>
      <c r="L7" s="1930">
        <f t="shared" si="1"/>
        <v>0</v>
      </c>
      <c r="M7" s="1930">
        <f t="shared" si="1"/>
        <v>0</v>
      </c>
      <c r="N7" s="1930">
        <f t="shared" si="1"/>
        <v>0</v>
      </c>
      <c r="O7" s="1931">
        <f t="shared" si="1"/>
        <v>0</v>
      </c>
      <c r="P7" s="1932"/>
    </row>
    <row r="8" spans="1:29" x14ac:dyDescent="0.2">
      <c r="A8" s="2267" t="s">
        <v>1833</v>
      </c>
      <c r="B8" s="2306" t="s">
        <v>1694</v>
      </c>
      <c r="C8" s="1933" t="s">
        <v>1828</v>
      </c>
      <c r="D8" s="1934">
        <v>253887</v>
      </c>
      <c r="E8" s="1934">
        <v>256472</v>
      </c>
      <c r="F8" s="1934">
        <v>258747</v>
      </c>
      <c r="G8" s="1934">
        <f>F9</f>
        <v>261590</v>
      </c>
      <c r="H8" s="1934">
        <f t="shared" ref="H8:O8" si="2">G9</f>
        <v>0</v>
      </c>
      <c r="I8" s="1934">
        <f t="shared" si="2"/>
        <v>0</v>
      </c>
      <c r="J8" s="1934">
        <f t="shared" si="2"/>
        <v>0</v>
      </c>
      <c r="K8" s="1934">
        <f t="shared" si="2"/>
        <v>0</v>
      </c>
      <c r="L8" s="1934">
        <f t="shared" si="2"/>
        <v>0</v>
      </c>
      <c r="M8" s="1934">
        <f t="shared" si="2"/>
        <v>0</v>
      </c>
      <c r="N8" s="1934">
        <f t="shared" si="2"/>
        <v>0</v>
      </c>
      <c r="O8" s="1934">
        <f t="shared" si="2"/>
        <v>0</v>
      </c>
      <c r="P8" s="1935"/>
      <c r="AC8" s="2309">
        <f>SUM(P15,P10)</f>
        <v>195272</v>
      </c>
    </row>
    <row r="9" spans="1:29" x14ac:dyDescent="0.2">
      <c r="A9" s="2268"/>
      <c r="B9" s="2307"/>
      <c r="C9" s="1936" t="s">
        <v>1829</v>
      </c>
      <c r="D9" s="1937">
        <v>256472</v>
      </c>
      <c r="E9" s="1937">
        <v>258747</v>
      </c>
      <c r="F9" s="1937">
        <v>261590</v>
      </c>
      <c r="G9" s="1937"/>
      <c r="H9" s="1937"/>
      <c r="I9" s="1937"/>
      <c r="J9" s="1937"/>
      <c r="K9" s="1937"/>
      <c r="L9" s="1937"/>
      <c r="M9" s="1937"/>
      <c r="N9" s="1937"/>
      <c r="O9" s="1938"/>
      <c r="P9" s="1926"/>
      <c r="AC9" s="2310"/>
    </row>
    <row r="10" spans="1:29" x14ac:dyDescent="0.2">
      <c r="A10" s="2268"/>
      <c r="B10" s="2307"/>
      <c r="C10" s="1936" t="s">
        <v>1830</v>
      </c>
      <c r="D10" s="1937">
        <f>D9-D8</f>
        <v>2585</v>
      </c>
      <c r="E10" s="1937">
        <f t="shared" ref="E10:O10" si="3">E9-E8</f>
        <v>2275</v>
      </c>
      <c r="F10" s="1937">
        <f>F9-F8</f>
        <v>2843</v>
      </c>
      <c r="G10" s="1937">
        <v>0</v>
      </c>
      <c r="H10" s="1937">
        <f t="shared" si="3"/>
        <v>0</v>
      </c>
      <c r="I10" s="1937">
        <f>I9-I8</f>
        <v>0</v>
      </c>
      <c r="J10" s="1937">
        <f t="shared" si="3"/>
        <v>0</v>
      </c>
      <c r="K10" s="1937">
        <f t="shared" si="3"/>
        <v>0</v>
      </c>
      <c r="L10" s="1937">
        <f t="shared" si="3"/>
        <v>0</v>
      </c>
      <c r="M10" s="1937">
        <f t="shared" si="3"/>
        <v>0</v>
      </c>
      <c r="N10" s="1937">
        <f t="shared" si="3"/>
        <v>0</v>
      </c>
      <c r="O10" s="1938">
        <f t="shared" si="3"/>
        <v>0</v>
      </c>
      <c r="P10" s="1939">
        <f>SUM(D10:O10)</f>
        <v>7703</v>
      </c>
      <c r="AC10" s="2310"/>
    </row>
    <row r="11" spans="1:29" x14ac:dyDescent="0.2">
      <c r="A11" s="2268"/>
      <c r="B11" s="2307"/>
      <c r="C11" s="1936" t="s">
        <v>1831</v>
      </c>
      <c r="D11" s="1940">
        <v>12.65</v>
      </c>
      <c r="E11" s="1940">
        <v>12.65</v>
      </c>
      <c r="F11" s="1940">
        <v>12.65</v>
      </c>
      <c r="G11" s="1940">
        <v>12.65</v>
      </c>
      <c r="H11" s="1940">
        <v>13</v>
      </c>
      <c r="I11" s="1940">
        <v>13</v>
      </c>
      <c r="J11" s="1940">
        <v>13</v>
      </c>
      <c r="K11" s="1940">
        <v>13</v>
      </c>
      <c r="L11" s="1940">
        <v>13</v>
      </c>
      <c r="M11" s="1940">
        <v>13</v>
      </c>
      <c r="N11" s="1940">
        <v>13</v>
      </c>
      <c r="O11" s="1941">
        <v>13</v>
      </c>
      <c r="P11" s="1926"/>
      <c r="AC11" s="2310"/>
    </row>
    <row r="12" spans="1:29" ht="12.75" thickBot="1" x14ac:dyDescent="0.25">
      <c r="A12" s="2268"/>
      <c r="B12" s="2308"/>
      <c r="C12" s="1942" t="s">
        <v>1832</v>
      </c>
      <c r="D12" s="1943">
        <f>D10*D11</f>
        <v>32700.25</v>
      </c>
      <c r="E12" s="1943">
        <f t="shared" ref="E12:O12" si="4">E10*E11</f>
        <v>28778.75</v>
      </c>
      <c r="F12" s="1943">
        <f t="shared" si="4"/>
        <v>35963.950000000004</v>
      </c>
      <c r="G12" s="1943">
        <f t="shared" si="4"/>
        <v>0</v>
      </c>
      <c r="H12" s="1943">
        <f t="shared" si="4"/>
        <v>0</v>
      </c>
      <c r="I12" s="1943">
        <f t="shared" si="4"/>
        <v>0</v>
      </c>
      <c r="J12" s="1943">
        <f>J10*J11</f>
        <v>0</v>
      </c>
      <c r="K12" s="1943">
        <f t="shared" si="4"/>
        <v>0</v>
      </c>
      <c r="L12" s="1943">
        <f t="shared" si="4"/>
        <v>0</v>
      </c>
      <c r="M12" s="1943">
        <f t="shared" si="4"/>
        <v>0</v>
      </c>
      <c r="N12" s="1943">
        <f t="shared" si="4"/>
        <v>0</v>
      </c>
      <c r="O12" s="1944">
        <f t="shared" si="4"/>
        <v>0</v>
      </c>
      <c r="P12" s="1945"/>
      <c r="AC12" s="2310"/>
    </row>
    <row r="13" spans="1:29" x14ac:dyDescent="0.2">
      <c r="A13" s="2268"/>
      <c r="B13" s="2312" t="s">
        <v>1834</v>
      </c>
      <c r="C13" s="1946" t="s">
        <v>1828</v>
      </c>
      <c r="D13" s="1937">
        <v>6182520</v>
      </c>
      <c r="E13" s="1947">
        <v>6246547</v>
      </c>
      <c r="F13" s="1947">
        <v>6304124</v>
      </c>
      <c r="G13" s="1947">
        <f>F14</f>
        <v>6370089</v>
      </c>
      <c r="H13" s="1947">
        <f t="shared" ref="H13:O13" si="5">G14</f>
        <v>0</v>
      </c>
      <c r="I13" s="1947">
        <f t="shared" si="5"/>
        <v>0</v>
      </c>
      <c r="J13" s="1947">
        <f t="shared" si="5"/>
        <v>0</v>
      </c>
      <c r="K13" s="1947">
        <f t="shared" si="5"/>
        <v>0</v>
      </c>
      <c r="L13" s="1947">
        <f t="shared" si="5"/>
        <v>0</v>
      </c>
      <c r="M13" s="1947">
        <f t="shared" si="5"/>
        <v>0</v>
      </c>
      <c r="N13" s="1947">
        <f t="shared" si="5"/>
        <v>0</v>
      </c>
      <c r="O13" s="1947">
        <f t="shared" si="5"/>
        <v>0</v>
      </c>
      <c r="P13" s="1935"/>
      <c r="AC13" s="2310"/>
    </row>
    <row r="14" spans="1:29" x14ac:dyDescent="0.2">
      <c r="A14" s="2268"/>
      <c r="B14" s="2313"/>
      <c r="C14" s="1936" t="s">
        <v>1829</v>
      </c>
      <c r="D14" s="1937">
        <v>6246547</v>
      </c>
      <c r="E14" s="1937">
        <v>6304124</v>
      </c>
      <c r="F14" s="1937">
        <v>6370089</v>
      </c>
      <c r="G14" s="1937"/>
      <c r="H14" s="1937"/>
      <c r="I14" s="1937"/>
      <c r="J14" s="1937"/>
      <c r="K14" s="1937"/>
      <c r="L14" s="1937"/>
      <c r="M14" s="1937"/>
      <c r="N14" s="1937"/>
      <c r="O14" s="1938"/>
      <c r="P14" s="1926"/>
      <c r="AC14" s="2310"/>
    </row>
    <row r="15" spans="1:29" x14ac:dyDescent="0.2">
      <c r="A15" s="2268"/>
      <c r="B15" s="2313"/>
      <c r="C15" s="1936" t="s">
        <v>1830</v>
      </c>
      <c r="D15" s="1937">
        <f>D14-D13</f>
        <v>64027</v>
      </c>
      <c r="E15" s="1937">
        <f t="shared" ref="E15:O15" si="6">E14-E13</f>
        <v>57577</v>
      </c>
      <c r="F15" s="1937">
        <f>F14-F13</f>
        <v>65965</v>
      </c>
      <c r="G15" s="1937">
        <v>0</v>
      </c>
      <c r="H15" s="1937">
        <f t="shared" si="6"/>
        <v>0</v>
      </c>
      <c r="I15" s="1937">
        <f>I14-I13</f>
        <v>0</v>
      </c>
      <c r="J15" s="1937">
        <f t="shared" si="6"/>
        <v>0</v>
      </c>
      <c r="K15" s="1937">
        <f t="shared" si="6"/>
        <v>0</v>
      </c>
      <c r="L15" s="1937">
        <f t="shared" si="6"/>
        <v>0</v>
      </c>
      <c r="M15" s="1937">
        <f t="shared" si="6"/>
        <v>0</v>
      </c>
      <c r="N15" s="1937">
        <f t="shared" si="6"/>
        <v>0</v>
      </c>
      <c r="O15" s="1938">
        <f t="shared" si="6"/>
        <v>0</v>
      </c>
      <c r="P15" s="1939">
        <f>SUM(D15:O15)</f>
        <v>187569</v>
      </c>
      <c r="Q15" s="1948"/>
      <c r="R15" s="1949"/>
      <c r="S15" s="1949"/>
      <c r="T15" s="1949"/>
      <c r="U15" s="1949"/>
      <c r="V15" s="1949"/>
      <c r="W15" s="1949"/>
      <c r="X15" s="1949"/>
      <c r="Y15" s="1949"/>
      <c r="Z15" s="1949"/>
      <c r="AA15" s="1949"/>
      <c r="AB15" s="1949"/>
      <c r="AC15" s="2310"/>
    </row>
    <row r="16" spans="1:29" ht="14.45" customHeight="1" x14ac:dyDescent="0.2">
      <c r="A16" s="2268"/>
      <c r="B16" s="2313"/>
      <c r="C16" s="1936" t="s">
        <v>1831</v>
      </c>
      <c r="D16" s="1940">
        <v>16.62</v>
      </c>
      <c r="E16" s="1940">
        <v>16.62</v>
      </c>
      <c r="F16" s="1940">
        <v>16.62</v>
      </c>
      <c r="G16" s="1940">
        <v>16.62</v>
      </c>
      <c r="H16" s="1940">
        <v>17</v>
      </c>
      <c r="I16" s="1940">
        <v>17</v>
      </c>
      <c r="J16" s="1940">
        <v>17</v>
      </c>
      <c r="K16" s="1940">
        <v>17</v>
      </c>
      <c r="L16" s="1940">
        <v>17</v>
      </c>
      <c r="M16" s="1940">
        <v>17</v>
      </c>
      <c r="N16" s="1940">
        <v>17</v>
      </c>
      <c r="O16" s="1941">
        <v>17</v>
      </c>
      <c r="P16" s="1926"/>
      <c r="AC16" s="2310"/>
    </row>
    <row r="17" spans="1:29" ht="12.75" thickBot="1" x14ac:dyDescent="0.25">
      <c r="A17" s="2268"/>
      <c r="B17" s="2313"/>
      <c r="C17" s="1936" t="s">
        <v>1832</v>
      </c>
      <c r="D17" s="1940">
        <f>D15*D16</f>
        <v>1064128.74</v>
      </c>
      <c r="E17" s="1940">
        <f t="shared" ref="E17:O17" si="7">E15*E16</f>
        <v>956929.74000000011</v>
      </c>
      <c r="F17" s="1940">
        <f>F15*F16</f>
        <v>1096338.3</v>
      </c>
      <c r="G17" s="1940">
        <f t="shared" si="7"/>
        <v>0</v>
      </c>
      <c r="H17" s="1940">
        <f t="shared" si="7"/>
        <v>0</v>
      </c>
      <c r="I17" s="1940">
        <f t="shared" si="7"/>
        <v>0</v>
      </c>
      <c r="J17" s="1940">
        <f t="shared" si="7"/>
        <v>0</v>
      </c>
      <c r="K17" s="1940">
        <f t="shared" si="7"/>
        <v>0</v>
      </c>
      <c r="L17" s="1940">
        <f t="shared" si="7"/>
        <v>0</v>
      </c>
      <c r="M17" s="1940">
        <f t="shared" si="7"/>
        <v>0</v>
      </c>
      <c r="N17" s="1940">
        <f t="shared" si="7"/>
        <v>0</v>
      </c>
      <c r="O17" s="1941">
        <f t="shared" si="7"/>
        <v>0</v>
      </c>
      <c r="P17" s="1926"/>
      <c r="AC17" s="2311"/>
    </row>
    <row r="18" spans="1:29" ht="12.75" thickBot="1" x14ac:dyDescent="0.25">
      <c r="A18" s="1950" t="s">
        <v>1835</v>
      </c>
      <c r="B18" s="1951"/>
      <c r="C18" s="1952"/>
      <c r="D18" s="1953">
        <f>+D15+D10-D5</f>
        <v>21226</v>
      </c>
      <c r="E18" s="1953">
        <f t="shared" ref="E18:O18" si="8">+E15+E10-E5</f>
        <v>-5891</v>
      </c>
      <c r="F18" s="1953">
        <f t="shared" si="8"/>
        <v>1522</v>
      </c>
      <c r="G18" s="1953">
        <f t="shared" si="8"/>
        <v>0</v>
      </c>
      <c r="H18" s="1953">
        <f t="shared" si="8"/>
        <v>0</v>
      </c>
      <c r="I18" s="1953">
        <f t="shared" si="8"/>
        <v>0</v>
      </c>
      <c r="J18" s="1953">
        <f t="shared" si="8"/>
        <v>0</v>
      </c>
      <c r="K18" s="1953">
        <f t="shared" si="8"/>
        <v>0</v>
      </c>
      <c r="L18" s="1953">
        <f t="shared" si="8"/>
        <v>0</v>
      </c>
      <c r="M18" s="1953">
        <f t="shared" si="8"/>
        <v>0</v>
      </c>
      <c r="N18" s="1953">
        <f t="shared" si="8"/>
        <v>0</v>
      </c>
      <c r="O18" s="1953">
        <f t="shared" si="8"/>
        <v>0</v>
      </c>
      <c r="P18" s="1954"/>
      <c r="AC18" s="1955"/>
    </row>
    <row r="19" spans="1:29" x14ac:dyDescent="0.2">
      <c r="A19" s="2281" t="s">
        <v>1826</v>
      </c>
      <c r="B19" s="2283" t="s">
        <v>1836</v>
      </c>
      <c r="C19" s="1956" t="s">
        <v>1828</v>
      </c>
      <c r="D19" s="1957">
        <v>3505992</v>
      </c>
      <c r="E19" s="1957">
        <v>3549255</v>
      </c>
      <c r="F19" s="1957">
        <f>E20</f>
        <v>3588926</v>
      </c>
      <c r="G19" s="1957">
        <f t="shared" ref="G19:O19" si="9">F20</f>
        <v>3634738</v>
      </c>
      <c r="H19" s="1957">
        <f t="shared" si="9"/>
        <v>0</v>
      </c>
      <c r="I19" s="1957">
        <f t="shared" si="9"/>
        <v>0</v>
      </c>
      <c r="J19" s="1957">
        <f t="shared" si="9"/>
        <v>0</v>
      </c>
      <c r="K19" s="1957">
        <f t="shared" si="9"/>
        <v>0</v>
      </c>
      <c r="L19" s="1957">
        <f t="shared" si="9"/>
        <v>0</v>
      </c>
      <c r="M19" s="1957">
        <f t="shared" si="9"/>
        <v>0</v>
      </c>
      <c r="N19" s="1957">
        <f t="shared" si="9"/>
        <v>0</v>
      </c>
      <c r="O19" s="1957">
        <f t="shared" si="9"/>
        <v>0</v>
      </c>
      <c r="P19" s="1926"/>
      <c r="AC19" s="1958"/>
    </row>
    <row r="20" spans="1:29" x14ac:dyDescent="0.2">
      <c r="A20" s="2281"/>
      <c r="B20" s="2283"/>
      <c r="C20" s="1956" t="s">
        <v>1829</v>
      </c>
      <c r="D20" s="1957">
        <v>3549255</v>
      </c>
      <c r="E20" s="1957">
        <v>3588926</v>
      </c>
      <c r="F20" s="1957">
        <v>3634738</v>
      </c>
      <c r="G20" s="1957"/>
      <c r="H20" s="1957"/>
      <c r="I20" s="1957"/>
      <c r="J20" s="1957"/>
      <c r="K20" s="1957"/>
      <c r="L20" s="1957"/>
      <c r="M20" s="1957"/>
      <c r="N20" s="1957"/>
      <c r="O20" s="1959"/>
      <c r="P20" s="1926"/>
      <c r="AC20" s="1960"/>
    </row>
    <row r="21" spans="1:29" x14ac:dyDescent="0.2">
      <c r="A21" s="2281"/>
      <c r="B21" s="2283"/>
      <c r="C21" s="1956" t="s">
        <v>1830</v>
      </c>
      <c r="D21" s="1957">
        <f>D20-D19</f>
        <v>43263</v>
      </c>
      <c r="E21" s="1957">
        <f t="shared" ref="E21:O21" si="10">E20-E19</f>
        <v>39671</v>
      </c>
      <c r="F21" s="1957">
        <f t="shared" si="10"/>
        <v>45812</v>
      </c>
      <c r="G21" s="1957">
        <v>0</v>
      </c>
      <c r="H21" s="1957">
        <f t="shared" si="10"/>
        <v>0</v>
      </c>
      <c r="I21" s="1957">
        <f t="shared" si="10"/>
        <v>0</v>
      </c>
      <c r="J21" s="1957">
        <f t="shared" si="10"/>
        <v>0</v>
      </c>
      <c r="K21" s="1957">
        <f t="shared" si="10"/>
        <v>0</v>
      </c>
      <c r="L21" s="1957">
        <f t="shared" si="10"/>
        <v>0</v>
      </c>
      <c r="M21" s="1957">
        <f t="shared" si="10"/>
        <v>0</v>
      </c>
      <c r="N21" s="1957">
        <f t="shared" si="10"/>
        <v>0</v>
      </c>
      <c r="O21" s="1961">
        <f t="shared" si="10"/>
        <v>0</v>
      </c>
      <c r="P21" s="1926">
        <f>SUM(D21:O21)</f>
        <v>128746</v>
      </c>
      <c r="AC21" s="1960"/>
    </row>
    <row r="22" spans="1:29" x14ac:dyDescent="0.2">
      <c r="A22" s="2281"/>
      <c r="B22" s="2283"/>
      <c r="C22" s="1956" t="s">
        <v>1831</v>
      </c>
      <c r="D22" s="1962">
        <v>17.52</v>
      </c>
      <c r="E22" s="1962">
        <v>17.52</v>
      </c>
      <c r="F22" s="1962">
        <v>17.52</v>
      </c>
      <c r="G22" s="1962">
        <v>17.52</v>
      </c>
      <c r="H22" s="1962">
        <v>17.899999999999999</v>
      </c>
      <c r="I22" s="1962">
        <v>17.899999999999999</v>
      </c>
      <c r="J22" s="1962">
        <v>17.899999999999999</v>
      </c>
      <c r="K22" s="1962">
        <v>17.899999999999999</v>
      </c>
      <c r="L22" s="1962">
        <v>17.899999999999999</v>
      </c>
      <c r="M22" s="1962">
        <v>17.899999999999999</v>
      </c>
      <c r="N22" s="1962">
        <v>17.899999999999999</v>
      </c>
      <c r="O22" s="1963">
        <v>17.899999999999999</v>
      </c>
      <c r="P22" s="1926"/>
      <c r="AC22" s="1960"/>
    </row>
    <row r="23" spans="1:29" ht="12.75" thickBot="1" x14ac:dyDescent="0.25">
      <c r="A23" s="2282"/>
      <c r="B23" s="2283"/>
      <c r="C23" s="1956" t="s">
        <v>1832</v>
      </c>
      <c r="D23" s="1962">
        <f>D21*D22</f>
        <v>757967.76</v>
      </c>
      <c r="E23" s="1962">
        <f t="shared" ref="E23:O23" si="11">E21*E22</f>
        <v>695035.91999999993</v>
      </c>
      <c r="F23" s="1962">
        <f>F21*F22</f>
        <v>802626.24</v>
      </c>
      <c r="G23" s="1962">
        <f t="shared" si="11"/>
        <v>0</v>
      </c>
      <c r="H23" s="1962">
        <f t="shared" si="11"/>
        <v>0</v>
      </c>
      <c r="I23" s="1962">
        <f t="shared" si="11"/>
        <v>0</v>
      </c>
      <c r="J23" s="1962">
        <f t="shared" si="11"/>
        <v>0</v>
      </c>
      <c r="K23" s="1962">
        <f t="shared" si="11"/>
        <v>0</v>
      </c>
      <c r="L23" s="1962">
        <f t="shared" si="11"/>
        <v>0</v>
      </c>
      <c r="M23" s="1962">
        <f t="shared" si="11"/>
        <v>0</v>
      </c>
      <c r="N23" s="1962">
        <f t="shared" si="11"/>
        <v>0</v>
      </c>
      <c r="O23" s="1964">
        <f t="shared" si="11"/>
        <v>0</v>
      </c>
      <c r="P23" s="1945"/>
      <c r="Q23" s="1913">
        <f>+D23</f>
        <v>757967.76</v>
      </c>
      <c r="R23" s="1965">
        <f t="shared" ref="R23:S23" si="12">+E23</f>
        <v>695035.91999999993</v>
      </c>
      <c r="S23" s="1965">
        <f t="shared" si="12"/>
        <v>802626.24</v>
      </c>
      <c r="AC23" s="1966">
        <f>SUM(Q23:AB23)</f>
        <v>2255629.92</v>
      </c>
    </row>
    <row r="24" spans="1:29" x14ac:dyDescent="0.2">
      <c r="A24" s="2284" t="s">
        <v>1833</v>
      </c>
      <c r="B24" s="2287" t="s">
        <v>1837</v>
      </c>
      <c r="C24" s="1967" t="s">
        <v>1828</v>
      </c>
      <c r="D24" s="1968">
        <v>119891</v>
      </c>
      <c r="E24" s="1968">
        <v>121655</v>
      </c>
      <c r="F24" s="1968">
        <v>123248</v>
      </c>
      <c r="G24" s="1968"/>
      <c r="H24" s="1968"/>
      <c r="I24" s="1968"/>
      <c r="J24" s="1968"/>
      <c r="K24" s="1968"/>
      <c r="L24" s="1968"/>
      <c r="M24" s="1968"/>
      <c r="N24" s="1968"/>
      <c r="O24" s="1969"/>
      <c r="Q24" s="2290" t="s">
        <v>1838</v>
      </c>
      <c r="R24" s="2291"/>
      <c r="S24" s="2291"/>
      <c r="T24" s="2291"/>
      <c r="U24" s="2291"/>
      <c r="V24" s="2291"/>
      <c r="W24" s="2291"/>
      <c r="X24" s="2291"/>
      <c r="Y24" s="2291"/>
      <c r="Z24" s="2291"/>
      <c r="AA24" s="2291"/>
      <c r="AB24" s="2292"/>
    </row>
    <row r="25" spans="1:29" x14ac:dyDescent="0.2">
      <c r="A25" s="2285"/>
      <c r="B25" s="2288"/>
      <c r="C25" s="1970" t="s">
        <v>1829</v>
      </c>
      <c r="D25" s="1971">
        <v>121655</v>
      </c>
      <c r="E25" s="1971">
        <v>123248</v>
      </c>
      <c r="F25" s="1971">
        <v>125354</v>
      </c>
      <c r="G25" s="1971"/>
      <c r="H25" s="1971"/>
      <c r="I25" s="1971"/>
      <c r="J25" s="1971"/>
      <c r="K25" s="1971"/>
      <c r="L25" s="1971"/>
      <c r="M25" s="1971"/>
      <c r="N25" s="1971"/>
      <c r="O25" s="1972"/>
      <c r="Q25" s="2293"/>
      <c r="R25" s="2294"/>
      <c r="S25" s="2294"/>
      <c r="T25" s="2294"/>
      <c r="U25" s="2294"/>
      <c r="V25" s="2294"/>
      <c r="W25" s="2294"/>
      <c r="X25" s="2294"/>
      <c r="Y25" s="2294"/>
      <c r="Z25" s="2294"/>
      <c r="AA25" s="2294"/>
      <c r="AB25" s="2295"/>
    </row>
    <row r="26" spans="1:29" x14ac:dyDescent="0.2">
      <c r="A26" s="2285"/>
      <c r="B26" s="2288"/>
      <c r="C26" s="1970" t="s">
        <v>1830</v>
      </c>
      <c r="D26" s="1971">
        <f>SUM(D25-D24)</f>
        <v>1764</v>
      </c>
      <c r="E26" s="1971">
        <f t="shared" ref="E26:O26" si="13">SUM(E25-E24)</f>
        <v>1593</v>
      </c>
      <c r="F26" s="1971">
        <f>SUM(F25-F24)</f>
        <v>2106</v>
      </c>
      <c r="G26" s="1971">
        <f t="shared" si="13"/>
        <v>0</v>
      </c>
      <c r="H26" s="1971">
        <f t="shared" si="13"/>
        <v>0</v>
      </c>
      <c r="I26" s="1971">
        <f>SUM(I25-I24)</f>
        <v>0</v>
      </c>
      <c r="J26" s="1971">
        <f t="shared" si="13"/>
        <v>0</v>
      </c>
      <c r="K26" s="1971">
        <f t="shared" si="13"/>
        <v>0</v>
      </c>
      <c r="L26" s="1971">
        <f t="shared" si="13"/>
        <v>0</v>
      </c>
      <c r="M26" s="1971">
        <f t="shared" si="13"/>
        <v>0</v>
      </c>
      <c r="N26" s="1971">
        <f t="shared" si="13"/>
        <v>0</v>
      </c>
      <c r="O26" s="1973">
        <f t="shared" si="13"/>
        <v>0</v>
      </c>
      <c r="Q26" s="2293"/>
      <c r="R26" s="2294"/>
      <c r="S26" s="2294"/>
      <c r="T26" s="2294"/>
      <c r="U26" s="2294"/>
      <c r="V26" s="2294"/>
      <c r="W26" s="2294"/>
      <c r="X26" s="2294"/>
      <c r="Y26" s="2294"/>
      <c r="Z26" s="2294"/>
      <c r="AA26" s="2294"/>
      <c r="AB26" s="2295"/>
    </row>
    <row r="27" spans="1:29" x14ac:dyDescent="0.2">
      <c r="A27" s="2285"/>
      <c r="B27" s="2288"/>
      <c r="C27" s="1970" t="s">
        <v>1831</v>
      </c>
      <c r="D27" s="1974">
        <v>18.7</v>
      </c>
      <c r="E27" s="1974">
        <v>18.7</v>
      </c>
      <c r="F27" s="1974">
        <v>18.7</v>
      </c>
      <c r="G27" s="1974">
        <v>18.7</v>
      </c>
      <c r="H27" s="1974">
        <v>19.079999999999998</v>
      </c>
      <c r="I27" s="1974">
        <v>19.079999999999998</v>
      </c>
      <c r="J27" s="1974">
        <v>19.079999999999998</v>
      </c>
      <c r="K27" s="1974">
        <v>19.079999999999998</v>
      </c>
      <c r="L27" s="1974">
        <v>19.079999999999998</v>
      </c>
      <c r="M27" s="1974">
        <v>19.079999999999998</v>
      </c>
      <c r="N27" s="1974">
        <v>19.079999999999998</v>
      </c>
      <c r="O27" s="1975">
        <v>19.079999999999998</v>
      </c>
      <c r="Q27" s="2293"/>
      <c r="R27" s="2294"/>
      <c r="S27" s="2294"/>
      <c r="T27" s="2294"/>
      <c r="U27" s="2294"/>
      <c r="V27" s="2294"/>
      <c r="W27" s="2294"/>
      <c r="X27" s="2294"/>
      <c r="Y27" s="2294"/>
      <c r="Z27" s="2294"/>
      <c r="AA27" s="2294"/>
      <c r="AB27" s="2295"/>
    </row>
    <row r="28" spans="1:29" x14ac:dyDescent="0.2">
      <c r="A28" s="2285"/>
      <c r="B28" s="2289"/>
      <c r="C28" s="1976" t="s">
        <v>1832</v>
      </c>
      <c r="D28" s="1977">
        <f>D26*D27</f>
        <v>32986.799999999996</v>
      </c>
      <c r="E28" s="1977">
        <f t="shared" ref="E28:O28" si="14">E26*E27</f>
        <v>29789.1</v>
      </c>
      <c r="F28" s="1977">
        <f>F26*F27</f>
        <v>39382.199999999997</v>
      </c>
      <c r="G28" s="1977">
        <f t="shared" si="14"/>
        <v>0</v>
      </c>
      <c r="H28" s="1977">
        <f t="shared" si="14"/>
        <v>0</v>
      </c>
      <c r="I28" s="1977">
        <f t="shared" si="14"/>
        <v>0</v>
      </c>
      <c r="J28" s="1977">
        <f t="shared" si="14"/>
        <v>0</v>
      </c>
      <c r="K28" s="1977">
        <f t="shared" si="14"/>
        <v>0</v>
      </c>
      <c r="L28" s="1977">
        <f t="shared" si="14"/>
        <v>0</v>
      </c>
      <c r="M28" s="1977">
        <f t="shared" si="14"/>
        <v>0</v>
      </c>
      <c r="N28" s="1977">
        <f t="shared" si="14"/>
        <v>0</v>
      </c>
      <c r="O28" s="1978">
        <f t="shared" si="14"/>
        <v>0</v>
      </c>
      <c r="Q28" s="2293"/>
      <c r="R28" s="2294"/>
      <c r="S28" s="2294"/>
      <c r="T28" s="2294"/>
      <c r="U28" s="2294"/>
      <c r="V28" s="2294"/>
      <c r="W28" s="2294"/>
      <c r="X28" s="2294"/>
      <c r="Y28" s="2294"/>
      <c r="Z28" s="2294"/>
      <c r="AA28" s="2294"/>
      <c r="AB28" s="2295"/>
    </row>
    <row r="29" spans="1:29" x14ac:dyDescent="0.2">
      <c r="A29" s="2285"/>
      <c r="B29" s="2299" t="s">
        <v>1839</v>
      </c>
      <c r="C29" s="1979" t="s">
        <v>1828</v>
      </c>
      <c r="D29" s="1971">
        <v>13325</v>
      </c>
      <c r="E29" s="1971">
        <v>16885</v>
      </c>
      <c r="F29" s="1971">
        <v>19963</v>
      </c>
      <c r="G29" s="1971">
        <f>F30</f>
        <v>23985</v>
      </c>
      <c r="H29" s="1971">
        <f t="shared" ref="H29:O29" si="15">G30</f>
        <v>0</v>
      </c>
      <c r="I29" s="1971">
        <f t="shared" si="15"/>
        <v>0</v>
      </c>
      <c r="J29" s="1971">
        <f t="shared" si="15"/>
        <v>0</v>
      </c>
      <c r="K29" s="1971">
        <f t="shared" si="15"/>
        <v>0</v>
      </c>
      <c r="L29" s="1971">
        <f t="shared" si="15"/>
        <v>0</v>
      </c>
      <c r="M29" s="1971">
        <f t="shared" si="15"/>
        <v>0</v>
      </c>
      <c r="N29" s="1971">
        <f t="shared" si="15"/>
        <v>0</v>
      </c>
      <c r="O29" s="1973">
        <f t="shared" si="15"/>
        <v>0</v>
      </c>
      <c r="Q29" s="2293"/>
      <c r="R29" s="2294"/>
      <c r="S29" s="2294"/>
      <c r="T29" s="2294"/>
      <c r="U29" s="2294"/>
      <c r="V29" s="2294"/>
      <c r="W29" s="2294"/>
      <c r="X29" s="2294"/>
      <c r="Y29" s="2294"/>
      <c r="Z29" s="2294"/>
      <c r="AA29" s="2294"/>
      <c r="AB29" s="2295"/>
    </row>
    <row r="30" spans="1:29" x14ac:dyDescent="0.2">
      <c r="A30" s="2285"/>
      <c r="B30" s="2288"/>
      <c r="C30" s="1970" t="s">
        <v>1829</v>
      </c>
      <c r="D30" s="1971">
        <v>16885</v>
      </c>
      <c r="E30" s="1971">
        <v>19963</v>
      </c>
      <c r="F30" s="1971">
        <v>23985</v>
      </c>
      <c r="G30" s="1971"/>
      <c r="H30" s="1971"/>
      <c r="I30" s="1971"/>
      <c r="J30" s="1971"/>
      <c r="K30" s="1971"/>
      <c r="L30" s="1971"/>
      <c r="M30" s="1971"/>
      <c r="N30" s="1971"/>
      <c r="O30" s="1972"/>
      <c r="Q30" s="2293"/>
      <c r="R30" s="2294"/>
      <c r="S30" s="2294"/>
      <c r="T30" s="2294"/>
      <c r="U30" s="2294"/>
      <c r="V30" s="2294"/>
      <c r="W30" s="2294"/>
      <c r="X30" s="2294"/>
      <c r="Y30" s="2294"/>
      <c r="Z30" s="2294"/>
      <c r="AA30" s="2294"/>
      <c r="AB30" s="2295"/>
    </row>
    <row r="31" spans="1:29" x14ac:dyDescent="0.2">
      <c r="A31" s="2285"/>
      <c r="B31" s="2288"/>
      <c r="C31" s="1970" t="s">
        <v>1830</v>
      </c>
      <c r="D31" s="1971">
        <f>SUM(D30-D29)</f>
        <v>3560</v>
      </c>
      <c r="E31" s="1971">
        <f t="shared" ref="E31:O31" si="16">SUM(E30-E29)</f>
        <v>3078</v>
      </c>
      <c r="F31" s="1971">
        <f>SUM(F30-F29)</f>
        <v>4022</v>
      </c>
      <c r="G31" s="1971">
        <v>0</v>
      </c>
      <c r="H31" s="1971">
        <f t="shared" si="16"/>
        <v>0</v>
      </c>
      <c r="I31" s="1971">
        <f>SUM(I30-I29)</f>
        <v>0</v>
      </c>
      <c r="J31" s="1971">
        <f t="shared" si="16"/>
        <v>0</v>
      </c>
      <c r="K31" s="1971">
        <f t="shared" si="16"/>
        <v>0</v>
      </c>
      <c r="L31" s="1971">
        <f t="shared" si="16"/>
        <v>0</v>
      </c>
      <c r="M31" s="1971">
        <f t="shared" si="16"/>
        <v>0</v>
      </c>
      <c r="N31" s="1971">
        <f t="shared" si="16"/>
        <v>0</v>
      </c>
      <c r="O31" s="1973">
        <f t="shared" si="16"/>
        <v>0</v>
      </c>
      <c r="Q31" s="2293"/>
      <c r="R31" s="2294"/>
      <c r="S31" s="2294"/>
      <c r="T31" s="2294"/>
      <c r="U31" s="2294"/>
      <c r="V31" s="2294"/>
      <c r="W31" s="2294"/>
      <c r="X31" s="2294"/>
      <c r="Y31" s="2294"/>
      <c r="Z31" s="2294"/>
      <c r="AA31" s="2294"/>
      <c r="AB31" s="2295"/>
    </row>
    <row r="32" spans="1:29" x14ac:dyDescent="0.2">
      <c r="A32" s="2285"/>
      <c r="B32" s="2288"/>
      <c r="C32" s="1970" t="s">
        <v>1831</v>
      </c>
      <c r="D32" s="1974">
        <v>18.7</v>
      </c>
      <c r="E32" s="1974">
        <v>18.7</v>
      </c>
      <c r="F32" s="1974">
        <v>18.7</v>
      </c>
      <c r="G32" s="1974">
        <v>18.7</v>
      </c>
      <c r="H32" s="1974">
        <v>19.079999999999998</v>
      </c>
      <c r="I32" s="1974">
        <v>19.079999999999998</v>
      </c>
      <c r="J32" s="1974">
        <v>19.079999999999998</v>
      </c>
      <c r="K32" s="1974">
        <v>19.079999999999998</v>
      </c>
      <c r="L32" s="1974">
        <v>19.079999999999998</v>
      </c>
      <c r="M32" s="1974">
        <v>19.079999999999998</v>
      </c>
      <c r="N32" s="1974">
        <v>19.079999999999998</v>
      </c>
      <c r="O32" s="1975">
        <v>19.079999999999998</v>
      </c>
      <c r="Q32" s="2293"/>
      <c r="R32" s="2294"/>
      <c r="S32" s="2294"/>
      <c r="T32" s="2294"/>
      <c r="U32" s="2294"/>
      <c r="V32" s="2294"/>
      <c r="W32" s="2294"/>
      <c r="X32" s="2294"/>
      <c r="Y32" s="2294"/>
      <c r="Z32" s="2294"/>
      <c r="AA32" s="2294"/>
      <c r="AB32" s="2295"/>
    </row>
    <row r="33" spans="1:31" x14ac:dyDescent="0.2">
      <c r="A33" s="2285"/>
      <c r="B33" s="2289"/>
      <c r="C33" s="1976" t="s">
        <v>1832</v>
      </c>
      <c r="D33" s="1977">
        <f>D31*D32</f>
        <v>66572</v>
      </c>
      <c r="E33" s="1977">
        <f t="shared" ref="E33:O33" si="17">E31*E32</f>
        <v>57558.6</v>
      </c>
      <c r="F33" s="1977">
        <f>F31*F32</f>
        <v>75211.399999999994</v>
      </c>
      <c r="G33" s="1977">
        <f t="shared" si="17"/>
        <v>0</v>
      </c>
      <c r="H33" s="1977">
        <f t="shared" si="17"/>
        <v>0</v>
      </c>
      <c r="I33" s="1977">
        <f t="shared" si="17"/>
        <v>0</v>
      </c>
      <c r="J33" s="1977">
        <f t="shared" si="17"/>
        <v>0</v>
      </c>
      <c r="K33" s="1977">
        <f t="shared" si="17"/>
        <v>0</v>
      </c>
      <c r="L33" s="1977">
        <f t="shared" si="17"/>
        <v>0</v>
      </c>
      <c r="M33" s="1977">
        <f t="shared" si="17"/>
        <v>0</v>
      </c>
      <c r="N33" s="1977">
        <f t="shared" si="17"/>
        <v>0</v>
      </c>
      <c r="O33" s="1978">
        <f t="shared" si="17"/>
        <v>0</v>
      </c>
      <c r="Q33" s="2293"/>
      <c r="R33" s="2294"/>
      <c r="S33" s="2294"/>
      <c r="T33" s="2294"/>
      <c r="U33" s="2294"/>
      <c r="V33" s="2294"/>
      <c r="W33" s="2294"/>
      <c r="X33" s="2294"/>
      <c r="Y33" s="2294"/>
      <c r="Z33" s="2294"/>
      <c r="AA33" s="2294"/>
      <c r="AB33" s="2295"/>
    </row>
    <row r="34" spans="1:31" ht="15" customHeight="1" x14ac:dyDescent="0.2">
      <c r="A34" s="2285"/>
      <c r="B34" s="2299" t="s">
        <v>1840</v>
      </c>
      <c r="C34" s="1979" t="s">
        <v>1828</v>
      </c>
      <c r="D34" s="1971"/>
      <c r="E34" s="1971">
        <v>0</v>
      </c>
      <c r="F34" s="1971">
        <v>197</v>
      </c>
      <c r="G34" s="1971">
        <v>335</v>
      </c>
      <c r="H34" s="1971"/>
      <c r="I34" s="1971"/>
      <c r="J34" s="1971"/>
      <c r="K34" s="1971"/>
      <c r="L34" s="1971"/>
      <c r="M34" s="1971"/>
      <c r="N34" s="1971"/>
      <c r="O34" s="1973"/>
      <c r="Q34" s="2293"/>
      <c r="R34" s="2294"/>
      <c r="S34" s="2294"/>
      <c r="T34" s="2294"/>
      <c r="U34" s="2294"/>
      <c r="V34" s="2294"/>
      <c r="W34" s="2294"/>
      <c r="X34" s="2294"/>
      <c r="Y34" s="2294"/>
      <c r="Z34" s="2294"/>
      <c r="AA34" s="2294"/>
      <c r="AB34" s="2295"/>
    </row>
    <row r="35" spans="1:31" x14ac:dyDescent="0.2">
      <c r="A35" s="2285"/>
      <c r="B35" s="2288"/>
      <c r="C35" s="1970" t="s">
        <v>1829</v>
      </c>
      <c r="D35" s="1971"/>
      <c r="E35" s="1971">
        <v>107</v>
      </c>
      <c r="F35" s="1971">
        <v>335</v>
      </c>
      <c r="G35" s="1971"/>
      <c r="H35" s="1971"/>
      <c r="I35" s="1971"/>
      <c r="J35" s="1971"/>
      <c r="K35" s="1971"/>
      <c r="L35" s="1971"/>
      <c r="M35" s="1971"/>
      <c r="N35" s="1971"/>
      <c r="O35" s="1972"/>
      <c r="Q35" s="2293"/>
      <c r="R35" s="2294"/>
      <c r="S35" s="2294"/>
      <c r="T35" s="2294"/>
      <c r="U35" s="2294"/>
      <c r="V35" s="2294"/>
      <c r="W35" s="2294"/>
      <c r="X35" s="2294"/>
      <c r="Y35" s="2294"/>
      <c r="Z35" s="2294"/>
      <c r="AA35" s="2294"/>
      <c r="AB35" s="2295"/>
    </row>
    <row r="36" spans="1:31" x14ac:dyDescent="0.2">
      <c r="A36" s="2285"/>
      <c r="B36" s="2288"/>
      <c r="C36" s="1970" t="s">
        <v>1830</v>
      </c>
      <c r="D36" s="1971"/>
      <c r="E36" s="1971">
        <f t="shared" ref="E36" si="18">SUM(E35-E34)</f>
        <v>107</v>
      </c>
      <c r="F36" s="1971">
        <f>SUM(F35-F34)</f>
        <v>138</v>
      </c>
      <c r="G36" s="1971">
        <v>0</v>
      </c>
      <c r="H36" s="1971">
        <f t="shared" ref="H36" si="19">SUM(H35-H34)</f>
        <v>0</v>
      </c>
      <c r="I36" s="1971">
        <f>SUM(I35-I34)</f>
        <v>0</v>
      </c>
      <c r="J36" s="1971">
        <f t="shared" ref="J36:O36" si="20">SUM(J35-J34)</f>
        <v>0</v>
      </c>
      <c r="K36" s="1971">
        <f t="shared" si="20"/>
        <v>0</v>
      </c>
      <c r="L36" s="1971">
        <f t="shared" si="20"/>
        <v>0</v>
      </c>
      <c r="M36" s="1971">
        <f t="shared" si="20"/>
        <v>0</v>
      </c>
      <c r="N36" s="1971">
        <f t="shared" si="20"/>
        <v>0</v>
      </c>
      <c r="O36" s="1973">
        <f t="shared" si="20"/>
        <v>0</v>
      </c>
      <c r="Q36" s="2293"/>
      <c r="R36" s="2294"/>
      <c r="S36" s="2294"/>
      <c r="T36" s="2294"/>
      <c r="U36" s="2294"/>
      <c r="V36" s="2294"/>
      <c r="W36" s="2294"/>
      <c r="X36" s="2294"/>
      <c r="Y36" s="2294"/>
      <c r="Z36" s="2294"/>
      <c r="AA36" s="2294"/>
      <c r="AB36" s="2295"/>
    </row>
    <row r="37" spans="1:31" x14ac:dyDescent="0.2">
      <c r="A37" s="2285"/>
      <c r="B37" s="2288"/>
      <c r="C37" s="1970" t="s">
        <v>1831</v>
      </c>
      <c r="D37" s="1974"/>
      <c r="E37" s="1974">
        <v>18.7</v>
      </c>
      <c r="F37" s="1974">
        <v>18.7</v>
      </c>
      <c r="G37" s="1974">
        <v>18.7</v>
      </c>
      <c r="H37" s="1974">
        <v>19.079999999999998</v>
      </c>
      <c r="I37" s="1974">
        <v>19.079999999999998</v>
      </c>
      <c r="J37" s="1974">
        <v>19.079999999999998</v>
      </c>
      <c r="K37" s="1974">
        <v>19.079999999999998</v>
      </c>
      <c r="L37" s="1974">
        <v>19.079999999999998</v>
      </c>
      <c r="M37" s="1974">
        <v>19.079999999999998</v>
      </c>
      <c r="N37" s="1974">
        <v>19.079999999999998</v>
      </c>
      <c r="O37" s="1975">
        <v>19.079999999999998</v>
      </c>
      <c r="Q37" s="2293"/>
      <c r="R37" s="2294"/>
      <c r="S37" s="2294"/>
      <c r="T37" s="2294"/>
      <c r="U37" s="2294"/>
      <c r="V37" s="2294"/>
      <c r="W37" s="2294"/>
      <c r="X37" s="2294"/>
      <c r="Y37" s="2294"/>
      <c r="Z37" s="2294"/>
      <c r="AA37" s="2294"/>
      <c r="AB37" s="2295"/>
    </row>
    <row r="38" spans="1:31" x14ac:dyDescent="0.2">
      <c r="A38" s="2285"/>
      <c r="B38" s="2289"/>
      <c r="C38" s="1976" t="s">
        <v>1832</v>
      </c>
      <c r="D38" s="1977"/>
      <c r="E38" s="1977">
        <f t="shared" ref="E38" si="21">E36*E37</f>
        <v>2000.8999999999999</v>
      </c>
      <c r="F38" s="1977">
        <f>F36*F37</f>
        <v>2580.6</v>
      </c>
      <c r="G38" s="1977">
        <f t="shared" ref="G38:O38" si="22">G36*G37</f>
        <v>0</v>
      </c>
      <c r="H38" s="1977">
        <f t="shared" si="22"/>
        <v>0</v>
      </c>
      <c r="I38" s="1977">
        <f t="shared" si="22"/>
        <v>0</v>
      </c>
      <c r="J38" s="1977">
        <f t="shared" si="22"/>
        <v>0</v>
      </c>
      <c r="K38" s="1977">
        <f t="shared" si="22"/>
        <v>0</v>
      </c>
      <c r="L38" s="1977">
        <f t="shared" si="22"/>
        <v>0</v>
      </c>
      <c r="M38" s="1977">
        <f t="shared" si="22"/>
        <v>0</v>
      </c>
      <c r="N38" s="1977">
        <f t="shared" si="22"/>
        <v>0</v>
      </c>
      <c r="O38" s="1978">
        <f t="shared" si="22"/>
        <v>0</v>
      </c>
      <c r="Q38" s="2293"/>
      <c r="R38" s="2294"/>
      <c r="S38" s="2294"/>
      <c r="T38" s="2294"/>
      <c r="U38" s="2294"/>
      <c r="V38" s="2294"/>
      <c r="W38" s="2294"/>
      <c r="X38" s="2294"/>
      <c r="Y38" s="2294"/>
      <c r="Z38" s="2294"/>
      <c r="AA38" s="2294"/>
      <c r="AB38" s="2295"/>
    </row>
    <row r="39" spans="1:31" x14ac:dyDescent="0.2">
      <c r="A39" s="2285"/>
      <c r="B39" s="2299" t="s">
        <v>1841</v>
      </c>
      <c r="C39" s="1979" t="s">
        <v>1828</v>
      </c>
      <c r="D39" s="1971"/>
      <c r="E39" s="1971">
        <v>0</v>
      </c>
      <c r="F39" s="1971">
        <v>266</v>
      </c>
      <c r="G39" s="1971">
        <v>463</v>
      </c>
      <c r="H39" s="1971"/>
      <c r="I39" s="1971"/>
      <c r="J39" s="1971"/>
      <c r="K39" s="1971"/>
      <c r="L39" s="1971"/>
      <c r="M39" s="1971"/>
      <c r="N39" s="1971"/>
      <c r="O39" s="1973"/>
      <c r="Q39" s="2293"/>
      <c r="R39" s="2294"/>
      <c r="S39" s="2294"/>
      <c r="T39" s="2294"/>
      <c r="U39" s="2294"/>
      <c r="V39" s="2294"/>
      <c r="W39" s="2294"/>
      <c r="X39" s="2294"/>
      <c r="Y39" s="2294"/>
      <c r="Z39" s="2294"/>
      <c r="AA39" s="2294"/>
      <c r="AB39" s="2295"/>
    </row>
    <row r="40" spans="1:31" x14ac:dyDescent="0.2">
      <c r="A40" s="2285"/>
      <c r="B40" s="2288"/>
      <c r="C40" s="1970" t="s">
        <v>1829</v>
      </c>
      <c r="D40" s="1971"/>
      <c r="E40" s="1971">
        <v>137</v>
      </c>
      <c r="F40" s="1971">
        <v>463</v>
      </c>
      <c r="G40" s="1971"/>
      <c r="H40" s="1971"/>
      <c r="I40" s="1971"/>
      <c r="J40" s="1971"/>
      <c r="K40" s="1971"/>
      <c r="L40" s="1971"/>
      <c r="M40" s="1971"/>
      <c r="N40" s="1971"/>
      <c r="O40" s="1972"/>
      <c r="Q40" s="2293"/>
      <c r="R40" s="2294"/>
      <c r="S40" s="2294"/>
      <c r="T40" s="2294"/>
      <c r="U40" s="2294"/>
      <c r="V40" s="2294"/>
      <c r="W40" s="2294"/>
      <c r="X40" s="2294"/>
      <c r="Y40" s="2294"/>
      <c r="Z40" s="2294"/>
      <c r="AA40" s="2294"/>
      <c r="AB40" s="2295"/>
    </row>
    <row r="41" spans="1:31" ht="12.75" thickBot="1" x14ac:dyDescent="0.25">
      <c r="A41" s="2285"/>
      <c r="B41" s="2288"/>
      <c r="C41" s="1970" t="s">
        <v>1830</v>
      </c>
      <c r="D41" s="1971"/>
      <c r="E41" s="1971">
        <f t="shared" ref="E41" si="23">SUM(E40-E39)</f>
        <v>137</v>
      </c>
      <c r="F41" s="1971">
        <f>SUM(F40-F39)</f>
        <v>197</v>
      </c>
      <c r="G41" s="1971">
        <v>0</v>
      </c>
      <c r="H41" s="1971">
        <f t="shared" ref="H41" si="24">SUM(H40-H39)</f>
        <v>0</v>
      </c>
      <c r="I41" s="1971">
        <f>SUM(I40-I39)</f>
        <v>0</v>
      </c>
      <c r="J41" s="1971">
        <f t="shared" ref="J41:O41" si="25">SUM(J40-J39)</f>
        <v>0</v>
      </c>
      <c r="K41" s="1971">
        <f t="shared" si="25"/>
        <v>0</v>
      </c>
      <c r="L41" s="1971">
        <f t="shared" si="25"/>
        <v>0</v>
      </c>
      <c r="M41" s="1971">
        <f t="shared" si="25"/>
        <v>0</v>
      </c>
      <c r="N41" s="1971">
        <f t="shared" si="25"/>
        <v>0</v>
      </c>
      <c r="O41" s="1973">
        <f t="shared" si="25"/>
        <v>0</v>
      </c>
      <c r="Q41" s="2296"/>
      <c r="R41" s="2297"/>
      <c r="S41" s="2297"/>
      <c r="T41" s="2297"/>
      <c r="U41" s="2297"/>
      <c r="V41" s="2297"/>
      <c r="W41" s="2297"/>
      <c r="X41" s="2297"/>
      <c r="Y41" s="2297"/>
      <c r="Z41" s="2297"/>
      <c r="AA41" s="2297"/>
      <c r="AB41" s="2298"/>
    </row>
    <row r="42" spans="1:31" x14ac:dyDescent="0.2">
      <c r="A42" s="2285"/>
      <c r="B42" s="2288"/>
      <c r="C42" s="1970" t="s">
        <v>1831</v>
      </c>
      <c r="D42" s="1974"/>
      <c r="E42" s="1974">
        <v>18.7</v>
      </c>
      <c r="F42" s="1974">
        <v>18.7</v>
      </c>
      <c r="G42" s="1974">
        <v>18.7</v>
      </c>
      <c r="H42" s="1974">
        <v>19.079999999999998</v>
      </c>
      <c r="I42" s="1974">
        <v>19.079999999999998</v>
      </c>
      <c r="J42" s="1974">
        <v>19.079999999999998</v>
      </c>
      <c r="K42" s="1974">
        <v>19.079999999999998</v>
      </c>
      <c r="L42" s="1974">
        <v>19.079999999999998</v>
      </c>
      <c r="M42" s="1974">
        <v>19.079999999999998</v>
      </c>
      <c r="N42" s="1974">
        <v>19.079999999999998</v>
      </c>
      <c r="O42" s="1975">
        <v>19.079999999999998</v>
      </c>
      <c r="P42" s="1980"/>
      <c r="Q42" s="1981">
        <f t="shared" ref="Q42:AB42" si="26">SUM(D26,D31,D36,D41)</f>
        <v>5324</v>
      </c>
      <c r="R42" s="1982">
        <f t="shared" si="26"/>
        <v>4915</v>
      </c>
      <c r="S42" s="1982">
        <f t="shared" si="26"/>
        <v>6463</v>
      </c>
      <c r="T42" s="1982">
        <f t="shared" si="26"/>
        <v>0</v>
      </c>
      <c r="U42" s="1982">
        <f t="shared" si="26"/>
        <v>0</v>
      </c>
      <c r="V42" s="1982">
        <f t="shared" si="26"/>
        <v>0</v>
      </c>
      <c r="W42" s="1982">
        <f t="shared" si="26"/>
        <v>0</v>
      </c>
      <c r="X42" s="1982">
        <f t="shared" si="26"/>
        <v>0</v>
      </c>
      <c r="Y42" s="1982">
        <f t="shared" si="26"/>
        <v>0</v>
      </c>
      <c r="Z42" s="1982">
        <f t="shared" si="26"/>
        <v>0</v>
      </c>
      <c r="AA42" s="1982">
        <f t="shared" si="26"/>
        <v>0</v>
      </c>
      <c r="AB42" s="1982">
        <f t="shared" si="26"/>
        <v>0</v>
      </c>
      <c r="AC42" s="1983">
        <f>SUM(Q42:AB42)</f>
        <v>16702</v>
      </c>
      <c r="AD42" s="1984" t="s">
        <v>1842</v>
      </c>
    </row>
    <row r="43" spans="1:31" ht="12.75" thickBot="1" x14ac:dyDescent="0.25">
      <c r="A43" s="2286"/>
      <c r="B43" s="2300"/>
      <c r="C43" s="1985" t="s">
        <v>1832</v>
      </c>
      <c r="D43" s="1986"/>
      <c r="E43" s="1986">
        <f t="shared" ref="E43" si="27">E41*E42</f>
        <v>2561.9</v>
      </c>
      <c r="F43" s="1986">
        <f>F41*F42</f>
        <v>3683.8999999999996</v>
      </c>
      <c r="G43" s="1986">
        <f t="shared" ref="G43:O43" si="28">G41*G42</f>
        <v>0</v>
      </c>
      <c r="H43" s="1986">
        <f t="shared" si="28"/>
        <v>0</v>
      </c>
      <c r="I43" s="1986">
        <f t="shared" si="28"/>
        <v>0</v>
      </c>
      <c r="J43" s="1986">
        <f t="shared" si="28"/>
        <v>0</v>
      </c>
      <c r="K43" s="1986">
        <f t="shared" si="28"/>
        <v>0</v>
      </c>
      <c r="L43" s="1986">
        <f t="shared" si="28"/>
        <v>0</v>
      </c>
      <c r="M43" s="1986">
        <f t="shared" si="28"/>
        <v>0</v>
      </c>
      <c r="N43" s="1986">
        <f t="shared" si="28"/>
        <v>0</v>
      </c>
      <c r="O43" s="1987">
        <f t="shared" si="28"/>
        <v>0</v>
      </c>
      <c r="P43" s="1980"/>
      <c r="Q43" s="1988">
        <f>SUM(D28,D33,D38,D43)</f>
        <v>99558.799999999988</v>
      </c>
      <c r="R43" s="1989">
        <f t="shared" ref="R43:AB43" si="29">SUM(E28,E33,E38,E43)</f>
        <v>91910.499999999985</v>
      </c>
      <c r="S43" s="1989">
        <f t="shared" si="29"/>
        <v>120858.09999999999</v>
      </c>
      <c r="T43" s="1989">
        <f t="shared" si="29"/>
        <v>0</v>
      </c>
      <c r="U43" s="1989">
        <f t="shared" si="29"/>
        <v>0</v>
      </c>
      <c r="V43" s="1989">
        <f t="shared" si="29"/>
        <v>0</v>
      </c>
      <c r="W43" s="1989">
        <f t="shared" si="29"/>
        <v>0</v>
      </c>
      <c r="X43" s="1989">
        <f t="shared" si="29"/>
        <v>0</v>
      </c>
      <c r="Y43" s="1989">
        <f t="shared" si="29"/>
        <v>0</v>
      </c>
      <c r="Z43" s="1989">
        <f t="shared" si="29"/>
        <v>0</v>
      </c>
      <c r="AA43" s="1989">
        <f t="shared" si="29"/>
        <v>0</v>
      </c>
      <c r="AB43" s="1990">
        <f t="shared" si="29"/>
        <v>0</v>
      </c>
      <c r="AC43" s="1991">
        <f>SUM(Q43:AB43)</f>
        <v>312327.39999999997</v>
      </c>
      <c r="AD43" s="1984" t="s">
        <v>1843</v>
      </c>
    </row>
    <row r="44" spans="1:31" ht="15" customHeight="1" x14ac:dyDescent="0.2">
      <c r="A44" s="2255" t="s">
        <v>1844</v>
      </c>
      <c r="B44" s="2273" t="s">
        <v>1845</v>
      </c>
      <c r="C44" s="1992" t="s">
        <v>1828</v>
      </c>
      <c r="D44" s="1993">
        <v>557642</v>
      </c>
      <c r="E44" s="1993">
        <v>586475</v>
      </c>
      <c r="F44" s="1993">
        <f>E45</f>
        <v>612954</v>
      </c>
      <c r="G44" s="1993">
        <f t="shared" ref="G44:O44" si="30">F45</f>
        <v>642659</v>
      </c>
      <c r="H44" s="1993">
        <f t="shared" si="30"/>
        <v>0</v>
      </c>
      <c r="I44" s="1993">
        <f t="shared" si="30"/>
        <v>0</v>
      </c>
      <c r="J44" s="1993">
        <f t="shared" si="30"/>
        <v>0</v>
      </c>
      <c r="K44" s="1993">
        <f t="shared" si="30"/>
        <v>0</v>
      </c>
      <c r="L44" s="1993">
        <f t="shared" si="30"/>
        <v>0</v>
      </c>
      <c r="M44" s="1993">
        <f t="shared" si="30"/>
        <v>0</v>
      </c>
      <c r="N44" s="1993">
        <f t="shared" si="30"/>
        <v>0</v>
      </c>
      <c r="O44" s="1993">
        <f t="shared" si="30"/>
        <v>0</v>
      </c>
      <c r="P44" s="1994"/>
      <c r="Q44" s="2276" t="s">
        <v>1846</v>
      </c>
      <c r="R44" s="2276"/>
      <c r="S44" s="2276"/>
      <c r="T44" s="2276"/>
      <c r="U44" s="2276"/>
      <c r="V44" s="2276"/>
      <c r="W44" s="2276"/>
      <c r="X44" s="2276"/>
      <c r="Y44" s="2276"/>
      <c r="Z44" s="2276"/>
      <c r="AA44" s="2276"/>
      <c r="AB44" s="2277"/>
      <c r="AE44" s="1912">
        <v>557642</v>
      </c>
    </row>
    <row r="45" spans="1:31" x14ac:dyDescent="0.2">
      <c r="A45" s="2256"/>
      <c r="B45" s="2274"/>
      <c r="C45" s="1995" t="s">
        <v>1829</v>
      </c>
      <c r="D45" s="1996">
        <v>586475</v>
      </c>
      <c r="E45" s="1996">
        <v>612954</v>
      </c>
      <c r="F45" s="1996">
        <v>642659</v>
      </c>
      <c r="G45" s="1996"/>
      <c r="H45" s="1996"/>
      <c r="I45" s="1996"/>
      <c r="J45" s="1996"/>
      <c r="K45" s="1996"/>
      <c r="L45" s="1996"/>
      <c r="M45" s="1996"/>
      <c r="N45" s="1996"/>
      <c r="O45" s="1997"/>
      <c r="P45" s="1998"/>
      <c r="Q45" s="2278"/>
      <c r="R45" s="2278"/>
      <c r="S45" s="2278"/>
      <c r="T45" s="2278"/>
      <c r="U45" s="2278"/>
      <c r="V45" s="2278"/>
      <c r="W45" s="2278"/>
      <c r="X45" s="2278"/>
      <c r="Y45" s="2278"/>
      <c r="Z45" s="2278"/>
      <c r="AA45" s="2278"/>
      <c r="AB45" s="2279"/>
      <c r="AE45" s="1912">
        <v>-6873</v>
      </c>
    </row>
    <row r="46" spans="1:31" x14ac:dyDescent="0.2">
      <c r="A46" s="2256"/>
      <c r="B46" s="2274"/>
      <c r="C46" s="1995" t="s">
        <v>1830</v>
      </c>
      <c r="D46" s="1996">
        <f>SUM(D45-D44)</f>
        <v>28833</v>
      </c>
      <c r="E46" s="1996">
        <f t="shared" ref="E46" si="31">SUM(E45-E44)</f>
        <v>26479</v>
      </c>
      <c r="F46" s="1996">
        <f>SUM(F45-F44)</f>
        <v>29705</v>
      </c>
      <c r="G46" s="1996">
        <v>0</v>
      </c>
      <c r="H46" s="1996">
        <f t="shared" ref="H46" si="32">SUM(H45-H44)</f>
        <v>0</v>
      </c>
      <c r="I46" s="1996">
        <f>SUM(I45-I44)</f>
        <v>0</v>
      </c>
      <c r="J46" s="1996">
        <f t="shared" ref="J46:O46" si="33">SUM(J45-J44)</f>
        <v>0</v>
      </c>
      <c r="K46" s="1996">
        <f t="shared" si="33"/>
        <v>0</v>
      </c>
      <c r="L46" s="1996">
        <f t="shared" si="33"/>
        <v>0</v>
      </c>
      <c r="M46" s="1996">
        <f t="shared" si="33"/>
        <v>0</v>
      </c>
      <c r="N46" s="1996">
        <f t="shared" si="33"/>
        <v>0</v>
      </c>
      <c r="O46" s="1999">
        <f t="shared" si="33"/>
        <v>0</v>
      </c>
      <c r="P46" s="1998"/>
      <c r="Q46" s="2278"/>
      <c r="R46" s="2278"/>
      <c r="S46" s="2278"/>
      <c r="T46" s="2278"/>
      <c r="U46" s="2278"/>
      <c r="V46" s="2278"/>
      <c r="W46" s="2278"/>
      <c r="X46" s="2278"/>
      <c r="Y46" s="2278"/>
      <c r="Z46" s="2278"/>
      <c r="AA46" s="2278"/>
      <c r="AB46" s="2279"/>
      <c r="AE46" s="1912">
        <f>SUM(AE44:AE45)</f>
        <v>550769</v>
      </c>
    </row>
    <row r="47" spans="1:31" x14ac:dyDescent="0.2">
      <c r="A47" s="2256"/>
      <c r="B47" s="2274"/>
      <c r="C47" s="1995" t="s">
        <v>1831</v>
      </c>
      <c r="D47" s="2000">
        <v>19.190000000000001</v>
      </c>
      <c r="E47" s="2000">
        <v>19.190000000000001</v>
      </c>
      <c r="F47" s="2000">
        <v>19.190000000000001</v>
      </c>
      <c r="G47" s="2000">
        <v>19.190000000000001</v>
      </c>
      <c r="H47" s="2000">
        <v>19.57</v>
      </c>
      <c r="I47" s="2000">
        <v>19.57</v>
      </c>
      <c r="J47" s="2000">
        <v>19.57</v>
      </c>
      <c r="K47" s="2000">
        <v>19.57</v>
      </c>
      <c r="L47" s="2000">
        <v>19.57</v>
      </c>
      <c r="M47" s="2000">
        <v>19.57</v>
      </c>
      <c r="N47" s="2000">
        <v>19.57</v>
      </c>
      <c r="O47" s="2001">
        <v>19.57</v>
      </c>
      <c r="P47" s="1998"/>
      <c r="Q47" s="2278"/>
      <c r="R47" s="2278"/>
      <c r="S47" s="2278"/>
      <c r="T47" s="2278"/>
      <c r="U47" s="2278"/>
      <c r="V47" s="2278"/>
      <c r="W47" s="2278"/>
      <c r="X47" s="2278"/>
      <c r="Y47" s="2278"/>
      <c r="Z47" s="2278"/>
      <c r="AA47" s="2278"/>
      <c r="AB47" s="2279"/>
    </row>
    <row r="48" spans="1:31" x14ac:dyDescent="0.2">
      <c r="A48" s="2256"/>
      <c r="B48" s="2275"/>
      <c r="C48" s="2002" t="s">
        <v>1832</v>
      </c>
      <c r="D48" s="2003">
        <f>D46*D47</f>
        <v>553305.27</v>
      </c>
      <c r="E48" s="2003">
        <f t="shared" ref="E48:O48" si="34">E46*E47</f>
        <v>508132.01</v>
      </c>
      <c r="F48" s="2003">
        <f t="shared" si="34"/>
        <v>570038.95000000007</v>
      </c>
      <c r="G48" s="2003">
        <f t="shared" si="34"/>
        <v>0</v>
      </c>
      <c r="H48" s="2003">
        <f t="shared" si="34"/>
        <v>0</v>
      </c>
      <c r="I48" s="2003">
        <f t="shared" si="34"/>
        <v>0</v>
      </c>
      <c r="J48" s="2003">
        <f t="shared" si="34"/>
        <v>0</v>
      </c>
      <c r="K48" s="2003">
        <f t="shared" si="34"/>
        <v>0</v>
      </c>
      <c r="L48" s="2003">
        <f t="shared" si="34"/>
        <v>0</v>
      </c>
      <c r="M48" s="2003">
        <f t="shared" si="34"/>
        <v>0</v>
      </c>
      <c r="N48" s="2003">
        <f t="shared" si="34"/>
        <v>0</v>
      </c>
      <c r="O48" s="2004">
        <f t="shared" si="34"/>
        <v>0</v>
      </c>
      <c r="P48" s="1998"/>
      <c r="Q48" s="2278"/>
      <c r="R48" s="2278"/>
      <c r="S48" s="2278"/>
      <c r="T48" s="2278"/>
      <c r="U48" s="2278"/>
      <c r="V48" s="2278"/>
      <c r="W48" s="2278"/>
      <c r="X48" s="2278"/>
      <c r="Y48" s="2278"/>
      <c r="Z48" s="2278"/>
      <c r="AA48" s="2278"/>
      <c r="AB48" s="2279"/>
    </row>
    <row r="49" spans="1:34" x14ac:dyDescent="0.2">
      <c r="A49" s="2256"/>
      <c r="B49" s="2280" t="s">
        <v>1847</v>
      </c>
      <c r="C49" s="2005" t="s">
        <v>1828</v>
      </c>
      <c r="D49" s="1996">
        <v>12099</v>
      </c>
      <c r="E49" s="1996">
        <v>12278</v>
      </c>
      <c r="F49" s="1996">
        <f>E50</f>
        <v>12407</v>
      </c>
      <c r="G49" s="1996">
        <f t="shared" ref="G49:O49" si="35">F50</f>
        <v>12772</v>
      </c>
      <c r="H49" s="1996">
        <f t="shared" si="35"/>
        <v>0</v>
      </c>
      <c r="I49" s="1996">
        <f t="shared" si="35"/>
        <v>0</v>
      </c>
      <c r="J49" s="1996">
        <f t="shared" si="35"/>
        <v>0</v>
      </c>
      <c r="K49" s="1996">
        <f t="shared" si="35"/>
        <v>0</v>
      </c>
      <c r="L49" s="1996">
        <f t="shared" si="35"/>
        <v>0</v>
      </c>
      <c r="M49" s="1996">
        <f t="shared" si="35"/>
        <v>0</v>
      </c>
      <c r="N49" s="1996">
        <f t="shared" si="35"/>
        <v>0</v>
      </c>
      <c r="O49" s="1996">
        <f t="shared" si="35"/>
        <v>0</v>
      </c>
      <c r="P49" s="1998"/>
      <c r="Q49" s="2278"/>
      <c r="R49" s="2278"/>
      <c r="S49" s="2278"/>
      <c r="T49" s="2278"/>
      <c r="U49" s="2278"/>
      <c r="V49" s="2278"/>
      <c r="W49" s="2278"/>
      <c r="X49" s="2278"/>
      <c r="Y49" s="2278"/>
      <c r="Z49" s="2278"/>
      <c r="AA49" s="2278"/>
      <c r="AB49" s="2279"/>
      <c r="AE49" s="1912">
        <v>12099</v>
      </c>
    </row>
    <row r="50" spans="1:34" ht="14.25" customHeight="1" x14ac:dyDescent="0.2">
      <c r="A50" s="2256"/>
      <c r="B50" s="2274"/>
      <c r="C50" s="1995" t="s">
        <v>1829</v>
      </c>
      <c r="D50" s="1996">
        <v>12278</v>
      </c>
      <c r="E50" s="1996">
        <v>12407</v>
      </c>
      <c r="F50" s="1996">
        <v>12772</v>
      </c>
      <c r="G50" s="1996"/>
      <c r="H50" s="1996"/>
      <c r="I50" s="1996"/>
      <c r="J50" s="1996"/>
      <c r="K50" s="1996"/>
      <c r="L50" s="1996"/>
      <c r="M50" s="1996"/>
      <c r="N50" s="1996"/>
      <c r="O50" s="1997"/>
      <c r="P50" s="1998"/>
      <c r="Q50" s="2278"/>
      <c r="R50" s="2278"/>
      <c r="S50" s="2278"/>
      <c r="T50" s="2278"/>
      <c r="U50" s="2278"/>
      <c r="V50" s="2278"/>
      <c r="W50" s="2278"/>
      <c r="X50" s="2278"/>
      <c r="Y50" s="2278"/>
      <c r="Z50" s="2278"/>
      <c r="AA50" s="2278"/>
      <c r="AB50" s="2279"/>
      <c r="AE50" s="1912">
        <v>-7604</v>
      </c>
    </row>
    <row r="51" spans="1:34" x14ac:dyDescent="0.2">
      <c r="A51" s="2256"/>
      <c r="B51" s="2274"/>
      <c r="C51" s="1995" t="s">
        <v>1830</v>
      </c>
      <c r="D51" s="1996">
        <f>SUM(D50-D49)</f>
        <v>179</v>
      </c>
      <c r="E51" s="1996">
        <f t="shared" ref="E51" si="36">SUM(E50-E49)</f>
        <v>129</v>
      </c>
      <c r="F51" s="1996">
        <f>SUM(F50-F49)</f>
        <v>365</v>
      </c>
      <c r="G51" s="1996">
        <v>0</v>
      </c>
      <c r="H51" s="1996">
        <f t="shared" ref="H51" si="37">SUM(H50-H49)</f>
        <v>0</v>
      </c>
      <c r="I51" s="1996">
        <f>SUM(I50-I49)</f>
        <v>0</v>
      </c>
      <c r="J51" s="1996">
        <f t="shared" ref="J51:O51" si="38">SUM(J50-J49)</f>
        <v>0</v>
      </c>
      <c r="K51" s="1996">
        <f t="shared" si="38"/>
        <v>0</v>
      </c>
      <c r="L51" s="1996">
        <f t="shared" si="38"/>
        <v>0</v>
      </c>
      <c r="M51" s="1996">
        <f t="shared" si="38"/>
        <v>0</v>
      </c>
      <c r="N51" s="1996">
        <f t="shared" si="38"/>
        <v>0</v>
      </c>
      <c r="O51" s="1999">
        <f t="shared" si="38"/>
        <v>0</v>
      </c>
      <c r="P51" s="1998"/>
      <c r="Q51" s="2278"/>
      <c r="R51" s="2278"/>
      <c r="S51" s="2278"/>
      <c r="T51" s="2278"/>
      <c r="U51" s="2278"/>
      <c r="V51" s="2278"/>
      <c r="W51" s="2278"/>
      <c r="X51" s="2278"/>
      <c r="Y51" s="2278"/>
      <c r="Z51" s="2278"/>
      <c r="AA51" s="2278"/>
      <c r="AB51" s="2279"/>
      <c r="AE51" s="1912">
        <f>SUM(AE49:AE50)</f>
        <v>4495</v>
      </c>
    </row>
    <row r="52" spans="1:34" x14ac:dyDescent="0.2">
      <c r="A52" s="2256"/>
      <c r="B52" s="2274"/>
      <c r="C52" s="1995" t="s">
        <v>1831</v>
      </c>
      <c r="D52" s="2000">
        <v>19.190000000000001</v>
      </c>
      <c r="E52" s="2000">
        <v>19.190000000000001</v>
      </c>
      <c r="F52" s="2000">
        <v>19.190000000000001</v>
      </c>
      <c r="G52" s="2000">
        <v>19.190000000000001</v>
      </c>
      <c r="H52" s="2000">
        <v>19.57</v>
      </c>
      <c r="I52" s="2000">
        <v>19.57</v>
      </c>
      <c r="J52" s="2000">
        <v>19.57</v>
      </c>
      <c r="K52" s="2000">
        <v>19.57</v>
      </c>
      <c r="L52" s="2000">
        <v>19.57</v>
      </c>
      <c r="M52" s="2000">
        <v>19.57</v>
      </c>
      <c r="N52" s="2000">
        <v>19.57</v>
      </c>
      <c r="O52" s="2001">
        <v>19.57</v>
      </c>
      <c r="P52" s="1998"/>
      <c r="Q52" s="2278"/>
      <c r="R52" s="2278"/>
      <c r="S52" s="2278"/>
      <c r="T52" s="2278"/>
      <c r="U52" s="2278"/>
      <c r="V52" s="2278"/>
      <c r="W52" s="2278"/>
      <c r="X52" s="2278"/>
      <c r="Y52" s="2278"/>
      <c r="Z52" s="2278"/>
      <c r="AA52" s="2278"/>
      <c r="AB52" s="2279"/>
    </row>
    <row r="53" spans="1:34" x14ac:dyDescent="0.2">
      <c r="A53" s="2256"/>
      <c r="B53" s="2275"/>
      <c r="C53" s="2002" t="s">
        <v>1832</v>
      </c>
      <c r="D53" s="2003">
        <f>D51*D52</f>
        <v>3435.01</v>
      </c>
      <c r="E53" s="2003">
        <f t="shared" ref="E53:O53" si="39">E51*E52</f>
        <v>2475.5100000000002</v>
      </c>
      <c r="F53" s="2003">
        <f t="shared" si="39"/>
        <v>7004.35</v>
      </c>
      <c r="G53" s="2003">
        <f t="shared" si="39"/>
        <v>0</v>
      </c>
      <c r="H53" s="2003">
        <f t="shared" si="39"/>
        <v>0</v>
      </c>
      <c r="I53" s="2003">
        <f t="shared" si="39"/>
        <v>0</v>
      </c>
      <c r="J53" s="2003">
        <f t="shared" si="39"/>
        <v>0</v>
      </c>
      <c r="K53" s="2003">
        <f t="shared" si="39"/>
        <v>0</v>
      </c>
      <c r="L53" s="2003">
        <f t="shared" si="39"/>
        <v>0</v>
      </c>
      <c r="M53" s="2003">
        <f t="shared" si="39"/>
        <v>0</v>
      </c>
      <c r="N53" s="2003">
        <f t="shared" si="39"/>
        <v>0</v>
      </c>
      <c r="O53" s="2004">
        <f t="shared" si="39"/>
        <v>0</v>
      </c>
      <c r="P53" s="1998"/>
      <c r="Q53" s="2278"/>
      <c r="R53" s="2278"/>
      <c r="S53" s="2278"/>
      <c r="T53" s="2278"/>
      <c r="U53" s="2278"/>
      <c r="V53" s="2278"/>
      <c r="W53" s="2278"/>
      <c r="X53" s="2278"/>
      <c r="Y53" s="2278"/>
      <c r="Z53" s="2278"/>
      <c r="AA53" s="2278"/>
      <c r="AB53" s="2279"/>
    </row>
    <row r="54" spans="1:34" x14ac:dyDescent="0.2">
      <c r="A54" s="2256"/>
      <c r="B54" s="2280" t="s">
        <v>1848</v>
      </c>
      <c r="C54" s="2005" t="s">
        <v>1828</v>
      </c>
      <c r="D54" s="1996">
        <v>374165</v>
      </c>
      <c r="E54" s="1996">
        <v>375592</v>
      </c>
      <c r="F54" s="1996">
        <f>E55</f>
        <v>376833</v>
      </c>
      <c r="G54" s="1996">
        <f t="shared" ref="G54:O54" si="40">F55</f>
        <v>378345</v>
      </c>
      <c r="H54" s="1996">
        <f t="shared" si="40"/>
        <v>0</v>
      </c>
      <c r="I54" s="1996">
        <f t="shared" si="40"/>
        <v>0</v>
      </c>
      <c r="J54" s="1996">
        <f t="shared" si="40"/>
        <v>0</v>
      </c>
      <c r="K54" s="1996">
        <f t="shared" si="40"/>
        <v>0</v>
      </c>
      <c r="L54" s="1996">
        <f t="shared" si="40"/>
        <v>0</v>
      </c>
      <c r="M54" s="1996">
        <f t="shared" si="40"/>
        <v>0</v>
      </c>
      <c r="N54" s="1996">
        <f t="shared" si="40"/>
        <v>0</v>
      </c>
      <c r="O54" s="1996">
        <f t="shared" si="40"/>
        <v>0</v>
      </c>
      <c r="P54" s="1998"/>
      <c r="Q54" s="2278"/>
      <c r="R54" s="2278"/>
      <c r="S54" s="2278"/>
      <c r="T54" s="2278"/>
      <c r="U54" s="2278"/>
      <c r="V54" s="2278"/>
      <c r="W54" s="2278"/>
      <c r="X54" s="2278"/>
      <c r="Y54" s="2278"/>
      <c r="Z54" s="2278"/>
      <c r="AA54" s="2278"/>
      <c r="AB54" s="2279"/>
      <c r="AE54" s="1912">
        <v>374165</v>
      </c>
    </row>
    <row r="55" spans="1:34" x14ac:dyDescent="0.2">
      <c r="A55" s="2256"/>
      <c r="B55" s="2274"/>
      <c r="C55" s="1995" t="s">
        <v>1829</v>
      </c>
      <c r="D55" s="1996">
        <v>375592</v>
      </c>
      <c r="E55" s="1996">
        <v>376833</v>
      </c>
      <c r="F55" s="1996">
        <v>378345</v>
      </c>
      <c r="G55" s="1996"/>
      <c r="H55" s="1996"/>
      <c r="I55" s="1996"/>
      <c r="J55" s="1996"/>
      <c r="K55" s="1996"/>
      <c r="L55" s="1996"/>
      <c r="M55" s="1996"/>
      <c r="N55" s="1996"/>
      <c r="O55" s="1997"/>
      <c r="P55" s="1998"/>
      <c r="Q55" s="2278"/>
      <c r="R55" s="2278"/>
      <c r="S55" s="2278"/>
      <c r="T55" s="2278"/>
      <c r="U55" s="2278"/>
      <c r="V55" s="2278"/>
      <c r="W55" s="2278"/>
      <c r="X55" s="2278"/>
      <c r="Y55" s="2278"/>
      <c r="Z55" s="2278"/>
      <c r="AA55" s="2278"/>
      <c r="AB55" s="2279"/>
      <c r="AE55" s="1912">
        <v>-334740</v>
      </c>
    </row>
    <row r="56" spans="1:34" x14ac:dyDescent="0.2">
      <c r="A56" s="2256"/>
      <c r="B56" s="2274"/>
      <c r="C56" s="1995" t="s">
        <v>1830</v>
      </c>
      <c r="D56" s="1996">
        <f>SUM(D55-D54)</f>
        <v>1427</v>
      </c>
      <c r="E56" s="1996">
        <f t="shared" ref="E56" si="41">SUM(E55-E54)</f>
        <v>1241</v>
      </c>
      <c r="F56" s="1996">
        <f>SUM(F55-F54)</f>
        <v>1512</v>
      </c>
      <c r="G56" s="1996">
        <v>0</v>
      </c>
      <c r="H56" s="1996">
        <f t="shared" ref="H56" si="42">SUM(H55-H54)</f>
        <v>0</v>
      </c>
      <c r="I56" s="1996">
        <f>SUM(I55-I54)</f>
        <v>0</v>
      </c>
      <c r="J56" s="1996">
        <f t="shared" ref="J56:O56" si="43">SUM(J55-J54)</f>
        <v>0</v>
      </c>
      <c r="K56" s="1996">
        <f t="shared" si="43"/>
        <v>0</v>
      </c>
      <c r="L56" s="1996">
        <f t="shared" si="43"/>
        <v>0</v>
      </c>
      <c r="M56" s="1996">
        <f t="shared" si="43"/>
        <v>0</v>
      </c>
      <c r="N56" s="1996">
        <f t="shared" si="43"/>
        <v>0</v>
      </c>
      <c r="O56" s="1999">
        <f t="shared" si="43"/>
        <v>0</v>
      </c>
      <c r="P56" s="1998"/>
      <c r="Q56" s="2278"/>
      <c r="R56" s="2278"/>
      <c r="S56" s="2278"/>
      <c r="T56" s="2278"/>
      <c r="U56" s="2278"/>
      <c r="V56" s="2278"/>
      <c r="W56" s="2278"/>
      <c r="X56" s="2278"/>
      <c r="Y56" s="2278"/>
      <c r="Z56" s="2278"/>
      <c r="AA56" s="2278"/>
      <c r="AB56" s="2279"/>
      <c r="AE56" s="1912">
        <f>SUM(AE54:AE55)</f>
        <v>39425</v>
      </c>
    </row>
    <row r="57" spans="1:34" x14ac:dyDescent="0.2">
      <c r="A57" s="2256"/>
      <c r="B57" s="2274"/>
      <c r="C57" s="1995" t="s">
        <v>1831</v>
      </c>
      <c r="D57" s="2000">
        <v>19.190000000000001</v>
      </c>
      <c r="E57" s="2000">
        <v>19.190000000000001</v>
      </c>
      <c r="F57" s="2000">
        <v>19.190000000000001</v>
      </c>
      <c r="G57" s="2000">
        <v>19.190000000000001</v>
      </c>
      <c r="H57" s="2000">
        <v>19.57</v>
      </c>
      <c r="I57" s="2000">
        <v>19.57</v>
      </c>
      <c r="J57" s="2000">
        <v>19.57</v>
      </c>
      <c r="K57" s="2000">
        <v>19.57</v>
      </c>
      <c r="L57" s="2000">
        <v>19.57</v>
      </c>
      <c r="M57" s="2000">
        <v>19.57</v>
      </c>
      <c r="N57" s="2000">
        <v>19.57</v>
      </c>
      <c r="O57" s="2001">
        <v>19.57</v>
      </c>
      <c r="P57" s="1998"/>
      <c r="Q57" s="2278"/>
      <c r="R57" s="2278"/>
      <c r="S57" s="2278"/>
      <c r="T57" s="2278"/>
      <c r="U57" s="2278"/>
      <c r="V57" s="2278"/>
      <c r="W57" s="2278"/>
      <c r="X57" s="2278"/>
      <c r="Y57" s="2278"/>
      <c r="Z57" s="2278"/>
      <c r="AA57" s="2278"/>
      <c r="AB57" s="2279"/>
    </row>
    <row r="58" spans="1:34" x14ac:dyDescent="0.2">
      <c r="A58" s="2256"/>
      <c r="B58" s="2275"/>
      <c r="C58" s="2002" t="s">
        <v>1832</v>
      </c>
      <c r="D58" s="2003">
        <f>D56*D57</f>
        <v>27384.13</v>
      </c>
      <c r="E58" s="2003">
        <f t="shared" ref="E58:O58" si="44">E56*E57</f>
        <v>23814.79</v>
      </c>
      <c r="F58" s="2003">
        <f t="shared" si="44"/>
        <v>29015.280000000002</v>
      </c>
      <c r="G58" s="2003">
        <f t="shared" si="44"/>
        <v>0</v>
      </c>
      <c r="H58" s="2003">
        <f t="shared" si="44"/>
        <v>0</v>
      </c>
      <c r="I58" s="2003">
        <f t="shared" si="44"/>
        <v>0</v>
      </c>
      <c r="J58" s="2003">
        <f t="shared" si="44"/>
        <v>0</v>
      </c>
      <c r="K58" s="2003">
        <f t="shared" si="44"/>
        <v>0</v>
      </c>
      <c r="L58" s="2003">
        <f t="shared" si="44"/>
        <v>0</v>
      </c>
      <c r="M58" s="2003">
        <f t="shared" si="44"/>
        <v>0</v>
      </c>
      <c r="N58" s="2003">
        <f t="shared" si="44"/>
        <v>0</v>
      </c>
      <c r="O58" s="2004">
        <f t="shared" si="44"/>
        <v>0</v>
      </c>
      <c r="P58" s="1998"/>
      <c r="Q58" s="2278"/>
      <c r="R58" s="2278"/>
      <c r="S58" s="2278"/>
      <c r="T58" s="2278"/>
      <c r="U58" s="2278"/>
      <c r="V58" s="2278"/>
      <c r="W58" s="2278"/>
      <c r="X58" s="2278"/>
      <c r="Y58" s="2278"/>
      <c r="Z58" s="2278"/>
      <c r="AA58" s="2278"/>
      <c r="AB58" s="2279"/>
      <c r="AE58" s="1912">
        <v>5024</v>
      </c>
    </row>
    <row r="59" spans="1:34" x14ac:dyDescent="0.2">
      <c r="A59" s="2256"/>
      <c r="B59" s="2280" t="s">
        <v>1849</v>
      </c>
      <c r="C59" s="2005" t="s">
        <v>1828</v>
      </c>
      <c r="D59" s="1996">
        <v>5024</v>
      </c>
      <c r="E59" s="1996">
        <v>5053</v>
      </c>
      <c r="F59" s="1996">
        <f>E60</f>
        <v>5080</v>
      </c>
      <c r="G59" s="1996">
        <f t="shared" ref="G59:O59" si="45">F60</f>
        <v>5110</v>
      </c>
      <c r="H59" s="1996">
        <f t="shared" si="45"/>
        <v>0</v>
      </c>
      <c r="I59" s="1996">
        <f t="shared" si="45"/>
        <v>0</v>
      </c>
      <c r="J59" s="1996">
        <f t="shared" si="45"/>
        <v>0</v>
      </c>
      <c r="K59" s="1996">
        <f t="shared" si="45"/>
        <v>0</v>
      </c>
      <c r="L59" s="1996">
        <f t="shared" si="45"/>
        <v>0</v>
      </c>
      <c r="M59" s="1996">
        <f t="shared" si="45"/>
        <v>0</v>
      </c>
      <c r="N59" s="1996">
        <f t="shared" si="45"/>
        <v>0</v>
      </c>
      <c r="O59" s="1996">
        <f t="shared" si="45"/>
        <v>0</v>
      </c>
      <c r="P59" s="1998"/>
      <c r="Q59" s="2278"/>
      <c r="R59" s="2278"/>
      <c r="S59" s="2278"/>
      <c r="T59" s="2278"/>
      <c r="U59" s="2278"/>
      <c r="V59" s="2278"/>
      <c r="W59" s="2278"/>
      <c r="X59" s="2278"/>
      <c r="Y59" s="2278"/>
      <c r="Z59" s="2278"/>
      <c r="AA59" s="2278"/>
      <c r="AB59" s="2279"/>
    </row>
    <row r="60" spans="1:34" x14ac:dyDescent="0.2">
      <c r="A60" s="2256"/>
      <c r="B60" s="2274"/>
      <c r="C60" s="1995" t="s">
        <v>1829</v>
      </c>
      <c r="D60" s="1996">
        <v>5053</v>
      </c>
      <c r="E60" s="1996">
        <v>5080</v>
      </c>
      <c r="F60" s="1996">
        <v>5110</v>
      </c>
      <c r="G60" s="1996"/>
      <c r="H60" s="1996"/>
      <c r="I60" s="1996"/>
      <c r="J60" s="1996"/>
      <c r="K60" s="1996"/>
      <c r="L60" s="1996"/>
      <c r="M60" s="1996"/>
      <c r="N60" s="1996"/>
      <c r="O60" s="1997"/>
      <c r="P60" s="1998"/>
      <c r="Q60" s="2278"/>
      <c r="R60" s="2278"/>
      <c r="S60" s="2278"/>
      <c r="T60" s="2278"/>
      <c r="U60" s="2278"/>
      <c r="V60" s="2278"/>
      <c r="W60" s="2278"/>
      <c r="X60" s="2278"/>
      <c r="Y60" s="2278"/>
      <c r="Z60" s="2278"/>
      <c r="AA60" s="2278"/>
      <c r="AB60" s="2279"/>
    </row>
    <row r="61" spans="1:34" x14ac:dyDescent="0.2">
      <c r="A61" s="2256"/>
      <c r="B61" s="2274"/>
      <c r="C61" s="1995" t="s">
        <v>1830</v>
      </c>
      <c r="D61" s="1996">
        <f>SUM(D60-D59)</f>
        <v>29</v>
      </c>
      <c r="E61" s="1996">
        <f t="shared" ref="E61" si="46">SUM(E60-E59)</f>
        <v>27</v>
      </c>
      <c r="F61" s="1996">
        <f>SUM(F60-F59)</f>
        <v>30</v>
      </c>
      <c r="G61" s="1996">
        <v>0</v>
      </c>
      <c r="H61" s="1996">
        <f t="shared" ref="H61" si="47">SUM(H60-H59)</f>
        <v>0</v>
      </c>
      <c r="I61" s="1996">
        <f>SUM(I60-I59)</f>
        <v>0</v>
      </c>
      <c r="J61" s="1996">
        <f t="shared" ref="J61:O61" si="48">SUM(J60-J59)</f>
        <v>0</v>
      </c>
      <c r="K61" s="1996">
        <f t="shared" si="48"/>
        <v>0</v>
      </c>
      <c r="L61" s="1996">
        <f t="shared" si="48"/>
        <v>0</v>
      </c>
      <c r="M61" s="1996">
        <f t="shared" si="48"/>
        <v>0</v>
      </c>
      <c r="N61" s="1996">
        <f t="shared" si="48"/>
        <v>0</v>
      </c>
      <c r="O61" s="1999">
        <f t="shared" si="48"/>
        <v>0</v>
      </c>
      <c r="P61" s="1998"/>
      <c r="Q61" s="2278"/>
      <c r="R61" s="2278"/>
      <c r="S61" s="2278"/>
      <c r="T61" s="2278"/>
      <c r="U61" s="2278"/>
      <c r="V61" s="2278"/>
      <c r="W61" s="2278"/>
      <c r="X61" s="2278"/>
      <c r="Y61" s="2278"/>
      <c r="Z61" s="2278"/>
      <c r="AA61" s="2278"/>
      <c r="AB61" s="2279"/>
    </row>
    <row r="62" spans="1:34" x14ac:dyDescent="0.2">
      <c r="A62" s="2256"/>
      <c r="B62" s="2274"/>
      <c r="C62" s="1995" t="s">
        <v>1831</v>
      </c>
      <c r="D62" s="2000">
        <v>19.190000000000001</v>
      </c>
      <c r="E62" s="2000">
        <v>19.190000000000001</v>
      </c>
      <c r="F62" s="2000">
        <v>19.190000000000001</v>
      </c>
      <c r="G62" s="2000">
        <v>19.190000000000001</v>
      </c>
      <c r="H62" s="2000">
        <v>19.57</v>
      </c>
      <c r="I62" s="2000">
        <v>19.57</v>
      </c>
      <c r="J62" s="2000">
        <v>19.57</v>
      </c>
      <c r="K62" s="2000">
        <v>19.57</v>
      </c>
      <c r="L62" s="2000">
        <v>19.57</v>
      </c>
      <c r="M62" s="2000">
        <v>19.57</v>
      </c>
      <c r="N62" s="2000">
        <v>19.57</v>
      </c>
      <c r="O62" s="2001">
        <v>19.57</v>
      </c>
      <c r="P62" s="1998"/>
      <c r="Q62" s="2278"/>
      <c r="R62" s="2278"/>
      <c r="S62" s="2278"/>
      <c r="T62" s="2278"/>
      <c r="U62" s="2278"/>
      <c r="V62" s="2278"/>
      <c r="W62" s="2278"/>
      <c r="X62" s="2278"/>
      <c r="Y62" s="2278"/>
      <c r="Z62" s="2278"/>
      <c r="AA62" s="2278"/>
      <c r="AB62" s="2279"/>
      <c r="AE62" s="1912">
        <v>2052</v>
      </c>
      <c r="AG62" s="1984">
        <f>SUM(AE62,AE58,AE56,AE51,AE46)</f>
        <v>601765</v>
      </c>
      <c r="AH62" s="1912" t="s">
        <v>1850</v>
      </c>
    </row>
    <row r="63" spans="1:34" x14ac:dyDescent="0.2">
      <c r="A63" s="2256"/>
      <c r="B63" s="2275"/>
      <c r="C63" s="2002" t="s">
        <v>1832</v>
      </c>
      <c r="D63" s="2003">
        <f>D61*D62</f>
        <v>556.51</v>
      </c>
      <c r="E63" s="2003">
        <f t="shared" ref="E63:O63" si="49">E61*E62</f>
        <v>518.13</v>
      </c>
      <c r="F63" s="2003">
        <f t="shared" si="49"/>
        <v>575.70000000000005</v>
      </c>
      <c r="G63" s="2003">
        <f t="shared" si="49"/>
        <v>0</v>
      </c>
      <c r="H63" s="2003">
        <f t="shared" si="49"/>
        <v>0</v>
      </c>
      <c r="I63" s="2003">
        <f t="shared" si="49"/>
        <v>0</v>
      </c>
      <c r="J63" s="2003">
        <f t="shared" si="49"/>
        <v>0</v>
      </c>
      <c r="K63" s="2003">
        <f t="shared" si="49"/>
        <v>0</v>
      </c>
      <c r="L63" s="2003">
        <f t="shared" si="49"/>
        <v>0</v>
      </c>
      <c r="M63" s="2003">
        <f t="shared" si="49"/>
        <v>0</v>
      </c>
      <c r="N63" s="2003">
        <f t="shared" si="49"/>
        <v>0</v>
      </c>
      <c r="O63" s="2004">
        <f t="shared" si="49"/>
        <v>0</v>
      </c>
      <c r="P63" s="1998"/>
      <c r="Q63" s="2278"/>
      <c r="R63" s="2278"/>
      <c r="S63" s="2278"/>
      <c r="T63" s="2278"/>
      <c r="U63" s="2278"/>
      <c r="V63" s="2278"/>
      <c r="W63" s="2278"/>
      <c r="X63" s="2278"/>
      <c r="Y63" s="2278"/>
      <c r="Z63" s="2278"/>
      <c r="AA63" s="2278"/>
      <c r="AB63" s="2279"/>
    </row>
    <row r="64" spans="1:34" x14ac:dyDescent="0.2">
      <c r="A64" s="2256"/>
      <c r="B64" s="2006"/>
      <c r="C64" s="2005" t="s">
        <v>1828</v>
      </c>
      <c r="D64" s="1996">
        <v>2052</v>
      </c>
      <c r="E64" s="1996">
        <v>2199</v>
      </c>
      <c r="F64" s="1996">
        <f>E65</f>
        <v>2299</v>
      </c>
      <c r="G64" s="1996">
        <f t="shared" ref="G64:O64" si="50">F65</f>
        <v>2401</v>
      </c>
      <c r="H64" s="1996">
        <f t="shared" si="50"/>
        <v>0</v>
      </c>
      <c r="I64" s="1996">
        <f t="shared" si="50"/>
        <v>0</v>
      </c>
      <c r="J64" s="1996">
        <f t="shared" si="50"/>
        <v>0</v>
      </c>
      <c r="K64" s="1996">
        <f t="shared" si="50"/>
        <v>0</v>
      </c>
      <c r="L64" s="1996">
        <f t="shared" si="50"/>
        <v>0</v>
      </c>
      <c r="M64" s="1996">
        <f t="shared" si="50"/>
        <v>0</v>
      </c>
      <c r="N64" s="1996">
        <f t="shared" si="50"/>
        <v>0</v>
      </c>
      <c r="O64" s="1996">
        <f t="shared" si="50"/>
        <v>0</v>
      </c>
      <c r="P64" s="1998"/>
      <c r="Q64" s="2278"/>
      <c r="R64" s="2278"/>
      <c r="S64" s="2278"/>
      <c r="T64" s="2278"/>
      <c r="U64" s="2278"/>
      <c r="V64" s="2278"/>
      <c r="W64" s="2278"/>
      <c r="X64" s="2278"/>
      <c r="Y64" s="2278"/>
      <c r="Z64" s="2278"/>
      <c r="AA64" s="2278"/>
      <c r="AB64" s="2279"/>
    </row>
    <row r="65" spans="1:30" x14ac:dyDescent="0.2">
      <c r="A65" s="2256"/>
      <c r="B65" s="2006" t="s">
        <v>1851</v>
      </c>
      <c r="C65" s="1995" t="s">
        <v>1829</v>
      </c>
      <c r="D65" s="1996">
        <v>2199</v>
      </c>
      <c r="E65" s="1996">
        <v>2299</v>
      </c>
      <c r="F65" s="1996">
        <v>2401</v>
      </c>
      <c r="G65" s="1996"/>
      <c r="H65" s="1996"/>
      <c r="I65" s="1996"/>
      <c r="J65" s="1996"/>
      <c r="K65" s="1996"/>
      <c r="L65" s="1996"/>
      <c r="M65" s="1996"/>
      <c r="N65" s="1996"/>
      <c r="O65" s="1997"/>
      <c r="P65" s="1998"/>
      <c r="Q65" s="2278"/>
      <c r="R65" s="2278"/>
      <c r="S65" s="2278"/>
      <c r="T65" s="2278"/>
      <c r="U65" s="2278"/>
      <c r="V65" s="2278"/>
      <c r="W65" s="2278"/>
      <c r="X65" s="2278"/>
      <c r="Y65" s="2278"/>
      <c r="Z65" s="2278"/>
      <c r="AA65" s="2278"/>
      <c r="AB65" s="2279"/>
    </row>
    <row r="66" spans="1:30" x14ac:dyDescent="0.2">
      <c r="A66" s="2256"/>
      <c r="B66" s="2006" t="s">
        <v>1852</v>
      </c>
      <c r="C66" s="1995" t="s">
        <v>1830</v>
      </c>
      <c r="D66" s="1996">
        <f>SUM(D65-D64)</f>
        <v>147</v>
      </c>
      <c r="E66" s="1996">
        <f t="shared" ref="E66" si="51">SUM(E65-E64)</f>
        <v>100</v>
      </c>
      <c r="F66" s="1996">
        <f>SUM(F65-F64)</f>
        <v>102</v>
      </c>
      <c r="G66" s="1996">
        <v>0</v>
      </c>
      <c r="H66" s="1996">
        <f t="shared" ref="H66" si="52">SUM(H65-H64)</f>
        <v>0</v>
      </c>
      <c r="I66" s="1996">
        <f>SUM(I65-I64)</f>
        <v>0</v>
      </c>
      <c r="J66" s="1996">
        <f t="shared" ref="J66:O66" si="53">SUM(J65-J64)</f>
        <v>0</v>
      </c>
      <c r="K66" s="1996">
        <f t="shared" si="53"/>
        <v>0</v>
      </c>
      <c r="L66" s="1996">
        <f t="shared" si="53"/>
        <v>0</v>
      </c>
      <c r="M66" s="1996">
        <f t="shared" si="53"/>
        <v>0</v>
      </c>
      <c r="N66" s="1996">
        <f t="shared" si="53"/>
        <v>0</v>
      </c>
      <c r="O66" s="1999">
        <f t="shared" si="53"/>
        <v>0</v>
      </c>
      <c r="P66" s="1998"/>
      <c r="Q66" s="2278"/>
      <c r="R66" s="2278"/>
      <c r="S66" s="2278"/>
      <c r="T66" s="2278"/>
      <c r="U66" s="2278"/>
      <c r="V66" s="2278"/>
      <c r="W66" s="2278"/>
      <c r="X66" s="2278"/>
      <c r="Y66" s="2278"/>
      <c r="Z66" s="2278"/>
      <c r="AA66" s="2278"/>
      <c r="AB66" s="2279"/>
    </row>
    <row r="67" spans="1:30" x14ac:dyDescent="0.2">
      <c r="A67" s="2256"/>
      <c r="B67" s="2006"/>
      <c r="C67" s="1995" t="s">
        <v>1831</v>
      </c>
      <c r="D67" s="2000">
        <v>19.190000000000001</v>
      </c>
      <c r="E67" s="2000">
        <v>19.190000000000001</v>
      </c>
      <c r="F67" s="2000">
        <v>19.190000000000001</v>
      </c>
      <c r="G67" s="2000">
        <v>19.190000000000001</v>
      </c>
      <c r="H67" s="2000">
        <v>19.57</v>
      </c>
      <c r="I67" s="2000">
        <v>19.57</v>
      </c>
      <c r="J67" s="2000">
        <v>19.57</v>
      </c>
      <c r="K67" s="2000">
        <v>19.57</v>
      </c>
      <c r="L67" s="2000">
        <v>19.57</v>
      </c>
      <c r="M67" s="2000">
        <v>19.57</v>
      </c>
      <c r="N67" s="2000">
        <v>19.57</v>
      </c>
      <c r="O67" s="2001">
        <v>19.57</v>
      </c>
      <c r="P67" s="1998"/>
      <c r="Q67" s="2007">
        <f>SUM(D46,D51,D56,D61,D66)</f>
        <v>30615</v>
      </c>
      <c r="R67" s="2008">
        <f t="shared" ref="R67:AB67" si="54">SUM(E46,E51,E56,E61,E66)</f>
        <v>27976</v>
      </c>
      <c r="S67" s="2008">
        <f t="shared" si="54"/>
        <v>31714</v>
      </c>
      <c r="T67" s="2008">
        <f t="shared" si="54"/>
        <v>0</v>
      </c>
      <c r="U67" s="2008">
        <f t="shared" si="54"/>
        <v>0</v>
      </c>
      <c r="V67" s="2008">
        <f t="shared" si="54"/>
        <v>0</v>
      </c>
      <c r="W67" s="2008">
        <f t="shared" si="54"/>
        <v>0</v>
      </c>
      <c r="X67" s="2008">
        <f t="shared" si="54"/>
        <v>0</v>
      </c>
      <c r="Y67" s="2008">
        <f t="shared" si="54"/>
        <v>0</v>
      </c>
      <c r="Z67" s="2008">
        <f t="shared" si="54"/>
        <v>0</v>
      </c>
      <c r="AA67" s="2008">
        <f t="shared" si="54"/>
        <v>0</v>
      </c>
      <c r="AB67" s="2009">
        <f t="shared" si="54"/>
        <v>0</v>
      </c>
      <c r="AC67" s="2010">
        <f>SUM(Q67:AB67)</f>
        <v>90305</v>
      </c>
      <c r="AD67" s="1984" t="s">
        <v>1853</v>
      </c>
    </row>
    <row r="68" spans="1:30" ht="24.75" customHeight="1" thickBot="1" x14ac:dyDescent="0.25">
      <c r="A68" s="2257"/>
      <c r="B68" s="2011"/>
      <c r="C68" s="2012" t="s">
        <v>1832</v>
      </c>
      <c r="D68" s="2013">
        <f>D66*D67</f>
        <v>2820.9300000000003</v>
      </c>
      <c r="E68" s="2013">
        <f t="shared" ref="E68:O68" si="55">E66*E67</f>
        <v>1919.0000000000002</v>
      </c>
      <c r="F68" s="2013">
        <f t="shared" si="55"/>
        <v>1957.38</v>
      </c>
      <c r="G68" s="2013">
        <f t="shared" si="55"/>
        <v>0</v>
      </c>
      <c r="H68" s="2013">
        <f t="shared" si="55"/>
        <v>0</v>
      </c>
      <c r="I68" s="2013">
        <f t="shared" si="55"/>
        <v>0</v>
      </c>
      <c r="J68" s="2013">
        <f t="shared" si="55"/>
        <v>0</v>
      </c>
      <c r="K68" s="2013">
        <f t="shared" si="55"/>
        <v>0</v>
      </c>
      <c r="L68" s="2013">
        <f t="shared" si="55"/>
        <v>0</v>
      </c>
      <c r="M68" s="2013">
        <f t="shared" si="55"/>
        <v>0</v>
      </c>
      <c r="N68" s="2013">
        <f t="shared" si="55"/>
        <v>0</v>
      </c>
      <c r="O68" s="2014">
        <f t="shared" si="55"/>
        <v>0</v>
      </c>
      <c r="P68" s="2015"/>
      <c r="Q68" s="2016">
        <f>SUM(D48,D53,D58,D63,D68)</f>
        <v>587501.85000000009</v>
      </c>
      <c r="R68" s="2017">
        <f t="shared" ref="R68:AB68" si="56">SUM(E48,E53,E58,E63,E68)</f>
        <v>536859.44000000006</v>
      </c>
      <c r="S68" s="2017">
        <f t="shared" si="56"/>
        <v>608591.66</v>
      </c>
      <c r="T68" s="2017">
        <f t="shared" si="56"/>
        <v>0</v>
      </c>
      <c r="U68" s="2017">
        <f t="shared" si="56"/>
        <v>0</v>
      </c>
      <c r="V68" s="2017">
        <f t="shared" si="56"/>
        <v>0</v>
      </c>
      <c r="W68" s="2017">
        <f t="shared" si="56"/>
        <v>0</v>
      </c>
      <c r="X68" s="2017">
        <f t="shared" si="56"/>
        <v>0</v>
      </c>
      <c r="Y68" s="2017">
        <f t="shared" si="56"/>
        <v>0</v>
      </c>
      <c r="Z68" s="2017">
        <f t="shared" si="56"/>
        <v>0</v>
      </c>
      <c r="AA68" s="2017">
        <f t="shared" si="56"/>
        <v>0</v>
      </c>
      <c r="AB68" s="2018">
        <f t="shared" si="56"/>
        <v>0</v>
      </c>
      <c r="AC68" s="2019">
        <f>SUM(Q68:AB68)</f>
        <v>1732952.9500000002</v>
      </c>
      <c r="AD68" s="2020" t="s">
        <v>1854</v>
      </c>
    </row>
    <row r="69" spans="1:30" ht="12.75" thickBot="1" x14ac:dyDescent="0.25">
      <c r="A69" s="2021"/>
      <c r="B69" s="1951"/>
      <c r="C69" s="1952"/>
      <c r="D69" s="1953">
        <f>+D66+D61+D56+D51+D46+D41+D36+D31+D26-D21</f>
        <v>-7324</v>
      </c>
      <c r="E69" s="1953">
        <f t="shared" ref="E69:O69" si="57">+E66+E61+E56+E51+E46+E41+E36+E31+E26-E21</f>
        <v>-6780</v>
      </c>
      <c r="F69" s="1953">
        <f t="shared" si="57"/>
        <v>-7635</v>
      </c>
      <c r="G69" s="1953">
        <f t="shared" si="57"/>
        <v>0</v>
      </c>
      <c r="H69" s="1953">
        <f t="shared" si="57"/>
        <v>0</v>
      </c>
      <c r="I69" s="1953">
        <f t="shared" si="57"/>
        <v>0</v>
      </c>
      <c r="J69" s="1953">
        <f t="shared" si="57"/>
        <v>0</v>
      </c>
      <c r="K69" s="1953">
        <f t="shared" si="57"/>
        <v>0</v>
      </c>
      <c r="L69" s="1953">
        <f t="shared" si="57"/>
        <v>0</v>
      </c>
      <c r="M69" s="1953">
        <f t="shared" si="57"/>
        <v>0</v>
      </c>
      <c r="N69" s="1953">
        <f t="shared" si="57"/>
        <v>0</v>
      </c>
      <c r="O69" s="1953">
        <f t="shared" si="57"/>
        <v>0</v>
      </c>
      <c r="P69" s="2022"/>
      <c r="Q69" s="2023"/>
      <c r="R69" s="2024"/>
      <c r="S69" s="2024"/>
      <c r="T69" s="2024"/>
      <c r="U69" s="2024"/>
      <c r="V69" s="2024"/>
      <c r="W69" s="2024"/>
      <c r="X69" s="2024"/>
      <c r="Y69" s="2024"/>
      <c r="Z69" s="2024"/>
      <c r="AA69" s="2024"/>
      <c r="AB69" s="2024"/>
      <c r="AC69" s="2025">
        <f>SUM(Q69:AB69)</f>
        <v>0</v>
      </c>
      <c r="AD69" s="2026"/>
    </row>
    <row r="70" spans="1:30" ht="12.75" hidden="1" thickBot="1" x14ac:dyDescent="0.25">
      <c r="A70" s="2027"/>
      <c r="B70" s="2028"/>
      <c r="C70" s="2029"/>
      <c r="D70" s="2030"/>
      <c r="E70" s="2030"/>
      <c r="F70" s="2030"/>
      <c r="G70" s="2030"/>
      <c r="H70" s="2030"/>
      <c r="I70" s="2030"/>
      <c r="J70" s="2030"/>
      <c r="K70" s="2030"/>
      <c r="L70" s="2030"/>
      <c r="M70" s="2030"/>
      <c r="N70" s="2030"/>
      <c r="O70" s="2030"/>
      <c r="P70" s="1994"/>
      <c r="Q70" s="2023"/>
      <c r="R70" s="2024"/>
      <c r="S70" s="2024"/>
      <c r="T70" s="2024"/>
      <c r="U70" s="2024"/>
      <c r="V70" s="2024"/>
      <c r="W70" s="2024"/>
      <c r="X70" s="2024"/>
      <c r="Y70" s="2024"/>
      <c r="Z70" s="2024"/>
      <c r="AA70" s="2024"/>
      <c r="AB70" s="2024"/>
      <c r="AC70" s="2025"/>
      <c r="AD70" s="2026"/>
    </row>
    <row r="71" spans="1:30" ht="15" customHeight="1" x14ac:dyDescent="0.2">
      <c r="A71" s="2255" t="s">
        <v>1855</v>
      </c>
      <c r="B71" s="2258"/>
      <c r="C71" s="1992" t="s">
        <v>1856</v>
      </c>
      <c r="D71" s="2031"/>
      <c r="E71" s="2031"/>
      <c r="F71" s="2031"/>
      <c r="G71" s="2031"/>
      <c r="H71" s="2031"/>
      <c r="I71" s="2031"/>
      <c r="J71" s="2031"/>
      <c r="K71" s="2031"/>
      <c r="L71" s="2031"/>
      <c r="M71" s="2031"/>
      <c r="N71" s="2031"/>
      <c r="O71" s="2031"/>
      <c r="P71" s="1935"/>
    </row>
    <row r="72" spans="1:30" x14ac:dyDescent="0.2">
      <c r="A72" s="2256"/>
      <c r="B72" s="2259"/>
      <c r="C72" s="1995" t="s">
        <v>1829</v>
      </c>
      <c r="D72" s="2032"/>
      <c r="E72" s="2032"/>
      <c r="F72" s="2032"/>
      <c r="G72" s="2032"/>
      <c r="H72" s="2032"/>
      <c r="I72" s="2032"/>
      <c r="J72" s="2032"/>
      <c r="K72" s="2032"/>
      <c r="L72" s="2032"/>
      <c r="M72" s="2032"/>
      <c r="N72" s="2032"/>
      <c r="O72" s="2033"/>
      <c r="P72" s="1926"/>
    </row>
    <row r="73" spans="1:30" x14ac:dyDescent="0.2">
      <c r="A73" s="2256"/>
      <c r="B73" s="2259"/>
      <c r="C73" s="1995" t="s">
        <v>1830</v>
      </c>
      <c r="D73" s="2032"/>
      <c r="E73" s="2032"/>
      <c r="F73" s="2032"/>
      <c r="G73" s="2032"/>
      <c r="H73" s="2032"/>
      <c r="I73" s="2032"/>
      <c r="J73" s="2032"/>
      <c r="K73" s="2032"/>
      <c r="L73" s="2032"/>
      <c r="M73" s="2032"/>
      <c r="N73" s="2032"/>
      <c r="O73" s="2034"/>
      <c r="P73" s="1926">
        <f>SUM(D73:O73)</f>
        <v>0</v>
      </c>
    </row>
    <row r="74" spans="1:30" x14ac:dyDescent="0.2">
      <c r="A74" s="2256"/>
      <c r="B74" s="2259"/>
      <c r="C74" s="1995" t="s">
        <v>1857</v>
      </c>
      <c r="D74" s="2035">
        <v>50.67</v>
      </c>
      <c r="E74" s="2035">
        <v>50.67</v>
      </c>
      <c r="F74" s="2035">
        <v>50.67</v>
      </c>
      <c r="G74" s="2035">
        <v>50.67</v>
      </c>
      <c r="H74" s="2035">
        <v>50.67</v>
      </c>
      <c r="I74" s="2035">
        <v>50.67</v>
      </c>
      <c r="J74" s="2035">
        <v>50.67</v>
      </c>
      <c r="K74" s="2035">
        <v>50.67</v>
      </c>
      <c r="L74" s="2035">
        <v>50.67</v>
      </c>
      <c r="M74" s="2035">
        <v>50.67</v>
      </c>
      <c r="N74" s="2035">
        <v>50.67</v>
      </c>
      <c r="O74" s="2036">
        <v>50.67</v>
      </c>
      <c r="P74" s="1926"/>
    </row>
    <row r="75" spans="1:30" ht="12.75" thickBot="1" x14ac:dyDescent="0.25">
      <c r="A75" s="2257"/>
      <c r="B75" s="2260"/>
      <c r="C75" s="2012" t="s">
        <v>1832</v>
      </c>
      <c r="D75" s="2037">
        <f>SUM(D74*D73)</f>
        <v>0</v>
      </c>
      <c r="E75" s="2037">
        <f>SUM(E74*E73)</f>
        <v>0</v>
      </c>
      <c r="F75" s="2037">
        <f>SUM(F74*F73)</f>
        <v>0</v>
      </c>
      <c r="G75" s="2037">
        <f t="shared" ref="G75" si="58">SUM(G74*G73)</f>
        <v>0</v>
      </c>
      <c r="H75" s="2037">
        <f>SUM(H74*H73)</f>
        <v>0</v>
      </c>
      <c r="I75" s="2037">
        <f>SUM(I74*I73)</f>
        <v>0</v>
      </c>
      <c r="J75" s="2037">
        <f t="shared" ref="J75:O75" si="59">SUM(J74*J73)</f>
        <v>0</v>
      </c>
      <c r="K75" s="2037">
        <f t="shared" si="59"/>
        <v>0</v>
      </c>
      <c r="L75" s="2037">
        <f t="shared" si="59"/>
        <v>0</v>
      </c>
      <c r="M75" s="2037">
        <f t="shared" si="59"/>
        <v>0</v>
      </c>
      <c r="N75" s="2037">
        <f t="shared" si="59"/>
        <v>0</v>
      </c>
      <c r="O75" s="2038">
        <f t="shared" si="59"/>
        <v>0</v>
      </c>
      <c r="P75" s="1945"/>
    </row>
    <row r="76" spans="1:30" ht="12.75" thickBot="1" x14ac:dyDescent="0.25">
      <c r="A76" s="2027"/>
      <c r="B76" s="2028"/>
      <c r="C76" s="2029"/>
      <c r="D76" s="2030"/>
      <c r="E76" s="2030"/>
      <c r="F76" s="2030"/>
      <c r="G76" s="2030"/>
      <c r="H76" s="2030"/>
      <c r="I76" s="2030"/>
      <c r="J76" s="2030"/>
      <c r="K76" s="2030"/>
      <c r="L76" s="2030"/>
      <c r="M76" s="2030"/>
      <c r="N76" s="2030"/>
      <c r="O76" s="2030"/>
      <c r="P76" s="1994"/>
      <c r="Q76" s="2023"/>
      <c r="R76" s="2024"/>
      <c r="S76" s="2024"/>
      <c r="T76" s="2024"/>
      <c r="U76" s="2024"/>
      <c r="V76" s="2024"/>
      <c r="W76" s="2024"/>
      <c r="X76" s="2024"/>
      <c r="Y76" s="2024"/>
      <c r="Z76" s="2024"/>
      <c r="AA76" s="2024"/>
      <c r="AB76" s="2024"/>
      <c r="AC76" s="2025"/>
      <c r="AD76" s="2026"/>
    </row>
    <row r="77" spans="1:30" ht="15" customHeight="1" x14ac:dyDescent="0.2">
      <c r="A77" s="2261" t="s">
        <v>1858</v>
      </c>
      <c r="B77" s="2264" t="s">
        <v>1859</v>
      </c>
      <c r="C77" s="2039" t="s">
        <v>1856</v>
      </c>
      <c r="D77" s="2040">
        <v>65577</v>
      </c>
      <c r="E77" s="2040">
        <v>66563</v>
      </c>
      <c r="F77" s="2040">
        <f>E78</f>
        <v>67488</v>
      </c>
      <c r="G77" s="2040">
        <f t="shared" ref="G77:O77" si="60">F78</f>
        <v>0</v>
      </c>
      <c r="H77" s="2040">
        <f t="shared" si="60"/>
        <v>0</v>
      </c>
      <c r="I77" s="2040">
        <f t="shared" si="60"/>
        <v>0</v>
      </c>
      <c r="J77" s="2040">
        <f t="shared" si="60"/>
        <v>0</v>
      </c>
      <c r="K77" s="2040">
        <f t="shared" si="60"/>
        <v>0</v>
      </c>
      <c r="L77" s="2040">
        <f t="shared" si="60"/>
        <v>0</v>
      </c>
      <c r="M77" s="2040">
        <f t="shared" si="60"/>
        <v>0</v>
      </c>
      <c r="N77" s="2040">
        <f t="shared" si="60"/>
        <v>0</v>
      </c>
      <c r="O77" s="2040">
        <f t="shared" si="60"/>
        <v>0</v>
      </c>
      <c r="P77" s="1935"/>
    </row>
    <row r="78" spans="1:30" x14ac:dyDescent="0.2">
      <c r="A78" s="2262"/>
      <c r="B78" s="2265"/>
      <c r="C78" s="2041" t="s">
        <v>1829</v>
      </c>
      <c r="D78" s="2042">
        <v>66563</v>
      </c>
      <c r="E78" s="2042">
        <v>67488</v>
      </c>
      <c r="F78" s="2042"/>
      <c r="G78" s="2042"/>
      <c r="H78" s="2042"/>
      <c r="I78" s="2042"/>
      <c r="J78" s="2042"/>
      <c r="K78" s="2042"/>
      <c r="L78" s="2042"/>
      <c r="M78" s="2042"/>
      <c r="N78" s="2042"/>
      <c r="O78" s="2043"/>
      <c r="P78" s="1926"/>
    </row>
    <row r="79" spans="1:30" x14ac:dyDescent="0.2">
      <c r="A79" s="2262"/>
      <c r="B79" s="2265"/>
      <c r="C79" s="2041" t="s">
        <v>1830</v>
      </c>
      <c r="D79" s="2042">
        <f>SUM(D78-D77)</f>
        <v>986</v>
      </c>
      <c r="E79" s="2042">
        <f>SUM(E78-E77)</f>
        <v>925</v>
      </c>
      <c r="F79" s="2042">
        <v>0</v>
      </c>
      <c r="G79" s="2042">
        <v>0</v>
      </c>
      <c r="H79" s="2042">
        <v>0</v>
      </c>
      <c r="I79" s="2042">
        <v>0</v>
      </c>
      <c r="J79" s="2042">
        <v>0</v>
      </c>
      <c r="K79" s="2042">
        <v>0</v>
      </c>
      <c r="L79" s="2042">
        <v>0</v>
      </c>
      <c r="M79" s="2042">
        <v>0</v>
      </c>
      <c r="N79" s="2042">
        <v>0</v>
      </c>
      <c r="O79" s="2044">
        <v>0</v>
      </c>
      <c r="P79" s="1926">
        <f>SUM(D79:O79)</f>
        <v>1911</v>
      </c>
    </row>
    <row r="80" spans="1:30" x14ac:dyDescent="0.2">
      <c r="A80" s="2262"/>
      <c r="B80" s="2265"/>
      <c r="C80" s="2041" t="s">
        <v>1857</v>
      </c>
      <c r="D80" s="2045">
        <v>31.04</v>
      </c>
      <c r="E80" s="2045">
        <v>31.04</v>
      </c>
      <c r="F80" s="2045">
        <v>31.04</v>
      </c>
      <c r="G80" s="2045">
        <v>31.04</v>
      </c>
      <c r="H80" s="2045">
        <v>31.04</v>
      </c>
      <c r="I80" s="2045">
        <v>31.04</v>
      </c>
      <c r="J80" s="2045">
        <v>31.04</v>
      </c>
      <c r="K80" s="2045">
        <v>31.04</v>
      </c>
      <c r="L80" s="2045">
        <v>31.04</v>
      </c>
      <c r="M80" s="2045">
        <v>31.04</v>
      </c>
      <c r="N80" s="2045">
        <v>31.04</v>
      </c>
      <c r="O80" s="2046">
        <v>31.04</v>
      </c>
      <c r="P80" s="1926"/>
    </row>
    <row r="81" spans="1:16" ht="12.75" thickBot="1" x14ac:dyDescent="0.25">
      <c r="A81" s="2263"/>
      <c r="B81" s="2266"/>
      <c r="C81" s="2047" t="s">
        <v>1832</v>
      </c>
      <c r="D81" s="2048">
        <f>SUM(D80*D79)</f>
        <v>30605.439999999999</v>
      </c>
      <c r="E81" s="2048">
        <f>SUM(E80*E79)</f>
        <v>28712</v>
      </c>
      <c r="F81" s="2048">
        <f>SUM(F80*F79)</f>
        <v>0</v>
      </c>
      <c r="G81" s="2048">
        <f t="shared" ref="G81:O81" si="61">SUM(G80*G79)</f>
        <v>0</v>
      </c>
      <c r="H81" s="2048">
        <f>SUM(H80*H79)</f>
        <v>0</v>
      </c>
      <c r="I81" s="2048">
        <f>SUM(I80*I79)</f>
        <v>0</v>
      </c>
      <c r="J81" s="2048">
        <f t="shared" si="61"/>
        <v>0</v>
      </c>
      <c r="K81" s="2048">
        <f t="shared" si="61"/>
        <v>0</v>
      </c>
      <c r="L81" s="2048">
        <f t="shared" si="61"/>
        <v>0</v>
      </c>
      <c r="M81" s="2048">
        <f t="shared" si="61"/>
        <v>0</v>
      </c>
      <c r="N81" s="2048">
        <f t="shared" si="61"/>
        <v>0</v>
      </c>
      <c r="O81" s="2049">
        <f t="shared" si="61"/>
        <v>0</v>
      </c>
      <c r="P81" s="1945"/>
    </row>
    <row r="82" spans="1:16" x14ac:dyDescent="0.2">
      <c r="A82" s="2267" t="s">
        <v>1860</v>
      </c>
      <c r="B82" s="2270" t="s">
        <v>1861</v>
      </c>
      <c r="C82" s="2050" t="s">
        <v>1856</v>
      </c>
      <c r="D82" s="1934">
        <v>3239</v>
      </c>
      <c r="E82" s="1934">
        <v>3668</v>
      </c>
      <c r="F82" s="1934">
        <v>3963</v>
      </c>
      <c r="G82" s="1934"/>
      <c r="H82" s="1934"/>
      <c r="I82" s="1934"/>
      <c r="J82" s="1934"/>
      <c r="K82" s="1934"/>
      <c r="L82" s="1934"/>
      <c r="M82" s="1934"/>
      <c r="N82" s="1934"/>
      <c r="O82" s="2051"/>
      <c r="P82" s="1935"/>
    </row>
    <row r="83" spans="1:16" x14ac:dyDescent="0.2">
      <c r="A83" s="2268"/>
      <c r="B83" s="2271"/>
      <c r="C83" s="2052"/>
      <c r="D83" s="1937">
        <v>24552</v>
      </c>
      <c r="E83" s="1937">
        <v>25473</v>
      </c>
      <c r="F83" s="1937">
        <v>26162</v>
      </c>
      <c r="G83" s="1937"/>
      <c r="H83" s="1937"/>
      <c r="I83" s="1937"/>
      <c r="J83" s="1937"/>
      <c r="K83" s="1937"/>
      <c r="L83" s="1937"/>
      <c r="M83" s="1937"/>
      <c r="N83" s="1937"/>
      <c r="O83" s="2053"/>
      <c r="P83" s="1926"/>
    </row>
    <row r="84" spans="1:16" x14ac:dyDescent="0.2">
      <c r="A84" s="2268"/>
      <c r="B84" s="2271"/>
      <c r="C84" s="2052" t="s">
        <v>1829</v>
      </c>
      <c r="D84" s="1937">
        <v>3668</v>
      </c>
      <c r="E84" s="1937">
        <v>3963</v>
      </c>
      <c r="F84" s="1937">
        <v>4156</v>
      </c>
      <c r="G84" s="1937"/>
      <c r="H84" s="1937"/>
      <c r="I84" s="1937"/>
      <c r="J84" s="1937"/>
      <c r="K84" s="1937"/>
      <c r="L84" s="1937"/>
      <c r="M84" s="1937"/>
      <c r="N84" s="1937"/>
      <c r="O84" s="2053"/>
      <c r="P84" s="1926"/>
    </row>
    <row r="85" spans="1:16" x14ac:dyDescent="0.2">
      <c r="A85" s="2268"/>
      <c r="B85" s="2271"/>
      <c r="C85" s="2052"/>
      <c r="D85" s="1937">
        <v>25473</v>
      </c>
      <c r="E85" s="1937">
        <v>26162</v>
      </c>
      <c r="F85" s="1937">
        <v>26655</v>
      </c>
      <c r="G85" s="1937"/>
      <c r="H85" s="1937"/>
      <c r="I85" s="1937"/>
      <c r="J85" s="1937"/>
      <c r="K85" s="1937"/>
      <c r="L85" s="1937"/>
      <c r="M85" s="1937"/>
      <c r="N85" s="1937"/>
      <c r="O85" s="2053"/>
      <c r="P85" s="1926"/>
    </row>
    <row r="86" spans="1:16" x14ac:dyDescent="0.2">
      <c r="A86" s="2268"/>
      <c r="B86" s="2271"/>
      <c r="C86" s="2052" t="s">
        <v>1830</v>
      </c>
      <c r="D86" s="1937">
        <f>SUM(D84+D85)-(D82+D83)</f>
        <v>1350</v>
      </c>
      <c r="E86" s="1937">
        <f t="shared" ref="E86:O86" si="62">SUM(E84+E85)-(E82+E83)</f>
        <v>984</v>
      </c>
      <c r="F86" s="1937">
        <f t="shared" si="62"/>
        <v>686</v>
      </c>
      <c r="G86" s="1937">
        <f t="shared" si="62"/>
        <v>0</v>
      </c>
      <c r="H86" s="1937">
        <f t="shared" si="62"/>
        <v>0</v>
      </c>
      <c r="I86" s="1937">
        <f t="shared" si="62"/>
        <v>0</v>
      </c>
      <c r="J86" s="1937">
        <f t="shared" si="62"/>
        <v>0</v>
      </c>
      <c r="K86" s="1937">
        <f t="shared" si="62"/>
        <v>0</v>
      </c>
      <c r="L86" s="1937">
        <f t="shared" si="62"/>
        <v>0</v>
      </c>
      <c r="M86" s="1937">
        <f t="shared" si="62"/>
        <v>0</v>
      </c>
      <c r="N86" s="1937">
        <f t="shared" si="62"/>
        <v>0</v>
      </c>
      <c r="O86" s="2054">
        <f t="shared" si="62"/>
        <v>0</v>
      </c>
      <c r="P86" s="1926">
        <f>SUM(D86:O86)</f>
        <v>3020</v>
      </c>
    </row>
    <row r="87" spans="1:16" x14ac:dyDescent="0.2">
      <c r="A87" s="2268"/>
      <c r="B87" s="2271"/>
      <c r="C87" s="2052" t="s">
        <v>1857</v>
      </c>
      <c r="D87" s="1940">
        <v>30.72</v>
      </c>
      <c r="E87" s="1940">
        <v>30.72</v>
      </c>
      <c r="F87" s="1940">
        <v>30.72</v>
      </c>
      <c r="G87" s="1940">
        <v>30.72</v>
      </c>
      <c r="H87" s="1940">
        <v>30.72</v>
      </c>
      <c r="I87" s="1940">
        <v>30.72</v>
      </c>
      <c r="J87" s="1940">
        <v>30.72</v>
      </c>
      <c r="K87" s="1940">
        <v>30.72</v>
      </c>
      <c r="L87" s="1940">
        <v>30.72</v>
      </c>
      <c r="M87" s="1940">
        <v>30.72</v>
      </c>
      <c r="N87" s="1940">
        <v>30.72</v>
      </c>
      <c r="O87" s="2055">
        <v>30.72</v>
      </c>
      <c r="P87" s="1926"/>
    </row>
    <row r="88" spans="1:16" ht="12.75" thickBot="1" x14ac:dyDescent="0.25">
      <c r="A88" s="2269"/>
      <c r="B88" s="2272"/>
      <c r="C88" s="2056" t="s">
        <v>1832</v>
      </c>
      <c r="D88" s="2057">
        <f>SUM(D87*D86)</f>
        <v>41472</v>
      </c>
      <c r="E88" s="2057">
        <f t="shared" ref="E88:O88" si="63">SUM(E87*E86)</f>
        <v>30228.48</v>
      </c>
      <c r="F88" s="2057">
        <f>SUM(F87*F86)</f>
        <v>21073.919999999998</v>
      </c>
      <c r="G88" s="2057">
        <f t="shared" si="63"/>
        <v>0</v>
      </c>
      <c r="H88" s="2057">
        <f t="shared" si="63"/>
        <v>0</v>
      </c>
      <c r="I88" s="2057">
        <f t="shared" si="63"/>
        <v>0</v>
      </c>
      <c r="J88" s="2057">
        <f t="shared" si="63"/>
        <v>0</v>
      </c>
      <c r="K88" s="2057">
        <f t="shared" si="63"/>
        <v>0</v>
      </c>
      <c r="L88" s="2057">
        <f t="shared" si="63"/>
        <v>0</v>
      </c>
      <c r="M88" s="2057">
        <f t="shared" si="63"/>
        <v>0</v>
      </c>
      <c r="N88" s="2057">
        <f t="shared" si="63"/>
        <v>0</v>
      </c>
      <c r="O88" s="2058">
        <f t="shared" si="63"/>
        <v>0</v>
      </c>
      <c r="P88" s="1945"/>
    </row>
    <row r="89" spans="1:16" x14ac:dyDescent="0.2">
      <c r="B89" s="2059" t="s">
        <v>1862</v>
      </c>
      <c r="C89" s="2060" t="s">
        <v>1828</v>
      </c>
      <c r="D89" s="2061">
        <v>4049</v>
      </c>
      <c r="E89" s="2061">
        <f>D90</f>
        <v>4050</v>
      </c>
      <c r="F89" s="2061">
        <f>E90</f>
        <v>4052</v>
      </c>
      <c r="G89" s="2061">
        <f t="shared" ref="G89:O89" si="64">F90</f>
        <v>4053</v>
      </c>
      <c r="H89" s="2061">
        <f t="shared" si="64"/>
        <v>0</v>
      </c>
      <c r="I89" s="2061">
        <f t="shared" si="64"/>
        <v>0</v>
      </c>
      <c r="J89" s="2061">
        <f t="shared" si="64"/>
        <v>0</v>
      </c>
      <c r="K89" s="2061">
        <f t="shared" si="64"/>
        <v>0</v>
      </c>
      <c r="L89" s="2061">
        <f t="shared" si="64"/>
        <v>0</v>
      </c>
      <c r="M89" s="2061">
        <f t="shared" si="64"/>
        <v>0</v>
      </c>
      <c r="N89" s="2061">
        <f t="shared" si="64"/>
        <v>0</v>
      </c>
      <c r="O89" s="2061">
        <f t="shared" si="64"/>
        <v>0</v>
      </c>
      <c r="P89" s="1935"/>
    </row>
    <row r="90" spans="1:16" x14ac:dyDescent="0.2">
      <c r="B90" s="2062"/>
      <c r="C90" s="2063" t="s">
        <v>1863</v>
      </c>
      <c r="D90" s="2064">
        <v>4050</v>
      </c>
      <c r="E90" s="2064">
        <v>4052</v>
      </c>
      <c r="F90" s="2064">
        <v>4053</v>
      </c>
      <c r="G90" s="2064"/>
      <c r="H90" s="2064"/>
      <c r="I90" s="2064"/>
      <c r="J90" s="2064"/>
      <c r="K90" s="2064"/>
      <c r="L90" s="2064"/>
      <c r="M90" s="2064"/>
      <c r="N90" s="2064"/>
      <c r="O90" s="2065"/>
      <c r="P90" s="1926"/>
    </row>
    <row r="91" spans="1:16" ht="12.75" thickBot="1" x14ac:dyDescent="0.25">
      <c r="B91" s="2066"/>
      <c r="C91" s="2067" t="s">
        <v>1830</v>
      </c>
      <c r="D91" s="2068">
        <f>D90-D89</f>
        <v>1</v>
      </c>
      <c r="E91" s="2068">
        <f>E90-E89</f>
        <v>2</v>
      </c>
      <c r="F91" s="2068">
        <f t="shared" ref="F91:O91" si="65">F90-F89</f>
        <v>1</v>
      </c>
      <c r="G91" s="2068">
        <v>0</v>
      </c>
      <c r="H91" s="2068">
        <f t="shared" si="65"/>
        <v>0</v>
      </c>
      <c r="I91" s="2068">
        <f t="shared" si="65"/>
        <v>0</v>
      </c>
      <c r="J91" s="2068">
        <f t="shared" si="65"/>
        <v>0</v>
      </c>
      <c r="K91" s="2068">
        <f t="shared" si="65"/>
        <v>0</v>
      </c>
      <c r="L91" s="2068">
        <f t="shared" si="65"/>
        <v>0</v>
      </c>
      <c r="M91" s="2068">
        <f t="shared" si="65"/>
        <v>0</v>
      </c>
      <c r="N91" s="2068">
        <f t="shared" si="65"/>
        <v>0</v>
      </c>
      <c r="O91" s="2069">
        <f t="shared" si="65"/>
        <v>0</v>
      </c>
      <c r="P91" s="1945">
        <f>SUM(D91:O91)</f>
        <v>4</v>
      </c>
    </row>
    <row r="92" spans="1:16" x14ac:dyDescent="0.2">
      <c r="B92" s="2070" t="s">
        <v>1864</v>
      </c>
      <c r="C92" s="2071" t="s">
        <v>1828</v>
      </c>
      <c r="D92" s="2072">
        <v>8097</v>
      </c>
      <c r="E92" s="2072">
        <f>D93</f>
        <v>8148</v>
      </c>
      <c r="F92" s="2072">
        <f>E93</f>
        <v>8196</v>
      </c>
      <c r="G92" s="2072">
        <f t="shared" ref="G92:O92" si="66">F93</f>
        <v>8263</v>
      </c>
      <c r="H92" s="2072">
        <f t="shared" si="66"/>
        <v>0</v>
      </c>
      <c r="I92" s="2072">
        <f t="shared" si="66"/>
        <v>0</v>
      </c>
      <c r="J92" s="2072">
        <f t="shared" si="66"/>
        <v>0</v>
      </c>
      <c r="K92" s="2072">
        <f t="shared" si="66"/>
        <v>0</v>
      </c>
      <c r="L92" s="2072">
        <f t="shared" si="66"/>
        <v>0</v>
      </c>
      <c r="M92" s="2072">
        <f t="shared" si="66"/>
        <v>0</v>
      </c>
      <c r="N92" s="2072">
        <f t="shared" si="66"/>
        <v>0</v>
      </c>
      <c r="O92" s="2072">
        <f t="shared" si="66"/>
        <v>0</v>
      </c>
      <c r="P92" s="1935"/>
    </row>
    <row r="93" spans="1:16" x14ac:dyDescent="0.2">
      <c r="B93" s="2073"/>
      <c r="C93" s="2074" t="s">
        <v>1863</v>
      </c>
      <c r="D93" s="2072">
        <v>8148</v>
      </c>
      <c r="E93" s="2072">
        <v>8196</v>
      </c>
      <c r="F93" s="2072">
        <v>8263</v>
      </c>
      <c r="G93" s="2072"/>
      <c r="H93" s="2072"/>
      <c r="I93" s="2072"/>
      <c r="J93" s="2072"/>
      <c r="K93" s="2072"/>
      <c r="L93" s="2072"/>
      <c r="M93" s="2072"/>
      <c r="N93" s="2072"/>
      <c r="O93" s="2075"/>
      <c r="P93" s="1926"/>
    </row>
    <row r="94" spans="1:16" ht="12.75" thickBot="1" x14ac:dyDescent="0.25">
      <c r="B94" s="2076"/>
      <c r="C94" s="2077" t="s">
        <v>1830</v>
      </c>
      <c r="D94" s="2078">
        <f>D93-D92</f>
        <v>51</v>
      </c>
      <c r="E94" s="2078">
        <f>E93-E92</f>
        <v>48</v>
      </c>
      <c r="F94" s="2078">
        <f t="shared" ref="F94:O94" si="67">F93-F92</f>
        <v>67</v>
      </c>
      <c r="G94" s="2078">
        <v>0</v>
      </c>
      <c r="H94" s="2078">
        <f t="shared" si="67"/>
        <v>0</v>
      </c>
      <c r="I94" s="2078">
        <f t="shared" si="67"/>
        <v>0</v>
      </c>
      <c r="J94" s="2078">
        <f t="shared" si="67"/>
        <v>0</v>
      </c>
      <c r="K94" s="2078">
        <f t="shared" si="67"/>
        <v>0</v>
      </c>
      <c r="L94" s="2078">
        <f t="shared" si="67"/>
        <v>0</v>
      </c>
      <c r="M94" s="2078">
        <f t="shared" si="67"/>
        <v>0</v>
      </c>
      <c r="N94" s="2078">
        <f t="shared" si="67"/>
        <v>0</v>
      </c>
      <c r="O94" s="2079">
        <f t="shared" si="67"/>
        <v>0</v>
      </c>
      <c r="P94" s="1945">
        <f>SUM(D94:O94)</f>
        <v>166</v>
      </c>
    </row>
    <row r="95" spans="1:16" x14ac:dyDescent="0.2">
      <c r="B95" s="2252" t="s">
        <v>1865</v>
      </c>
      <c r="C95" s="2080" t="s">
        <v>1828</v>
      </c>
      <c r="D95" s="2081">
        <v>89067</v>
      </c>
      <c r="E95" s="2081">
        <f>D96</f>
        <v>89251</v>
      </c>
      <c r="F95" s="2081">
        <f>E96</f>
        <v>89420</v>
      </c>
      <c r="G95" s="2081">
        <f t="shared" ref="G95:O95" si="68">F96</f>
        <v>89642</v>
      </c>
      <c r="H95" s="2081">
        <f t="shared" si="68"/>
        <v>0</v>
      </c>
      <c r="I95" s="2081">
        <f t="shared" si="68"/>
        <v>0</v>
      </c>
      <c r="J95" s="2081">
        <f t="shared" si="68"/>
        <v>0</v>
      </c>
      <c r="K95" s="2081">
        <f t="shared" si="68"/>
        <v>0</v>
      </c>
      <c r="L95" s="2081">
        <f t="shared" si="68"/>
        <v>0</v>
      </c>
      <c r="M95" s="2081">
        <f t="shared" si="68"/>
        <v>0</v>
      </c>
      <c r="N95" s="2081">
        <f t="shared" si="68"/>
        <v>0</v>
      </c>
      <c r="O95" s="2081">
        <f t="shared" si="68"/>
        <v>0</v>
      </c>
      <c r="P95" s="1935"/>
    </row>
    <row r="96" spans="1:16" x14ac:dyDescent="0.2">
      <c r="B96" s="2253"/>
      <c r="C96" s="2082" t="s">
        <v>1863</v>
      </c>
      <c r="D96" s="2083">
        <v>89251</v>
      </c>
      <c r="E96" s="2083">
        <v>89420</v>
      </c>
      <c r="F96" s="2083">
        <v>89642</v>
      </c>
      <c r="G96" s="2083"/>
      <c r="H96" s="2083"/>
      <c r="I96" s="2083"/>
      <c r="J96" s="2083"/>
      <c r="K96" s="2083"/>
      <c r="L96" s="2083"/>
      <c r="M96" s="2083"/>
      <c r="N96" s="2083"/>
      <c r="O96" s="2084"/>
      <c r="P96" s="1926"/>
    </row>
    <row r="97" spans="1:17" ht="20.25" customHeight="1" thickBot="1" x14ac:dyDescent="0.25">
      <c r="B97" s="2254"/>
      <c r="C97" s="2085" t="s">
        <v>1830</v>
      </c>
      <c r="D97" s="2086">
        <f>D96-D95</f>
        <v>184</v>
      </c>
      <c r="E97" s="2086">
        <f>E96-E95</f>
        <v>169</v>
      </c>
      <c r="F97" s="2086">
        <f t="shared" ref="F97:O97" si="69">F96-F95</f>
        <v>222</v>
      </c>
      <c r="G97" s="2086">
        <v>0</v>
      </c>
      <c r="H97" s="2086">
        <f t="shared" si="69"/>
        <v>0</v>
      </c>
      <c r="I97" s="2086">
        <f t="shared" si="69"/>
        <v>0</v>
      </c>
      <c r="J97" s="2086">
        <f t="shared" si="69"/>
        <v>0</v>
      </c>
      <c r="K97" s="2086">
        <f t="shared" si="69"/>
        <v>0</v>
      </c>
      <c r="L97" s="2086">
        <f t="shared" si="69"/>
        <v>0</v>
      </c>
      <c r="M97" s="2086">
        <f t="shared" si="69"/>
        <v>0</v>
      </c>
      <c r="N97" s="2086">
        <f t="shared" si="69"/>
        <v>0</v>
      </c>
      <c r="O97" s="2087">
        <f t="shared" si="69"/>
        <v>0</v>
      </c>
      <c r="P97" s="1945">
        <f>SUM(D97:O97)</f>
        <v>575</v>
      </c>
    </row>
    <row r="98" spans="1:17" ht="12.75" thickBot="1" x14ac:dyDescent="0.25"/>
    <row r="99" spans="1:17" ht="15" customHeight="1" x14ac:dyDescent="0.2">
      <c r="A99" s="2255" t="s">
        <v>1855</v>
      </c>
      <c r="B99" s="2258"/>
      <c r="C99" s="1992" t="s">
        <v>1856</v>
      </c>
      <c r="D99" s="2031"/>
      <c r="E99" s="2031"/>
      <c r="F99" s="2031"/>
      <c r="G99" s="2031"/>
      <c r="H99" s="2031"/>
      <c r="I99" s="2031"/>
      <c r="J99" s="2031"/>
      <c r="K99" s="2031"/>
      <c r="L99" s="2031"/>
      <c r="M99" s="2031"/>
      <c r="N99" s="2031"/>
      <c r="O99" s="2031"/>
      <c r="P99" s="1935"/>
    </row>
    <row r="100" spans="1:17" x14ac:dyDescent="0.2">
      <c r="A100" s="2256"/>
      <c r="B100" s="2259"/>
      <c r="C100" s="1995" t="s">
        <v>1829</v>
      </c>
      <c r="D100" s="2032"/>
      <c r="E100" s="2032"/>
      <c r="F100" s="2032"/>
      <c r="G100" s="2032"/>
      <c r="H100" s="2032"/>
      <c r="I100" s="2032"/>
      <c r="J100" s="2032"/>
      <c r="K100" s="2032"/>
      <c r="L100" s="2032"/>
      <c r="M100" s="2032"/>
      <c r="N100" s="2032"/>
      <c r="O100" s="2033"/>
      <c r="P100" s="1926"/>
    </row>
    <row r="101" spans="1:17" x14ac:dyDescent="0.2">
      <c r="A101" s="2256"/>
      <c r="B101" s="2259"/>
      <c r="C101" s="1995" t="s">
        <v>1830</v>
      </c>
      <c r="D101" s="2032"/>
      <c r="E101" s="2032"/>
      <c r="F101" s="2032"/>
      <c r="G101" s="2032"/>
      <c r="H101" s="2032"/>
      <c r="I101" s="2032"/>
      <c r="J101" s="2032"/>
      <c r="K101" s="2032"/>
      <c r="L101" s="2032"/>
      <c r="M101" s="2032"/>
      <c r="N101" s="2032"/>
      <c r="O101" s="2034"/>
      <c r="P101" s="1926">
        <f>SUM(D101:O101)</f>
        <v>0</v>
      </c>
    </row>
    <row r="102" spans="1:17" x14ac:dyDescent="0.2">
      <c r="A102" s="2256"/>
      <c r="B102" s="2259"/>
      <c r="C102" s="1995" t="s">
        <v>1857</v>
      </c>
      <c r="D102" s="2035">
        <v>47.91</v>
      </c>
      <c r="E102" s="2035">
        <v>47.91</v>
      </c>
      <c r="F102" s="2035">
        <v>47.91</v>
      </c>
      <c r="G102" s="2035">
        <v>47.91</v>
      </c>
      <c r="H102" s="2035">
        <v>47.91</v>
      </c>
      <c r="I102" s="2035">
        <v>47.91</v>
      </c>
      <c r="J102" s="2035">
        <v>47.91</v>
      </c>
      <c r="K102" s="2035">
        <v>47.91</v>
      </c>
      <c r="L102" s="2035">
        <v>47.91</v>
      </c>
      <c r="M102" s="2035">
        <v>47.91</v>
      </c>
      <c r="N102" s="2035">
        <v>47.91</v>
      </c>
      <c r="O102" s="2036">
        <v>47.91</v>
      </c>
      <c r="P102" s="1926"/>
    </row>
    <row r="103" spans="1:17" ht="12.75" thickBot="1" x14ac:dyDescent="0.25">
      <c r="A103" s="2257"/>
      <c r="B103" s="2260"/>
      <c r="C103" s="2012" t="s">
        <v>1832</v>
      </c>
      <c r="D103" s="2037">
        <f>SUM(D102*D101)</f>
        <v>0</v>
      </c>
      <c r="E103" s="2037">
        <f>SUM(E102*E101)</f>
        <v>0</v>
      </c>
      <c r="F103" s="2037">
        <f>SUM(F102*F101)</f>
        <v>0</v>
      </c>
      <c r="G103" s="2037">
        <f t="shared" ref="G103" si="70">SUM(G102*G101)</f>
        <v>0</v>
      </c>
      <c r="H103" s="2037">
        <f>SUM(H102*H101)</f>
        <v>0</v>
      </c>
      <c r="I103" s="2037">
        <f>SUM(I102*I101)</f>
        <v>0</v>
      </c>
      <c r="J103" s="2037">
        <f t="shared" ref="J103:O103" si="71">SUM(J102*J101)</f>
        <v>0</v>
      </c>
      <c r="K103" s="2037">
        <f t="shared" si="71"/>
        <v>0</v>
      </c>
      <c r="L103" s="2037">
        <f t="shared" si="71"/>
        <v>0</v>
      </c>
      <c r="M103" s="2037">
        <f t="shared" si="71"/>
        <v>0</v>
      </c>
      <c r="N103" s="2037">
        <f t="shared" si="71"/>
        <v>0</v>
      </c>
      <c r="O103" s="2038">
        <f t="shared" si="71"/>
        <v>0</v>
      </c>
      <c r="P103" s="1945"/>
    </row>
    <row r="106" spans="1:17" x14ac:dyDescent="0.2">
      <c r="B106" s="1912" t="s">
        <v>1866</v>
      </c>
      <c r="D106" s="1912" t="s">
        <v>1867</v>
      </c>
      <c r="F106" s="1912" t="s">
        <v>691</v>
      </c>
    </row>
    <row r="109" spans="1:17" ht="12.75" x14ac:dyDescent="0.2">
      <c r="A109" s="2088" t="s">
        <v>1868</v>
      </c>
      <c r="D109" s="1965">
        <f>+D7+D23</f>
        <v>1332100.6600000001</v>
      </c>
      <c r="E109" s="1965">
        <f t="shared" ref="E109:N109" si="72">+E7+E23</f>
        <v>1526684.87</v>
      </c>
      <c r="F109" s="1965">
        <f t="shared" si="72"/>
        <v>1653794.1400000001</v>
      </c>
      <c r="G109" s="1965">
        <f t="shared" si="72"/>
        <v>0</v>
      </c>
      <c r="H109" s="1965">
        <f t="shared" si="72"/>
        <v>0</v>
      </c>
      <c r="I109" s="1965">
        <f t="shared" si="72"/>
        <v>0</v>
      </c>
      <c r="J109" s="1965">
        <f t="shared" si="72"/>
        <v>0</v>
      </c>
      <c r="K109" s="1965">
        <f t="shared" si="72"/>
        <v>0</v>
      </c>
      <c r="L109" s="1965">
        <f t="shared" si="72"/>
        <v>0</v>
      </c>
      <c r="M109" s="1965">
        <f t="shared" si="72"/>
        <v>0</v>
      </c>
      <c r="N109" s="1965">
        <f t="shared" si="72"/>
        <v>0</v>
      </c>
      <c r="O109" s="1965">
        <f>+O7+O23+O48+O53+O58+O63+O68</f>
        <v>0</v>
      </c>
      <c r="P109" s="1965">
        <f>SUM(D109:O109)</f>
        <v>4512579.67</v>
      </c>
      <c r="Q109" s="2090">
        <f>+P109/3*12</f>
        <v>18050318.68</v>
      </c>
    </row>
    <row r="110" spans="1:17" ht="12.75" x14ac:dyDescent="0.2">
      <c r="A110" s="2088" t="s">
        <v>1869</v>
      </c>
      <c r="D110" s="1965">
        <f>+D12+D17+D28+D33+D38+D43+D48+D53+D58+D63+D68</f>
        <v>1783889.64</v>
      </c>
      <c r="E110" s="1965">
        <f t="shared" ref="E110:N110" si="73">+E12+E17+E28+E33+E38+E43+E48+E53+E58+E63+E68</f>
        <v>1614478.43</v>
      </c>
      <c r="F110" s="1965">
        <f t="shared" si="73"/>
        <v>1861752.0099999998</v>
      </c>
      <c r="G110" s="1965">
        <f t="shared" si="73"/>
        <v>0</v>
      </c>
      <c r="H110" s="1965">
        <f t="shared" si="73"/>
        <v>0</v>
      </c>
      <c r="I110" s="1965">
        <f t="shared" si="73"/>
        <v>0</v>
      </c>
      <c r="J110" s="1965">
        <f t="shared" si="73"/>
        <v>0</v>
      </c>
      <c r="K110" s="1965">
        <f t="shared" si="73"/>
        <v>0</v>
      </c>
      <c r="L110" s="1965">
        <f t="shared" si="73"/>
        <v>0</v>
      </c>
      <c r="M110" s="1965">
        <f t="shared" si="73"/>
        <v>0</v>
      </c>
      <c r="N110" s="1965">
        <f t="shared" si="73"/>
        <v>0</v>
      </c>
      <c r="O110" s="1965">
        <f>+O12+O17+O28+O33+O38+O43+O48+O53+O58+O63+O68</f>
        <v>0</v>
      </c>
      <c r="P110" s="1965">
        <f>SUM(D110:O110)</f>
        <v>5260120.08</v>
      </c>
      <c r="Q110" s="2090">
        <f t="shared" ref="Q110" si="74">+P110/3*12</f>
        <v>21040480.32</v>
      </c>
    </row>
    <row r="111" spans="1:17" x14ac:dyDescent="0.2">
      <c r="D111" s="2089">
        <f>+D110-D109</f>
        <v>451788.97999999975</v>
      </c>
      <c r="E111" s="2089">
        <f t="shared" ref="E111:P111" si="75">+E110-E109</f>
        <v>87793.559999999823</v>
      </c>
      <c r="F111" s="2089">
        <f t="shared" si="75"/>
        <v>207957.86999999965</v>
      </c>
      <c r="G111" s="2089">
        <f t="shared" si="75"/>
        <v>0</v>
      </c>
      <c r="H111" s="2089">
        <f t="shared" si="75"/>
        <v>0</v>
      </c>
      <c r="I111" s="2089">
        <f t="shared" si="75"/>
        <v>0</v>
      </c>
      <c r="J111" s="2089">
        <f t="shared" si="75"/>
        <v>0</v>
      </c>
      <c r="K111" s="2089">
        <f t="shared" si="75"/>
        <v>0</v>
      </c>
      <c r="L111" s="2089">
        <f t="shared" si="75"/>
        <v>0</v>
      </c>
      <c r="M111" s="2089">
        <f t="shared" si="75"/>
        <v>0</v>
      </c>
      <c r="N111" s="2089">
        <f t="shared" si="75"/>
        <v>0</v>
      </c>
      <c r="O111" s="2089">
        <f t="shared" si="75"/>
        <v>0</v>
      </c>
      <c r="P111" s="2089">
        <f t="shared" si="75"/>
        <v>747540.41000000015</v>
      </c>
    </row>
    <row r="113" spans="1:17" ht="12.75" x14ac:dyDescent="0.2">
      <c r="A113" s="2088" t="s">
        <v>1870</v>
      </c>
      <c r="D113" s="1965">
        <f>+D48+D53+D58+D63+D68+D81</f>
        <v>618107.29</v>
      </c>
      <c r="E113" s="1965">
        <f t="shared" ref="E113:N113" si="76">+E48+E53+E58+E63+E68+E81</f>
        <v>565571.44000000006</v>
      </c>
      <c r="F113" s="1965">
        <f t="shared" si="76"/>
        <v>608591.66</v>
      </c>
      <c r="G113" s="1965">
        <f t="shared" si="76"/>
        <v>0</v>
      </c>
      <c r="H113" s="1965">
        <f t="shared" si="76"/>
        <v>0</v>
      </c>
      <c r="I113" s="1965">
        <f t="shared" si="76"/>
        <v>0</v>
      </c>
      <c r="J113" s="1965">
        <f t="shared" si="76"/>
        <v>0</v>
      </c>
      <c r="K113" s="1965">
        <f t="shared" si="76"/>
        <v>0</v>
      </c>
      <c r="L113" s="1965">
        <f t="shared" si="76"/>
        <v>0</v>
      </c>
      <c r="M113" s="1965">
        <f t="shared" si="76"/>
        <v>0</v>
      </c>
      <c r="N113" s="1965">
        <f t="shared" si="76"/>
        <v>0</v>
      </c>
      <c r="O113" s="1965">
        <f t="shared" ref="O113" si="77">+O109+O81</f>
        <v>0</v>
      </c>
      <c r="P113" s="1965">
        <f t="shared" ref="P113:P114" si="78">SUM(D113:O113)</f>
        <v>1792270.3900000001</v>
      </c>
      <c r="Q113" s="2090">
        <f>+P113/3*12</f>
        <v>7169081.5600000005</v>
      </c>
    </row>
    <row r="114" spans="1:17" ht="12.75" x14ac:dyDescent="0.2">
      <c r="A114" s="2088" t="s">
        <v>1871</v>
      </c>
      <c r="D114" s="1965">
        <f>+D88</f>
        <v>41472</v>
      </c>
      <c r="E114" s="1965">
        <f t="shared" ref="E114:N114" si="79">+E88</f>
        <v>30228.48</v>
      </c>
      <c r="F114" s="1965">
        <f t="shared" si="79"/>
        <v>21073.919999999998</v>
      </c>
      <c r="G114" s="1965">
        <f t="shared" si="79"/>
        <v>0</v>
      </c>
      <c r="H114" s="1965">
        <f t="shared" si="79"/>
        <v>0</v>
      </c>
      <c r="I114" s="1965">
        <f t="shared" si="79"/>
        <v>0</v>
      </c>
      <c r="J114" s="1965">
        <f t="shared" si="79"/>
        <v>0</v>
      </c>
      <c r="K114" s="1965">
        <f t="shared" si="79"/>
        <v>0</v>
      </c>
      <c r="L114" s="1965">
        <f t="shared" si="79"/>
        <v>0</v>
      </c>
      <c r="M114" s="1965">
        <f t="shared" si="79"/>
        <v>0</v>
      </c>
      <c r="N114" s="1965">
        <f t="shared" si="79"/>
        <v>0</v>
      </c>
      <c r="O114" s="1965">
        <f t="shared" ref="O114" si="80">+O110+O88</f>
        <v>0</v>
      </c>
      <c r="P114" s="1965">
        <f t="shared" si="78"/>
        <v>92774.399999999994</v>
      </c>
    </row>
    <row r="115" spans="1:17" x14ac:dyDescent="0.2">
      <c r="D115" s="2089">
        <f>+D114-D113</f>
        <v>-576635.29</v>
      </c>
      <c r="E115" s="2089">
        <f t="shared" ref="E115:P115" si="81">+E114-E113</f>
        <v>-535342.96000000008</v>
      </c>
      <c r="F115" s="2089">
        <f t="shared" si="81"/>
        <v>-587517.74</v>
      </c>
      <c r="G115" s="2089">
        <f t="shared" si="81"/>
        <v>0</v>
      </c>
      <c r="H115" s="2089">
        <f t="shared" si="81"/>
        <v>0</v>
      </c>
      <c r="I115" s="2089">
        <f t="shared" si="81"/>
        <v>0</v>
      </c>
      <c r="J115" s="2089">
        <f t="shared" si="81"/>
        <v>0</v>
      </c>
      <c r="K115" s="2089">
        <f t="shared" si="81"/>
        <v>0</v>
      </c>
      <c r="L115" s="2089">
        <f t="shared" si="81"/>
        <v>0</v>
      </c>
      <c r="M115" s="2089">
        <f t="shared" si="81"/>
        <v>0</v>
      </c>
      <c r="N115" s="2089">
        <f t="shared" si="81"/>
        <v>0</v>
      </c>
      <c r="O115" s="2089">
        <f t="shared" si="81"/>
        <v>0</v>
      </c>
      <c r="P115" s="2089">
        <f t="shared" si="81"/>
        <v>-1699495.9900000002</v>
      </c>
    </row>
    <row r="117" spans="1:17" ht="12.75" x14ac:dyDescent="0.2">
      <c r="A117" s="2088" t="s">
        <v>1872</v>
      </c>
    </row>
  </sheetData>
  <sheetProtection algorithmName="SHA-512" hashValue="fNJDmUjf6OZS0XaF200OXDVvmGCRF7R969sh8kazlaGOR4tJz0sapFpU+Qg3wFp+7y+icj/Ktkm2j/6OX4Ha8Q==" saltValue="n1RBKDyKifUUVeO4Bxq0ew==" spinCount="100000" sheet="1" objects="1" scenarios="1"/>
  <mergeCells count="29">
    <mergeCell ref="A3:A7"/>
    <mergeCell ref="B3:B7"/>
    <mergeCell ref="A8:A17"/>
    <mergeCell ref="B8:B12"/>
    <mergeCell ref="AC8:AC17"/>
    <mergeCell ref="B13:B17"/>
    <mergeCell ref="A19:A23"/>
    <mergeCell ref="B19:B23"/>
    <mergeCell ref="A24:A43"/>
    <mergeCell ref="B24:B28"/>
    <mergeCell ref="Q24:AB41"/>
    <mergeCell ref="B29:B33"/>
    <mergeCell ref="B34:B38"/>
    <mergeCell ref="B39:B43"/>
    <mergeCell ref="A44:A68"/>
    <mergeCell ref="B44:B48"/>
    <mergeCell ref="Q44:AB66"/>
    <mergeCell ref="B49:B53"/>
    <mergeCell ref="B54:B58"/>
    <mergeCell ref="B59:B63"/>
    <mergeCell ref="B95:B97"/>
    <mergeCell ref="A99:A103"/>
    <mergeCell ref="B99:B103"/>
    <mergeCell ref="A71:A75"/>
    <mergeCell ref="B71:B75"/>
    <mergeCell ref="A77:A81"/>
    <mergeCell ref="B77:B81"/>
    <mergeCell ref="A82:A88"/>
    <mergeCell ref="B82:B88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40"/>
  <sheetViews>
    <sheetView zoomScale="81" zoomScaleNormal="81" workbookViewId="0">
      <pane xSplit="12" ySplit="7" topLeftCell="M203" activePane="bottomRight" state="frozen"/>
      <selection pane="topRight" activeCell="M1" sqref="M1"/>
      <selection pane="bottomLeft" activeCell="A8" sqref="A8"/>
      <selection pane="bottomRight" activeCell="A40" sqref="A40:XFD40"/>
    </sheetView>
  </sheetViews>
  <sheetFormatPr defaultColWidth="9.140625" defaultRowHeight="13.5" outlineLevelRow="1" x14ac:dyDescent="0.25"/>
  <cols>
    <col min="1" max="1" width="8.5703125" style="1140" customWidth="1"/>
    <col min="2" max="2" width="18.42578125" style="1140" customWidth="1"/>
    <col min="3" max="3" width="54.85546875" style="1140" customWidth="1"/>
    <col min="4" max="4" width="15.28515625" style="1140" hidden="1" customWidth="1"/>
    <col min="5" max="5" width="12" style="1322" hidden="1" customWidth="1"/>
    <col min="6" max="6" width="9.140625" style="1322" hidden="1" customWidth="1"/>
    <col min="7" max="7" width="10.140625" style="1322" hidden="1" customWidth="1"/>
    <col min="8" max="8" width="18.85546875" style="1322" customWidth="1"/>
    <col min="9" max="10" width="15.140625" style="1140" hidden="1" customWidth="1"/>
    <col min="11" max="12" width="12.140625" style="1140" hidden="1" customWidth="1"/>
    <col min="13" max="13" width="12.140625" style="1140" bestFit="1" customWidth="1"/>
    <col min="14" max="14" width="13.42578125" style="1323" hidden="1" customWidth="1"/>
    <col min="15" max="15" width="15.140625" style="1873" customWidth="1"/>
    <col min="16" max="16" width="11.5703125" style="1140" customWidth="1"/>
    <col min="17" max="17" width="12.140625" style="1322" customWidth="1"/>
    <col min="18" max="18" width="15.28515625" style="1322" customWidth="1"/>
    <col min="19" max="19" width="55" style="1140" customWidth="1"/>
    <col min="20" max="20" width="12.42578125" style="1324" bestFit="1" customWidth="1"/>
    <col min="21" max="21" width="13.42578125" style="1325" bestFit="1" customWidth="1"/>
    <col min="22" max="16384" width="9.140625" style="1140"/>
  </cols>
  <sheetData>
    <row r="1" spans="1:21" ht="20.25" customHeight="1" x14ac:dyDescent="0.25">
      <c r="A1" s="1132" t="s">
        <v>1955</v>
      </c>
      <c r="B1" s="1133"/>
      <c r="C1" s="1134"/>
      <c r="D1" s="1134"/>
      <c r="E1" s="875"/>
      <c r="F1" s="875"/>
      <c r="G1" s="875"/>
      <c r="H1" s="875"/>
      <c r="I1" s="1135"/>
      <c r="J1" s="1135"/>
      <c r="K1" s="1135"/>
      <c r="L1" s="1135"/>
      <c r="M1" s="1135"/>
      <c r="N1" s="1136"/>
      <c r="O1" s="1855"/>
      <c r="P1" s="1135"/>
      <c r="Q1" s="1137"/>
      <c r="R1" s="1137"/>
      <c r="S1" s="1135"/>
      <c r="T1" s="1138"/>
      <c r="U1" s="1139"/>
    </row>
    <row r="2" spans="1:21" ht="20.25" hidden="1" customHeight="1" x14ac:dyDescent="0.25">
      <c r="A2" s="1141" t="s">
        <v>733</v>
      </c>
      <c r="B2" s="1141"/>
      <c r="C2" s="1135"/>
      <c r="D2" s="1135"/>
      <c r="E2" s="1137"/>
      <c r="F2" s="1137"/>
      <c r="G2" s="1137"/>
      <c r="H2" s="1137"/>
      <c r="I2" s="1135"/>
      <c r="J2" s="1135"/>
      <c r="K2" s="1135"/>
      <c r="L2" s="1135"/>
      <c r="M2" s="1135"/>
      <c r="N2" s="1136"/>
      <c r="O2" s="1855"/>
      <c r="P2" s="1135"/>
      <c r="Q2" s="1137"/>
      <c r="R2" s="1137"/>
      <c r="S2" s="1135"/>
      <c r="T2" s="1138"/>
      <c r="U2" s="1139"/>
    </row>
    <row r="3" spans="1:21" ht="15" hidden="1" customHeight="1" x14ac:dyDescent="0.25">
      <c r="A3" s="1141"/>
      <c r="B3" s="1141"/>
      <c r="C3" s="1135"/>
      <c r="D3" s="1135"/>
      <c r="E3" s="1137"/>
      <c r="F3" s="1137"/>
      <c r="G3" s="1137"/>
      <c r="H3" s="1137"/>
      <c r="I3" s="1135"/>
      <c r="J3" s="1135"/>
      <c r="K3" s="1135"/>
      <c r="L3" s="1135"/>
      <c r="M3" s="1135"/>
      <c r="N3" s="1136"/>
      <c r="O3" s="1855"/>
      <c r="P3" s="1135"/>
      <c r="Q3" s="1137"/>
      <c r="R3" s="1137"/>
      <c r="S3" s="1135"/>
      <c r="T3" s="1138"/>
      <c r="U3" s="1139"/>
    </row>
    <row r="4" spans="1:21" ht="15" customHeight="1" x14ac:dyDescent="0.25">
      <c r="A4" s="1141" t="s">
        <v>1317</v>
      </c>
      <c r="B4" s="1141"/>
      <c r="C4" s="1135"/>
      <c r="D4" s="1135"/>
      <c r="E4" s="1137"/>
      <c r="F4" s="1137"/>
      <c r="G4" s="1137"/>
      <c r="H4" s="1137"/>
      <c r="I4" s="1135"/>
      <c r="J4" s="1135"/>
      <c r="K4" s="1135"/>
      <c r="L4" s="1135"/>
      <c r="M4" s="1135"/>
      <c r="N4" s="1136"/>
      <c r="O4" s="1855"/>
      <c r="P4" s="1135"/>
      <c r="Q4" s="1137"/>
      <c r="R4" s="1137"/>
      <c r="S4" s="1135"/>
      <c r="T4" s="1138"/>
      <c r="U4" s="1139"/>
    </row>
    <row r="5" spans="1:21" ht="15" customHeight="1" thickBot="1" x14ac:dyDescent="0.3">
      <c r="A5" s="1141"/>
      <c r="B5" s="1141"/>
      <c r="C5" s="1135"/>
      <c r="D5" s="1135"/>
      <c r="E5" s="1137"/>
      <c r="F5" s="1137"/>
      <c r="G5" s="1137"/>
      <c r="H5" s="1137"/>
      <c r="I5" s="1135"/>
      <c r="J5" s="1135"/>
      <c r="K5" s="1135"/>
      <c r="L5" s="1135"/>
      <c r="M5" s="1135"/>
      <c r="N5" s="1136"/>
      <c r="O5" s="1855"/>
      <c r="P5" s="1135"/>
      <c r="Q5" s="1137"/>
      <c r="R5" s="1137"/>
      <c r="S5" s="1135"/>
      <c r="T5" s="1138"/>
      <c r="U5" s="1139"/>
    </row>
    <row r="6" spans="1:21" ht="41.25" thickBot="1" x14ac:dyDescent="0.3">
      <c r="A6" s="1142" t="s">
        <v>150</v>
      </c>
      <c r="B6" s="1143" t="s">
        <v>569</v>
      </c>
      <c r="C6" s="1144" t="s">
        <v>784</v>
      </c>
      <c r="D6" s="1142" t="s">
        <v>757</v>
      </c>
      <c r="E6" s="1142" t="s">
        <v>764</v>
      </c>
      <c r="F6" s="1142" t="s">
        <v>765</v>
      </c>
      <c r="G6" s="1142" t="s">
        <v>766</v>
      </c>
      <c r="H6" s="1142" t="s">
        <v>758</v>
      </c>
      <c r="I6" s="1145" t="s">
        <v>1701</v>
      </c>
      <c r="J6" s="1145" t="s">
        <v>1693</v>
      </c>
      <c r="K6" s="1145" t="s">
        <v>1677</v>
      </c>
      <c r="L6" s="1145" t="s">
        <v>1748</v>
      </c>
      <c r="M6" s="1145" t="s">
        <v>1956</v>
      </c>
      <c r="N6" s="1146" t="s">
        <v>5</v>
      </c>
      <c r="O6" s="1856" t="s">
        <v>1107</v>
      </c>
      <c r="P6" s="1145" t="s">
        <v>4</v>
      </c>
      <c r="Q6" s="1145" t="s">
        <v>763</v>
      </c>
      <c r="R6" s="1145" t="s">
        <v>759</v>
      </c>
      <c r="S6" s="1145" t="s">
        <v>760</v>
      </c>
      <c r="T6" s="1138"/>
      <c r="U6" s="1139"/>
    </row>
    <row r="7" spans="1:21" ht="14.25" thickBot="1" x14ac:dyDescent="0.3">
      <c r="A7" s="1147"/>
      <c r="B7" s="1148" t="s">
        <v>3</v>
      </c>
      <c r="C7" s="1147"/>
      <c r="D7" s="1149"/>
      <c r="E7" s="1150"/>
      <c r="F7" s="1150"/>
      <c r="G7" s="1150"/>
      <c r="H7" s="1150"/>
      <c r="I7" s="1150"/>
      <c r="J7" s="1150"/>
      <c r="K7" s="1150"/>
      <c r="L7" s="1150"/>
      <c r="M7" s="1150"/>
      <c r="N7" s="1151"/>
      <c r="O7" s="1857"/>
      <c r="P7" s="1150"/>
      <c r="Q7" s="1150"/>
      <c r="R7" s="1150"/>
      <c r="S7" s="1152"/>
      <c r="T7" s="1138" t="s">
        <v>1067</v>
      </c>
      <c r="U7" s="1139" t="s">
        <v>883</v>
      </c>
    </row>
    <row r="8" spans="1:21" outlineLevel="1" x14ac:dyDescent="0.25">
      <c r="A8" s="1153"/>
      <c r="B8" s="1154" t="s">
        <v>289</v>
      </c>
      <c r="C8" s="1163" t="s">
        <v>1613</v>
      </c>
      <c r="D8" s="1155"/>
      <c r="E8" s="1156"/>
      <c r="F8" s="1156"/>
      <c r="G8" s="1157"/>
      <c r="H8" s="1156" t="s">
        <v>761</v>
      </c>
      <c r="I8" s="1158">
        <v>950000</v>
      </c>
      <c r="J8" s="1158">
        <v>950000</v>
      </c>
      <c r="K8" s="1158">
        <v>950000</v>
      </c>
      <c r="L8" s="1158">
        <v>950000</v>
      </c>
      <c r="M8" s="1158">
        <f>[5]TSÚ!$B$11</f>
        <v>770000</v>
      </c>
      <c r="N8" s="1159"/>
      <c r="O8" s="1858">
        <f t="shared" ref="O8" si="0">M8-P8</f>
        <v>770000</v>
      </c>
      <c r="P8" s="1160"/>
      <c r="Q8" s="1161"/>
      <c r="R8" s="1161"/>
      <c r="S8" s="1158"/>
      <c r="T8" s="1138"/>
      <c r="U8" s="1139"/>
    </row>
    <row r="9" spans="1:21" outlineLevel="1" x14ac:dyDescent="0.25">
      <c r="A9" s="1153"/>
      <c r="B9" s="1162" t="s">
        <v>289</v>
      </c>
      <c r="C9" s="1163" t="s">
        <v>318</v>
      </c>
      <c r="D9" s="1163"/>
      <c r="E9" s="1164"/>
      <c r="F9" s="1164"/>
      <c r="G9" s="1165"/>
      <c r="H9" s="1164"/>
      <c r="I9" s="1166"/>
      <c r="J9" s="1166"/>
      <c r="K9" s="1166"/>
      <c r="L9" s="1166"/>
      <c r="M9" s="1166">
        <f>[5]TSÚ!$B$12</f>
        <v>950000</v>
      </c>
      <c r="N9" s="1167"/>
      <c r="O9" s="1859">
        <f>M9-P9</f>
        <v>950000</v>
      </c>
      <c r="P9" s="1168"/>
      <c r="Q9" s="1169"/>
      <c r="R9" s="1169"/>
      <c r="S9" s="1166"/>
      <c r="T9" s="1138"/>
      <c r="U9" s="1139"/>
    </row>
    <row r="10" spans="1:21" outlineLevel="1" x14ac:dyDescent="0.25">
      <c r="A10" s="1153"/>
      <c r="B10" s="1162" t="s">
        <v>289</v>
      </c>
      <c r="C10" s="1163" t="s">
        <v>1614</v>
      </c>
      <c r="D10" s="1163"/>
      <c r="E10" s="1164"/>
      <c r="F10" s="1164"/>
      <c r="G10" s="1165"/>
      <c r="H10" s="1164" t="s">
        <v>761</v>
      </c>
      <c r="I10" s="1166"/>
      <c r="J10" s="1166">
        <v>770000</v>
      </c>
      <c r="K10" s="1166">
        <v>770000</v>
      </c>
      <c r="L10" s="1166">
        <v>770000</v>
      </c>
      <c r="M10" s="1166">
        <f>[5]TSÚ!$B$13</f>
        <v>0</v>
      </c>
      <c r="N10" s="1167"/>
      <c r="O10" s="1859">
        <f t="shared" ref="O10:O73" si="1">M10-P10</f>
        <v>0</v>
      </c>
      <c r="P10" s="1168"/>
      <c r="Q10" s="1169"/>
      <c r="R10" s="1169"/>
      <c r="S10" s="1166"/>
      <c r="T10" s="1138"/>
      <c r="U10" s="1139"/>
    </row>
    <row r="11" spans="1:21" outlineLevel="1" x14ac:dyDescent="0.25">
      <c r="A11" s="1153"/>
      <c r="B11" s="1162" t="s">
        <v>289</v>
      </c>
      <c r="C11" s="1163" t="s">
        <v>1388</v>
      </c>
      <c r="D11" s="1163"/>
      <c r="E11" s="1164"/>
      <c r="F11" s="1164"/>
      <c r="G11" s="1165"/>
      <c r="H11" s="1164" t="s">
        <v>761</v>
      </c>
      <c r="I11" s="1166">
        <v>110000</v>
      </c>
      <c r="J11" s="1166"/>
      <c r="K11" s="1166"/>
      <c r="L11" s="1166"/>
      <c r="M11" s="1166">
        <f>[5]TSÚ!$B$14</f>
        <v>420000</v>
      </c>
      <c r="N11" s="1167"/>
      <c r="O11" s="1859">
        <f t="shared" si="1"/>
        <v>420000</v>
      </c>
      <c r="P11" s="1168"/>
      <c r="Q11" s="1169"/>
      <c r="R11" s="1169"/>
      <c r="S11" s="1166"/>
      <c r="T11" s="1138"/>
      <c r="U11" s="1139"/>
    </row>
    <row r="12" spans="1:21" outlineLevel="1" x14ac:dyDescent="0.25">
      <c r="A12" s="1153"/>
      <c r="B12" s="1162" t="s">
        <v>289</v>
      </c>
      <c r="C12" s="1163" t="s">
        <v>1615</v>
      </c>
      <c r="D12" s="1163"/>
      <c r="E12" s="1164"/>
      <c r="F12" s="1164"/>
      <c r="G12" s="1165"/>
      <c r="H12" s="1164" t="s">
        <v>761</v>
      </c>
      <c r="I12" s="1166">
        <v>350000</v>
      </c>
      <c r="J12" s="1166"/>
      <c r="K12" s="1166"/>
      <c r="L12" s="1166"/>
      <c r="M12" s="1166">
        <f>[5]TSÚ!$B$15</f>
        <v>0</v>
      </c>
      <c r="N12" s="1167"/>
      <c r="O12" s="1859">
        <f t="shared" si="1"/>
        <v>0</v>
      </c>
      <c r="P12" s="1168"/>
      <c r="Q12" s="1169"/>
      <c r="R12" s="1169"/>
      <c r="S12" s="1166"/>
      <c r="T12" s="1138"/>
      <c r="U12" s="1139"/>
    </row>
    <row r="13" spans="1:21" ht="14.25" outlineLevel="1" thickBot="1" x14ac:dyDescent="0.3">
      <c r="A13" s="1153"/>
      <c r="B13" s="1162" t="s">
        <v>289</v>
      </c>
      <c r="C13" s="1163" t="s">
        <v>1389</v>
      </c>
      <c r="D13" s="1163"/>
      <c r="E13" s="1164"/>
      <c r="F13" s="1164"/>
      <c r="G13" s="1165"/>
      <c r="H13" s="1164" t="s">
        <v>761</v>
      </c>
      <c r="I13" s="1166">
        <v>316000</v>
      </c>
      <c r="J13" s="1166"/>
      <c r="K13" s="1166"/>
      <c r="L13" s="1166"/>
      <c r="M13" s="1166">
        <f>[5]TSÚ!$B$16</f>
        <v>804000</v>
      </c>
      <c r="N13" s="1167"/>
      <c r="O13" s="1859">
        <f t="shared" si="1"/>
        <v>804000</v>
      </c>
      <c r="P13" s="1168"/>
      <c r="Q13" s="1169"/>
      <c r="R13" s="1169"/>
      <c r="S13" s="1166"/>
      <c r="T13" s="1138"/>
      <c r="U13" s="1139"/>
    </row>
    <row r="14" spans="1:21" ht="14.25" thickBot="1" x14ac:dyDescent="0.3">
      <c r="A14" s="2314" t="s">
        <v>743</v>
      </c>
      <c r="B14" s="2315"/>
      <c r="C14" s="1183"/>
      <c r="D14" s="1183"/>
      <c r="E14" s="1184"/>
      <c r="F14" s="1184"/>
      <c r="G14" s="1185"/>
      <c r="H14" s="1184"/>
      <c r="I14" s="1186">
        <f>SUM(I8:I13)</f>
        <v>1726000</v>
      </c>
      <c r="J14" s="1186">
        <v>2930000</v>
      </c>
      <c r="K14" s="1186">
        <v>2930000</v>
      </c>
      <c r="L14" s="1186">
        <v>2930000</v>
      </c>
      <c r="M14" s="1186">
        <f>SUM(M8:M13)</f>
        <v>2944000</v>
      </c>
      <c r="N14" s="1187"/>
      <c r="O14" s="1861">
        <f t="shared" si="1"/>
        <v>2944000</v>
      </c>
      <c r="P14" s="1186">
        <f>SUM(P8:P13)</f>
        <v>0</v>
      </c>
      <c r="Q14" s="1188"/>
      <c r="R14" s="1188"/>
      <c r="S14" s="1189"/>
      <c r="T14" s="1190">
        <f>'Výdaje kapitol celkem'!S66</f>
        <v>2944000</v>
      </c>
      <c r="U14" s="1191">
        <f>+T14-M14</f>
        <v>0</v>
      </c>
    </row>
    <row r="15" spans="1:21" outlineLevel="1" x14ac:dyDescent="0.25">
      <c r="A15" s="1192"/>
      <c r="B15" s="1162" t="s">
        <v>165</v>
      </c>
      <c r="C15" s="1163" t="s">
        <v>1998</v>
      </c>
      <c r="D15" s="1163"/>
      <c r="E15" s="1164"/>
      <c r="F15" s="1164"/>
      <c r="G15" s="1165"/>
      <c r="H15" s="1164" t="s">
        <v>761</v>
      </c>
      <c r="I15" s="1166">
        <v>0</v>
      </c>
      <c r="J15" s="1166">
        <v>0</v>
      </c>
      <c r="K15" s="1166">
        <v>0</v>
      </c>
      <c r="L15" s="1166">
        <v>0</v>
      </c>
      <c r="M15" s="1166">
        <f>'[3]Městská policie'!$B$155</f>
        <v>0</v>
      </c>
      <c r="N15" s="1167"/>
      <c r="O15" s="1859">
        <f t="shared" si="1"/>
        <v>0</v>
      </c>
      <c r="P15" s="1168"/>
      <c r="Q15" s="1169"/>
      <c r="R15" s="1169"/>
      <c r="S15" s="1166"/>
      <c r="T15" s="1138"/>
      <c r="U15" s="1139"/>
    </row>
    <row r="16" spans="1:21" outlineLevel="1" x14ac:dyDescent="0.25">
      <c r="A16" s="1193"/>
      <c r="B16" s="1162" t="s">
        <v>165</v>
      </c>
      <c r="C16" s="1163" t="s">
        <v>1999</v>
      </c>
      <c r="D16" s="1163"/>
      <c r="E16" s="1164"/>
      <c r="F16" s="1164"/>
      <c r="G16" s="1165"/>
      <c r="H16" s="1164" t="s">
        <v>761</v>
      </c>
      <c r="I16" s="1166">
        <v>0</v>
      </c>
      <c r="J16" s="1166">
        <v>0</v>
      </c>
      <c r="K16" s="1166">
        <v>0</v>
      </c>
      <c r="L16" s="1166">
        <v>0</v>
      </c>
      <c r="M16" s="1166">
        <f>'[3]Městská policie'!$B$162</f>
        <v>0</v>
      </c>
      <c r="N16" s="1167"/>
      <c r="O16" s="1859">
        <f t="shared" si="1"/>
        <v>0</v>
      </c>
      <c r="P16" s="1168"/>
      <c r="Q16" s="1169"/>
      <c r="R16" s="1169"/>
      <c r="S16" s="1166"/>
      <c r="T16" s="1138"/>
      <c r="U16" s="1139"/>
    </row>
    <row r="17" spans="1:21" ht="14.25" outlineLevel="1" thickBot="1" x14ac:dyDescent="0.3">
      <c r="A17" s="1194"/>
      <c r="B17" s="1162" t="s">
        <v>165</v>
      </c>
      <c r="C17" s="1195"/>
      <c r="D17" s="1195"/>
      <c r="E17" s="1196"/>
      <c r="F17" s="1196"/>
      <c r="G17" s="1197"/>
      <c r="H17" s="1196" t="s">
        <v>761</v>
      </c>
      <c r="I17" s="1180">
        <v>0</v>
      </c>
      <c r="J17" s="1180">
        <v>0</v>
      </c>
      <c r="K17" s="1180">
        <v>0</v>
      </c>
      <c r="L17" s="1180">
        <v>0</v>
      </c>
      <c r="M17" s="1180"/>
      <c r="N17" s="1198"/>
      <c r="O17" s="1860">
        <f t="shared" si="1"/>
        <v>0</v>
      </c>
      <c r="P17" s="1199"/>
      <c r="Q17" s="1200"/>
      <c r="R17" s="1200"/>
      <c r="S17" s="1180"/>
      <c r="T17" s="1138"/>
      <c r="U17" s="1139"/>
    </row>
    <row r="18" spans="1:21" ht="14.25" thickBot="1" x14ac:dyDescent="0.3">
      <c r="A18" s="2314" t="s">
        <v>233</v>
      </c>
      <c r="B18" s="2315" t="s">
        <v>165</v>
      </c>
      <c r="C18" s="1183" t="s">
        <v>138</v>
      </c>
      <c r="D18" s="1183"/>
      <c r="E18" s="1184"/>
      <c r="F18" s="1184"/>
      <c r="G18" s="1185"/>
      <c r="H18" s="1184"/>
      <c r="I18" s="1186">
        <f>SUM(I15:I17)</f>
        <v>0</v>
      </c>
      <c r="J18" s="1186">
        <v>0</v>
      </c>
      <c r="K18" s="1186">
        <v>0</v>
      </c>
      <c r="L18" s="1186">
        <v>0</v>
      </c>
      <c r="M18" s="1186">
        <f>SUM(M15:M17)</f>
        <v>0</v>
      </c>
      <c r="N18" s="1187"/>
      <c r="O18" s="1861">
        <f t="shared" si="1"/>
        <v>0</v>
      </c>
      <c r="P18" s="1186">
        <f>SUM(P15:P17)</f>
        <v>0</v>
      </c>
      <c r="Q18" s="1188"/>
      <c r="R18" s="1188"/>
      <c r="S18" s="1189"/>
      <c r="T18" s="1190">
        <f>'Výdaje kapitol celkem'!V69</f>
        <v>0</v>
      </c>
      <c r="U18" s="1191">
        <f>+T18-M18</f>
        <v>0</v>
      </c>
    </row>
    <row r="19" spans="1:21" outlineLevel="1" x14ac:dyDescent="0.25">
      <c r="A19" s="1192"/>
      <c r="B19" s="1162" t="s">
        <v>414</v>
      </c>
      <c r="C19" s="1163" t="s">
        <v>1996</v>
      </c>
      <c r="D19" s="1163"/>
      <c r="E19" s="1164"/>
      <c r="F19" s="1164"/>
      <c r="G19" s="1165"/>
      <c r="H19" s="1164" t="s">
        <v>761</v>
      </c>
      <c r="I19" s="1166">
        <v>0</v>
      </c>
      <c r="J19" s="1166">
        <v>0</v>
      </c>
      <c r="K19" s="1166">
        <v>0</v>
      </c>
      <c r="L19" s="1166">
        <v>0</v>
      </c>
      <c r="M19" s="1166">
        <f>[3]Správa!$B$148</f>
        <v>115000</v>
      </c>
      <c r="N19" s="1167"/>
      <c r="O19" s="1859">
        <f t="shared" si="1"/>
        <v>115000</v>
      </c>
      <c r="P19" s="1168"/>
      <c r="Q19" s="1169"/>
      <c r="R19" s="1169"/>
      <c r="S19" s="1166"/>
      <c r="T19" s="1138"/>
      <c r="U19" s="1139"/>
    </row>
    <row r="20" spans="1:21" s="1758" customFormat="1" outlineLevel="1" x14ac:dyDescent="0.2">
      <c r="A20" s="1193"/>
      <c r="B20" s="1217" t="s">
        <v>414</v>
      </c>
      <c r="C20" s="1752" t="s">
        <v>1997</v>
      </c>
      <c r="D20" s="1753"/>
      <c r="E20" s="1754"/>
      <c r="F20" s="1754"/>
      <c r="G20" s="1755"/>
      <c r="H20" s="1754" t="s">
        <v>761</v>
      </c>
      <c r="I20" s="1221">
        <v>0</v>
      </c>
      <c r="J20" s="1221">
        <v>104000</v>
      </c>
      <c r="K20" s="1221">
        <v>104000</v>
      </c>
      <c r="L20" s="1221">
        <v>104000</v>
      </c>
      <c r="M20" s="1221">
        <f>[3]Správa!$B$149</f>
        <v>120000</v>
      </c>
      <c r="N20" s="1222"/>
      <c r="O20" s="1862">
        <f t="shared" si="1"/>
        <v>120000</v>
      </c>
      <c r="P20" s="1223"/>
      <c r="Q20" s="1224"/>
      <c r="R20" s="1224"/>
      <c r="S20" s="1221"/>
      <c r="T20" s="1756"/>
      <c r="U20" s="1757"/>
    </row>
    <row r="21" spans="1:21" ht="14.25" outlineLevel="1" thickBot="1" x14ac:dyDescent="0.3">
      <c r="A21" s="1201"/>
      <c r="B21" s="1764" t="s">
        <v>414</v>
      </c>
      <c r="C21" s="1765"/>
      <c r="D21" s="1766" t="s">
        <v>961</v>
      </c>
      <c r="E21" s="1767"/>
      <c r="F21" s="1767"/>
      <c r="G21" s="1768"/>
      <c r="H21" s="1767" t="s">
        <v>4</v>
      </c>
      <c r="I21" s="1769">
        <v>204000</v>
      </c>
      <c r="J21" s="1769"/>
      <c r="K21" s="1769"/>
      <c r="L21" s="1769"/>
      <c r="M21" s="1769"/>
      <c r="N21" s="1222"/>
      <c r="O21" s="1863">
        <f t="shared" si="1"/>
        <v>0</v>
      </c>
      <c r="P21" s="1770"/>
      <c r="Q21" s="1182"/>
      <c r="R21" s="1182"/>
      <c r="S21" s="1179"/>
      <c r="T21" s="1138"/>
      <c r="U21" s="1139"/>
    </row>
    <row r="22" spans="1:21" ht="14.25" thickBot="1" x14ac:dyDescent="0.3">
      <c r="A22" s="2314">
        <v>6171</v>
      </c>
      <c r="B22" s="2315" t="s">
        <v>414</v>
      </c>
      <c r="C22" s="1183"/>
      <c r="D22" s="1183"/>
      <c r="E22" s="1184"/>
      <c r="F22" s="1184"/>
      <c r="G22" s="1185"/>
      <c r="H22" s="1184"/>
      <c r="I22" s="1186">
        <f>SUM(I19:I21)</f>
        <v>204000</v>
      </c>
      <c r="J22" s="1186">
        <v>204000</v>
      </c>
      <c r="K22" s="1186">
        <v>204000</v>
      </c>
      <c r="L22" s="1186">
        <v>204000</v>
      </c>
      <c r="M22" s="1186">
        <f>SUM(M19:M21)</f>
        <v>235000</v>
      </c>
      <c r="N22" s="1187"/>
      <c r="O22" s="1861">
        <f t="shared" si="1"/>
        <v>235000</v>
      </c>
      <c r="P22" s="1186">
        <f>SUM(P19:P21)</f>
        <v>0</v>
      </c>
      <c r="Q22" s="1188"/>
      <c r="R22" s="1188"/>
      <c r="S22" s="1189"/>
      <c r="T22" s="1190">
        <f>'Výdaje kapitol celkem'!O69</f>
        <v>235000</v>
      </c>
      <c r="U22" s="1191">
        <f>+T22-M22</f>
        <v>0</v>
      </c>
    </row>
    <row r="23" spans="1:21" outlineLevel="1" x14ac:dyDescent="0.25">
      <c r="A23" s="1193"/>
      <c r="B23" s="1202" t="s">
        <v>226</v>
      </c>
      <c r="C23" s="1203" t="s">
        <v>136</v>
      </c>
      <c r="D23" s="1203"/>
      <c r="E23" s="1204"/>
      <c r="F23" s="1204"/>
      <c r="G23" s="1205"/>
      <c r="H23" s="1204" t="s">
        <v>4</v>
      </c>
      <c r="I23" s="1206">
        <v>0</v>
      </c>
      <c r="J23" s="1206">
        <v>0</v>
      </c>
      <c r="K23" s="1206">
        <v>0</v>
      </c>
      <c r="L23" s="1206">
        <v>0</v>
      </c>
      <c r="M23" s="1206"/>
      <c r="N23" s="1207"/>
      <c r="O23" s="1864">
        <f t="shared" si="1"/>
        <v>0</v>
      </c>
      <c r="P23" s="1208"/>
      <c r="Q23" s="1169"/>
      <c r="R23" s="1169"/>
      <c r="S23" s="1166"/>
      <c r="T23" s="1138"/>
      <c r="U23" s="1139"/>
    </row>
    <row r="24" spans="1:21" ht="14.25" outlineLevel="1" thickBot="1" x14ac:dyDescent="0.3">
      <c r="A24" s="1193"/>
      <c r="B24" s="1175" t="s">
        <v>226</v>
      </c>
      <c r="C24" s="1176" t="s">
        <v>734</v>
      </c>
      <c r="D24" s="1176"/>
      <c r="E24" s="1177"/>
      <c r="F24" s="1177"/>
      <c r="G24" s="1178"/>
      <c r="H24" s="1177" t="s">
        <v>4</v>
      </c>
      <c r="I24" s="1179">
        <v>0</v>
      </c>
      <c r="J24" s="1179">
        <v>0</v>
      </c>
      <c r="K24" s="1179">
        <v>0</v>
      </c>
      <c r="L24" s="1179">
        <v>0</v>
      </c>
      <c r="M24" s="1179"/>
      <c r="N24" s="1209"/>
      <c r="O24" s="1865">
        <f t="shared" si="1"/>
        <v>0</v>
      </c>
      <c r="P24" s="1181"/>
      <c r="Q24" s="1182"/>
      <c r="R24" s="1182"/>
      <c r="S24" s="1179"/>
      <c r="T24" s="1138"/>
      <c r="U24" s="1139"/>
    </row>
    <row r="25" spans="1:21" ht="14.25" thickBot="1" x14ac:dyDescent="0.3">
      <c r="A25" s="2314">
        <v>3314</v>
      </c>
      <c r="B25" s="2315" t="s">
        <v>226</v>
      </c>
      <c r="C25" s="1183" t="s">
        <v>226</v>
      </c>
      <c r="D25" s="1183"/>
      <c r="E25" s="1184"/>
      <c r="F25" s="1184"/>
      <c r="G25" s="1185"/>
      <c r="H25" s="1184"/>
      <c r="I25" s="1186">
        <v>0</v>
      </c>
      <c r="J25" s="1186">
        <v>0</v>
      </c>
      <c r="K25" s="1186">
        <v>0</v>
      </c>
      <c r="L25" s="1186">
        <v>0</v>
      </c>
      <c r="M25" s="1186">
        <f t="shared" ref="M25" si="2">SUM(M23:M24)</f>
        <v>0</v>
      </c>
      <c r="N25" s="1187"/>
      <c r="O25" s="1861">
        <f t="shared" si="1"/>
        <v>0</v>
      </c>
      <c r="P25" s="1186">
        <f t="shared" ref="P25" si="3">SUM(P23:P24)</f>
        <v>0</v>
      </c>
      <c r="Q25" s="1188"/>
      <c r="R25" s="1188"/>
      <c r="S25" s="1189"/>
      <c r="T25" s="1190">
        <f>'Výdaje kapitol celkem'!X69</f>
        <v>0</v>
      </c>
      <c r="U25" s="1191">
        <f>+T25-M25</f>
        <v>0</v>
      </c>
    </row>
    <row r="26" spans="1:21" s="1215" customFormat="1" hidden="1" outlineLevel="1" x14ac:dyDescent="0.25">
      <c r="A26" s="1210"/>
      <c r="B26" s="1170" t="s">
        <v>169</v>
      </c>
      <c r="C26" s="1211" t="s">
        <v>565</v>
      </c>
      <c r="D26" s="1211"/>
      <c r="E26" s="1212"/>
      <c r="F26" s="1212"/>
      <c r="G26" s="1213"/>
      <c r="H26" s="1212" t="s">
        <v>761</v>
      </c>
      <c r="I26" s="1166">
        <v>0</v>
      </c>
      <c r="J26" s="1166">
        <v>0</v>
      </c>
      <c r="K26" s="1166">
        <v>0</v>
      </c>
      <c r="L26" s="1166">
        <v>0</v>
      </c>
      <c r="M26" s="1166"/>
      <c r="N26" s="1167"/>
      <c r="O26" s="1859">
        <f t="shared" si="1"/>
        <v>0</v>
      </c>
      <c r="P26" s="1168"/>
      <c r="Q26" s="1169"/>
      <c r="R26" s="1169"/>
      <c r="S26" s="1166"/>
      <c r="T26" s="1138"/>
      <c r="U26" s="1214"/>
    </row>
    <row r="27" spans="1:21" s="1215" customFormat="1" hidden="1" outlineLevel="1" x14ac:dyDescent="0.25">
      <c r="A27" s="1210"/>
      <c r="B27" s="1162" t="s">
        <v>169</v>
      </c>
      <c r="C27" s="1211" t="s">
        <v>831</v>
      </c>
      <c r="D27" s="1211"/>
      <c r="E27" s="1212"/>
      <c r="F27" s="1212"/>
      <c r="G27" s="1213"/>
      <c r="H27" s="1212" t="s">
        <v>761</v>
      </c>
      <c r="I27" s="1166">
        <v>0</v>
      </c>
      <c r="J27" s="1166">
        <v>0</v>
      </c>
      <c r="K27" s="1166">
        <v>0</v>
      </c>
      <c r="L27" s="1166">
        <v>0</v>
      </c>
      <c r="M27" s="1166"/>
      <c r="N27" s="1167"/>
      <c r="O27" s="1859">
        <f t="shared" si="1"/>
        <v>0</v>
      </c>
      <c r="P27" s="1168"/>
      <c r="Q27" s="1169"/>
      <c r="R27" s="1169"/>
      <c r="S27" s="1166"/>
      <c r="T27" s="1137"/>
      <c r="U27" s="1216"/>
    </row>
    <row r="28" spans="1:21" s="1215" customFormat="1" hidden="1" outlineLevel="1" x14ac:dyDescent="0.25">
      <c r="A28" s="1210"/>
      <c r="B28" s="1162" t="s">
        <v>169</v>
      </c>
      <c r="C28" s="1211" t="s">
        <v>566</v>
      </c>
      <c r="D28" s="1211"/>
      <c r="E28" s="1212"/>
      <c r="F28" s="1212"/>
      <c r="G28" s="1213"/>
      <c r="H28" s="1212" t="s">
        <v>761</v>
      </c>
      <c r="I28" s="1166">
        <v>0</v>
      </c>
      <c r="J28" s="1166">
        <v>0</v>
      </c>
      <c r="K28" s="1166">
        <v>0</v>
      </c>
      <c r="L28" s="1166">
        <v>0</v>
      </c>
      <c r="M28" s="1166"/>
      <c r="N28" s="1167"/>
      <c r="O28" s="1859">
        <f t="shared" si="1"/>
        <v>0</v>
      </c>
      <c r="P28" s="1168"/>
      <c r="Q28" s="1169"/>
      <c r="R28" s="1169"/>
      <c r="S28" s="1166"/>
      <c r="T28" s="1137"/>
      <c r="U28" s="1216"/>
    </row>
    <row r="29" spans="1:21" s="1215" customFormat="1" hidden="1" outlineLevel="1" x14ac:dyDescent="0.25">
      <c r="A29" s="1210"/>
      <c r="B29" s="1162" t="s">
        <v>169</v>
      </c>
      <c r="C29" s="1211" t="s">
        <v>832</v>
      </c>
      <c r="D29" s="1211"/>
      <c r="E29" s="1212"/>
      <c r="F29" s="1212"/>
      <c r="G29" s="1213"/>
      <c r="H29" s="1212" t="s">
        <v>761</v>
      </c>
      <c r="I29" s="1166">
        <v>0</v>
      </c>
      <c r="J29" s="1166">
        <v>0</v>
      </c>
      <c r="K29" s="1166">
        <v>0</v>
      </c>
      <c r="L29" s="1166">
        <v>0</v>
      </c>
      <c r="M29" s="1166"/>
      <c r="N29" s="1167"/>
      <c r="O29" s="1859">
        <f t="shared" si="1"/>
        <v>0</v>
      </c>
      <c r="P29" s="1168"/>
      <c r="Q29" s="1169"/>
      <c r="R29" s="1169"/>
      <c r="S29" s="1166"/>
      <c r="T29" s="1137"/>
      <c r="U29" s="1216"/>
    </row>
    <row r="30" spans="1:21" s="1215" customFormat="1" hidden="1" outlineLevel="1" x14ac:dyDescent="0.25">
      <c r="A30" s="1210"/>
      <c r="B30" s="1162" t="s">
        <v>169</v>
      </c>
      <c r="C30" s="1211" t="s">
        <v>567</v>
      </c>
      <c r="D30" s="1211"/>
      <c r="E30" s="1212"/>
      <c r="F30" s="1212"/>
      <c r="G30" s="1213"/>
      <c r="H30" s="1212" t="s">
        <v>761</v>
      </c>
      <c r="I30" s="1166">
        <v>0</v>
      </c>
      <c r="J30" s="1166">
        <v>0</v>
      </c>
      <c r="K30" s="1166">
        <v>0</v>
      </c>
      <c r="L30" s="1166">
        <v>0</v>
      </c>
      <c r="M30" s="1166"/>
      <c r="N30" s="1167"/>
      <c r="O30" s="1859">
        <f t="shared" si="1"/>
        <v>0</v>
      </c>
      <c r="P30" s="1168"/>
      <c r="Q30" s="1169"/>
      <c r="R30" s="1169"/>
      <c r="S30" s="1166"/>
      <c r="T30" s="1137"/>
      <c r="U30" s="1216"/>
    </row>
    <row r="31" spans="1:21" s="1215" customFormat="1" hidden="1" outlineLevel="1" x14ac:dyDescent="0.25">
      <c r="A31" s="1210"/>
      <c r="B31" s="1162" t="s">
        <v>169</v>
      </c>
      <c r="C31" s="1211" t="s">
        <v>834</v>
      </c>
      <c r="D31" s="1211"/>
      <c r="E31" s="1212"/>
      <c r="F31" s="1212"/>
      <c r="G31" s="1213"/>
      <c r="H31" s="1212" t="s">
        <v>761</v>
      </c>
      <c r="I31" s="1166">
        <v>0</v>
      </c>
      <c r="J31" s="1166">
        <v>0</v>
      </c>
      <c r="K31" s="1166">
        <v>0</v>
      </c>
      <c r="L31" s="1166">
        <v>0</v>
      </c>
      <c r="M31" s="1166"/>
      <c r="N31" s="1167"/>
      <c r="O31" s="1859">
        <f t="shared" si="1"/>
        <v>0</v>
      </c>
      <c r="P31" s="1168"/>
      <c r="Q31" s="1169"/>
      <c r="R31" s="1169"/>
      <c r="S31" s="1166"/>
      <c r="T31" s="1137"/>
      <c r="U31" s="1216"/>
    </row>
    <row r="32" spans="1:21" s="1215" customFormat="1" hidden="1" outlineLevel="1" x14ac:dyDescent="0.25">
      <c r="A32" s="1210"/>
      <c r="B32" s="1162" t="s">
        <v>169</v>
      </c>
      <c r="C32" s="1211" t="s">
        <v>1686</v>
      </c>
      <c r="D32" s="1211"/>
      <c r="E32" s="1212"/>
      <c r="F32" s="1212"/>
      <c r="G32" s="1213"/>
      <c r="H32" s="1212" t="s">
        <v>761</v>
      </c>
      <c r="I32" s="1166">
        <v>935000</v>
      </c>
      <c r="J32" s="1166"/>
      <c r="K32" s="1166"/>
      <c r="L32" s="1166"/>
      <c r="M32" s="1166"/>
      <c r="N32" s="1167"/>
      <c r="O32" s="1859">
        <f t="shared" si="1"/>
        <v>0</v>
      </c>
      <c r="P32" s="1168"/>
      <c r="Q32" s="1169"/>
      <c r="R32" s="1169"/>
      <c r="S32" s="1166"/>
      <c r="T32" s="1137"/>
      <c r="U32" s="1216"/>
    </row>
    <row r="33" spans="1:21" s="1228" customFormat="1" hidden="1" outlineLevel="1" x14ac:dyDescent="0.25">
      <c r="A33" s="1210"/>
      <c r="B33" s="1217" t="s">
        <v>169</v>
      </c>
      <c r="C33" s="1218" t="s">
        <v>1629</v>
      </c>
      <c r="D33" s="1218"/>
      <c r="E33" s="1219"/>
      <c r="F33" s="1219"/>
      <c r="G33" s="1220"/>
      <c r="H33" s="1212" t="s">
        <v>761</v>
      </c>
      <c r="I33" s="1221">
        <v>0</v>
      </c>
      <c r="J33" s="1221">
        <v>0</v>
      </c>
      <c r="K33" s="1221">
        <v>84700</v>
      </c>
      <c r="L33" s="1221">
        <v>894700</v>
      </c>
      <c r="M33" s="1221"/>
      <c r="N33" s="1222"/>
      <c r="O33" s="1862">
        <f t="shared" si="1"/>
        <v>0</v>
      </c>
      <c r="P33" s="1223"/>
      <c r="Q33" s="1224"/>
      <c r="R33" s="1224"/>
      <c r="S33" s="1225"/>
      <c r="T33" s="1226"/>
      <c r="U33" s="1227"/>
    </row>
    <row r="34" spans="1:21" s="1215" customFormat="1" hidden="1" outlineLevel="1" x14ac:dyDescent="0.25">
      <c r="A34" s="1210"/>
      <c r="B34" s="1162" t="s">
        <v>169</v>
      </c>
      <c r="C34" s="1211" t="s">
        <v>1630</v>
      </c>
      <c r="D34" s="1211"/>
      <c r="E34" s="1212"/>
      <c r="F34" s="1212"/>
      <c r="G34" s="1213"/>
      <c r="H34" s="1212" t="s">
        <v>761</v>
      </c>
      <c r="I34" s="1166">
        <v>0</v>
      </c>
      <c r="J34" s="1166">
        <v>0</v>
      </c>
      <c r="K34" s="1166">
        <v>0</v>
      </c>
      <c r="L34" s="1166">
        <v>7000</v>
      </c>
      <c r="M34" s="1166"/>
      <c r="N34" s="1167"/>
      <c r="O34" s="1859">
        <f t="shared" si="1"/>
        <v>0</v>
      </c>
      <c r="P34" s="1168"/>
      <c r="Q34" s="1169"/>
      <c r="R34" s="1169"/>
      <c r="S34" s="1166"/>
      <c r="T34" s="1137"/>
      <c r="U34" s="1216"/>
    </row>
    <row r="35" spans="1:21" s="1215" customFormat="1" hidden="1" outlineLevel="1" x14ac:dyDescent="0.25">
      <c r="A35" s="1210"/>
      <c r="B35" s="1162" t="s">
        <v>169</v>
      </c>
      <c r="C35" s="1211" t="s">
        <v>568</v>
      </c>
      <c r="D35" s="1211"/>
      <c r="E35" s="1212"/>
      <c r="F35" s="1212"/>
      <c r="G35" s="1213"/>
      <c r="H35" s="1212" t="s">
        <v>761</v>
      </c>
      <c r="I35" s="1166">
        <v>0</v>
      </c>
      <c r="J35" s="1166">
        <v>0</v>
      </c>
      <c r="K35" s="1166">
        <v>0</v>
      </c>
      <c r="L35" s="1166"/>
      <c r="M35" s="1166"/>
      <c r="N35" s="1167"/>
      <c r="O35" s="1859">
        <f t="shared" si="1"/>
        <v>0</v>
      </c>
      <c r="P35" s="1168"/>
      <c r="Q35" s="1169"/>
      <c r="R35" s="1169"/>
      <c r="S35" s="1166"/>
      <c r="T35" s="1137"/>
      <c r="U35" s="1216"/>
    </row>
    <row r="36" spans="1:21" s="1215" customFormat="1" ht="14.25" hidden="1" outlineLevel="1" thickBot="1" x14ac:dyDescent="0.3">
      <c r="A36" s="1229"/>
      <c r="B36" s="1170" t="s">
        <v>169</v>
      </c>
      <c r="C36" s="1230" t="s">
        <v>833</v>
      </c>
      <c r="D36" s="1230"/>
      <c r="E36" s="1231"/>
      <c r="F36" s="1231"/>
      <c r="G36" s="1232"/>
      <c r="H36" s="1231" t="s">
        <v>761</v>
      </c>
      <c r="I36" s="1171">
        <v>0</v>
      </c>
      <c r="J36" s="1171">
        <v>0</v>
      </c>
      <c r="K36" s="1171">
        <v>0</v>
      </c>
      <c r="L36" s="1171">
        <v>0</v>
      </c>
      <c r="M36" s="1171"/>
      <c r="N36" s="1174"/>
      <c r="O36" s="1866">
        <f t="shared" si="1"/>
        <v>0</v>
      </c>
      <c r="P36" s="1172"/>
      <c r="Q36" s="1173"/>
      <c r="R36" s="1173"/>
      <c r="S36" s="1171"/>
      <c r="T36" s="1137"/>
      <c r="U36" s="1216"/>
    </row>
    <row r="37" spans="1:21" ht="14.25" collapsed="1" thickBot="1" x14ac:dyDescent="0.3">
      <c r="A37" s="2314" t="s">
        <v>744</v>
      </c>
      <c r="B37" s="2315"/>
      <c r="C37" s="1183"/>
      <c r="D37" s="1183"/>
      <c r="E37" s="1184"/>
      <c r="F37" s="1184"/>
      <c r="G37" s="1185"/>
      <c r="H37" s="1184"/>
      <c r="I37" s="1186">
        <f>SUM(I26:I36)</f>
        <v>935000</v>
      </c>
      <c r="J37" s="1186">
        <v>0</v>
      </c>
      <c r="K37" s="1186">
        <v>84700</v>
      </c>
      <c r="L37" s="1186">
        <v>901700</v>
      </c>
      <c r="M37" s="1186">
        <f>SUM(M26:M36)</f>
        <v>0</v>
      </c>
      <c r="N37" s="1187"/>
      <c r="O37" s="1861">
        <f t="shared" si="1"/>
        <v>0</v>
      </c>
      <c r="P37" s="1186">
        <f>SUM(P26:P36)</f>
        <v>0</v>
      </c>
      <c r="Q37" s="1188"/>
      <c r="R37" s="1188"/>
      <c r="S37" s="1189"/>
      <c r="T37" s="1190">
        <f>'Výdaje kapitol celkem'!AA69</f>
        <v>0</v>
      </c>
      <c r="U37" s="1191">
        <f>+T37-M37</f>
        <v>0</v>
      </c>
    </row>
    <row r="38" spans="1:21" s="1215" customFormat="1" outlineLevel="1" x14ac:dyDescent="0.25">
      <c r="A38" s="1210"/>
      <c r="B38" s="1162" t="s">
        <v>171</v>
      </c>
      <c r="C38" s="1211" t="s">
        <v>736</v>
      </c>
      <c r="D38" s="1211"/>
      <c r="E38" s="1212"/>
      <c r="F38" s="1212"/>
      <c r="G38" s="1213"/>
      <c r="H38" s="1212" t="s">
        <v>761</v>
      </c>
      <c r="I38" s="1166">
        <v>6700</v>
      </c>
      <c r="J38" s="1166">
        <v>30000</v>
      </c>
      <c r="K38" s="1166">
        <v>30000</v>
      </c>
      <c r="L38" s="1166">
        <v>23000</v>
      </c>
      <c r="M38" s="1166">
        <f>[5]Nebyty!$B$8</f>
        <v>30000</v>
      </c>
      <c r="N38" s="1167"/>
      <c r="O38" s="1859">
        <f t="shared" si="1"/>
        <v>30000</v>
      </c>
      <c r="P38" s="1168"/>
      <c r="Q38" s="1169"/>
      <c r="R38" s="1169"/>
      <c r="S38" s="1166"/>
      <c r="T38" s="1138"/>
      <c r="U38" s="1214"/>
    </row>
    <row r="39" spans="1:21" s="1215" customFormat="1" ht="15" customHeight="1" outlineLevel="1" x14ac:dyDescent="0.25">
      <c r="A39" s="1210"/>
      <c r="B39" s="1162" t="s">
        <v>171</v>
      </c>
      <c r="C39" s="1233" t="s">
        <v>735</v>
      </c>
      <c r="D39" s="1233"/>
      <c r="E39" s="1212"/>
      <c r="F39" s="1212"/>
      <c r="G39" s="1213"/>
      <c r="H39" s="1212" t="s">
        <v>761</v>
      </c>
      <c r="I39" s="1166">
        <v>30000</v>
      </c>
      <c r="J39" s="1166">
        <v>30000</v>
      </c>
      <c r="K39" s="1166">
        <v>30000</v>
      </c>
      <c r="L39" s="1166">
        <v>20000</v>
      </c>
      <c r="M39" s="1166">
        <f>[5]Nebyty!$B$24</f>
        <v>30000</v>
      </c>
      <c r="N39" s="1167"/>
      <c r="O39" s="1859">
        <f t="shared" si="1"/>
        <v>30000</v>
      </c>
      <c r="P39" s="1168"/>
      <c r="Q39" s="1169"/>
      <c r="R39" s="1169"/>
      <c r="S39" s="1166"/>
      <c r="T39" s="1138"/>
      <c r="U39" s="1214"/>
    </row>
    <row r="40" spans="1:21" s="1215" customFormat="1" ht="15" hidden="1" customHeight="1" outlineLevel="1" x14ac:dyDescent="0.25">
      <c r="A40" s="1210"/>
      <c r="B40" s="1162" t="s">
        <v>171</v>
      </c>
      <c r="C40" s="1233" t="s">
        <v>871</v>
      </c>
      <c r="D40" s="1233"/>
      <c r="E40" s="1212"/>
      <c r="F40" s="1212"/>
      <c r="G40" s="1213"/>
      <c r="H40" s="1212" t="s">
        <v>761</v>
      </c>
      <c r="I40" s="1166">
        <v>0</v>
      </c>
      <c r="J40" s="1166">
        <v>0</v>
      </c>
      <c r="K40" s="1166">
        <v>0</v>
      </c>
      <c r="L40" s="1166">
        <v>0</v>
      </c>
      <c r="M40" s="1166"/>
      <c r="N40" s="1167"/>
      <c r="O40" s="1859">
        <f t="shared" si="1"/>
        <v>0</v>
      </c>
      <c r="P40" s="1168"/>
      <c r="Q40" s="1169"/>
      <c r="R40" s="1169"/>
      <c r="S40" s="1166"/>
      <c r="T40" s="1138"/>
      <c r="U40" s="1214"/>
    </row>
    <row r="41" spans="1:21" s="1215" customFormat="1" ht="15" customHeight="1" outlineLevel="1" thickBot="1" x14ac:dyDescent="0.3">
      <c r="A41" s="1210"/>
      <c r="B41" s="1162" t="s">
        <v>171</v>
      </c>
      <c r="C41" s="1233" t="s">
        <v>872</v>
      </c>
      <c r="D41" s="1233"/>
      <c r="E41" s="1212"/>
      <c r="F41" s="1212"/>
      <c r="G41" s="1213"/>
      <c r="H41" s="1212" t="s">
        <v>761</v>
      </c>
      <c r="I41" s="1166">
        <v>0</v>
      </c>
      <c r="J41" s="1166">
        <v>0</v>
      </c>
      <c r="K41" s="1166">
        <v>0</v>
      </c>
      <c r="L41" s="1166">
        <v>0</v>
      </c>
      <c r="M41" s="1166"/>
      <c r="N41" s="1167"/>
      <c r="O41" s="1859">
        <f t="shared" si="1"/>
        <v>0</v>
      </c>
      <c r="P41" s="1168"/>
      <c r="Q41" s="1169"/>
      <c r="R41" s="1169"/>
      <c r="S41" s="1166"/>
      <c r="T41" s="1138"/>
      <c r="U41" s="1214"/>
    </row>
    <row r="42" spans="1:21" s="1215" customFormat="1" ht="15" hidden="1" customHeight="1" outlineLevel="1" x14ac:dyDescent="0.25">
      <c r="A42" s="1210"/>
      <c r="B42" s="1162" t="s">
        <v>171</v>
      </c>
      <c r="C42" s="1233" t="s">
        <v>306</v>
      </c>
      <c r="D42" s="1233"/>
      <c r="E42" s="1212"/>
      <c r="F42" s="1212"/>
      <c r="G42" s="1213"/>
      <c r="H42" s="1212" t="s">
        <v>761</v>
      </c>
      <c r="I42" s="1166">
        <v>0</v>
      </c>
      <c r="J42" s="1166">
        <v>0</v>
      </c>
      <c r="K42" s="1166">
        <v>0</v>
      </c>
      <c r="L42" s="1166">
        <v>0</v>
      </c>
      <c r="M42" s="1166"/>
      <c r="N42" s="1167"/>
      <c r="O42" s="1859">
        <f t="shared" si="1"/>
        <v>0</v>
      </c>
      <c r="P42" s="1168"/>
      <c r="Q42" s="1169"/>
      <c r="R42" s="1169"/>
      <c r="S42" s="1166"/>
      <c r="T42" s="1138"/>
      <c r="U42" s="1214"/>
    </row>
    <row r="43" spans="1:21" s="1215" customFormat="1" ht="15" hidden="1" customHeight="1" outlineLevel="1" x14ac:dyDescent="0.25">
      <c r="A43" s="1210"/>
      <c r="B43" s="1162" t="s">
        <v>171</v>
      </c>
      <c r="C43" s="1233" t="s">
        <v>873</v>
      </c>
      <c r="D43" s="1233"/>
      <c r="E43" s="1212"/>
      <c r="F43" s="1212"/>
      <c r="G43" s="1213"/>
      <c r="H43" s="1212" t="s">
        <v>761</v>
      </c>
      <c r="I43" s="1166">
        <v>0</v>
      </c>
      <c r="J43" s="1166">
        <v>0</v>
      </c>
      <c r="K43" s="1166">
        <v>0</v>
      </c>
      <c r="L43" s="1166">
        <v>0</v>
      </c>
      <c r="M43" s="1166"/>
      <c r="N43" s="1167"/>
      <c r="O43" s="1859">
        <f t="shared" si="1"/>
        <v>0</v>
      </c>
      <c r="P43" s="1168"/>
      <c r="Q43" s="1169"/>
      <c r="R43" s="1169"/>
      <c r="S43" s="1166"/>
      <c r="T43" s="1138"/>
      <c r="U43" s="1214"/>
    </row>
    <row r="44" spans="1:21" s="1215" customFormat="1" ht="15" hidden="1" customHeight="1" outlineLevel="1" x14ac:dyDescent="0.25">
      <c r="A44" s="1210"/>
      <c r="B44" s="1162" t="s">
        <v>171</v>
      </c>
      <c r="C44" s="1233" t="s">
        <v>1631</v>
      </c>
      <c r="D44" s="1233"/>
      <c r="E44" s="1212"/>
      <c r="F44" s="1212"/>
      <c r="G44" s="1213"/>
      <c r="H44" s="1212" t="s">
        <v>761</v>
      </c>
      <c r="I44" s="1166"/>
      <c r="J44" s="1166">
        <v>0</v>
      </c>
      <c r="K44" s="1166">
        <v>0</v>
      </c>
      <c r="L44" s="1166">
        <v>0</v>
      </c>
      <c r="M44" s="1166"/>
      <c r="N44" s="1167"/>
      <c r="O44" s="1859">
        <f t="shared" si="1"/>
        <v>0</v>
      </c>
      <c r="P44" s="1168"/>
      <c r="Q44" s="1169"/>
      <c r="R44" s="1169"/>
      <c r="S44" s="1166"/>
      <c r="T44" s="1138"/>
      <c r="U44" s="1214"/>
    </row>
    <row r="45" spans="1:21" s="1215" customFormat="1" ht="15" hidden="1" customHeight="1" outlineLevel="1" x14ac:dyDescent="0.25">
      <c r="A45" s="1210"/>
      <c r="B45" s="1162" t="s">
        <v>171</v>
      </c>
      <c r="C45" s="1233" t="s">
        <v>1702</v>
      </c>
      <c r="D45" s="1233"/>
      <c r="E45" s="1212"/>
      <c r="F45" s="1212"/>
      <c r="G45" s="1213"/>
      <c r="H45" s="1212" t="s">
        <v>761</v>
      </c>
      <c r="I45" s="1166"/>
      <c r="J45" s="1166">
        <v>423500</v>
      </c>
      <c r="K45" s="1166">
        <v>423500</v>
      </c>
      <c r="L45" s="1166">
        <v>0</v>
      </c>
      <c r="M45" s="1166"/>
      <c r="N45" s="1167"/>
      <c r="O45" s="1859">
        <f t="shared" si="1"/>
        <v>0</v>
      </c>
      <c r="P45" s="1168"/>
      <c r="Q45" s="1169"/>
      <c r="R45" s="1169"/>
      <c r="S45" s="1166"/>
      <c r="T45" s="1138"/>
      <c r="U45" s="1214"/>
    </row>
    <row r="46" spans="1:21" s="1215" customFormat="1" ht="15" hidden="1" customHeight="1" outlineLevel="1" x14ac:dyDescent="0.25">
      <c r="A46" s="1210"/>
      <c r="B46" s="1162" t="s">
        <v>171</v>
      </c>
      <c r="C46" s="1233" t="s">
        <v>895</v>
      </c>
      <c r="D46" s="1233"/>
      <c r="E46" s="1212"/>
      <c r="F46" s="1212"/>
      <c r="G46" s="1213"/>
      <c r="H46" s="1212" t="s">
        <v>761</v>
      </c>
      <c r="I46" s="1166">
        <v>0</v>
      </c>
      <c r="J46" s="1166">
        <v>0</v>
      </c>
      <c r="K46" s="1166">
        <v>0</v>
      </c>
      <c r="L46" s="1166">
        <v>0</v>
      </c>
      <c r="M46" s="1166"/>
      <c r="N46" s="1167"/>
      <c r="O46" s="1859">
        <f t="shared" si="1"/>
        <v>0</v>
      </c>
      <c r="P46" s="1168"/>
      <c r="Q46" s="1169"/>
      <c r="R46" s="1169"/>
      <c r="S46" s="1166"/>
      <c r="T46" s="1138"/>
      <c r="U46" s="1214"/>
    </row>
    <row r="47" spans="1:21" s="1215" customFormat="1" ht="15" hidden="1" customHeight="1" outlineLevel="1" x14ac:dyDescent="0.25">
      <c r="A47" s="1210"/>
      <c r="B47" s="1162" t="s">
        <v>171</v>
      </c>
      <c r="C47" s="1233" t="s">
        <v>896</v>
      </c>
      <c r="D47" s="1233"/>
      <c r="E47" s="1212"/>
      <c r="F47" s="1212"/>
      <c r="G47" s="1213"/>
      <c r="H47" s="1212" t="s">
        <v>761</v>
      </c>
      <c r="I47" s="1166">
        <v>0</v>
      </c>
      <c r="J47" s="1166">
        <v>0</v>
      </c>
      <c r="K47" s="1166">
        <v>0</v>
      </c>
      <c r="L47" s="1166">
        <v>0</v>
      </c>
      <c r="M47" s="1166"/>
      <c r="N47" s="1167"/>
      <c r="O47" s="1859">
        <f t="shared" si="1"/>
        <v>0</v>
      </c>
      <c r="P47" s="1168"/>
      <c r="Q47" s="1169"/>
      <c r="R47" s="1169"/>
      <c r="S47" s="1166"/>
      <c r="T47" s="1138"/>
      <c r="U47" s="1214"/>
    </row>
    <row r="48" spans="1:21" s="1215" customFormat="1" ht="15" hidden="1" customHeight="1" outlineLevel="1" x14ac:dyDescent="0.25">
      <c r="A48" s="1210"/>
      <c r="B48" s="1162" t="s">
        <v>171</v>
      </c>
      <c r="C48" s="1233" t="s">
        <v>898</v>
      </c>
      <c r="D48" s="1233"/>
      <c r="E48" s="1212"/>
      <c r="F48" s="1212"/>
      <c r="G48" s="1213"/>
      <c r="H48" s="1212" t="s">
        <v>761</v>
      </c>
      <c r="I48" s="1166">
        <v>0</v>
      </c>
      <c r="J48" s="1166">
        <v>0</v>
      </c>
      <c r="K48" s="1166">
        <v>0</v>
      </c>
      <c r="L48" s="1166">
        <v>0</v>
      </c>
      <c r="M48" s="1166"/>
      <c r="N48" s="1167"/>
      <c r="O48" s="1859">
        <f t="shared" si="1"/>
        <v>0</v>
      </c>
      <c r="P48" s="1168"/>
      <c r="Q48" s="1169"/>
      <c r="R48" s="1169"/>
      <c r="S48" s="1166"/>
      <c r="T48" s="1138"/>
      <c r="U48" s="1214"/>
    </row>
    <row r="49" spans="1:21" s="1215" customFormat="1" ht="15" hidden="1" customHeight="1" outlineLevel="1" x14ac:dyDescent="0.25">
      <c r="A49" s="1210"/>
      <c r="B49" s="1162" t="s">
        <v>171</v>
      </c>
      <c r="C49" s="1233" t="s">
        <v>897</v>
      </c>
      <c r="D49" s="1233"/>
      <c r="E49" s="1212"/>
      <c r="F49" s="1212"/>
      <c r="G49" s="1213"/>
      <c r="H49" s="1212" t="s">
        <v>761</v>
      </c>
      <c r="I49" s="1166">
        <v>0</v>
      </c>
      <c r="J49" s="1166">
        <v>0</v>
      </c>
      <c r="K49" s="1166">
        <v>0</v>
      </c>
      <c r="L49" s="1166">
        <v>0</v>
      </c>
      <c r="M49" s="1166"/>
      <c r="N49" s="1167"/>
      <c r="O49" s="1859">
        <f t="shared" si="1"/>
        <v>0</v>
      </c>
      <c r="P49" s="1168"/>
      <c r="Q49" s="1169"/>
      <c r="R49" s="1169"/>
      <c r="S49" s="1166"/>
      <c r="T49" s="1138"/>
      <c r="U49" s="1214"/>
    </row>
    <row r="50" spans="1:21" s="1215" customFormat="1" ht="15" hidden="1" customHeight="1" outlineLevel="1" x14ac:dyDescent="0.25">
      <c r="A50" s="1210"/>
      <c r="B50" s="1162" t="s">
        <v>171</v>
      </c>
      <c r="C50" s="1233" t="s">
        <v>900</v>
      </c>
      <c r="D50" s="1233"/>
      <c r="E50" s="1212"/>
      <c r="F50" s="1212"/>
      <c r="G50" s="1213"/>
      <c r="H50" s="1212" t="s">
        <v>761</v>
      </c>
      <c r="I50" s="1166">
        <v>30000</v>
      </c>
      <c r="J50" s="1166">
        <v>0</v>
      </c>
      <c r="K50" s="1166">
        <v>0</v>
      </c>
      <c r="L50" s="1166">
        <v>0</v>
      </c>
      <c r="M50" s="1166"/>
      <c r="N50" s="1167"/>
      <c r="O50" s="1859">
        <f t="shared" si="1"/>
        <v>0</v>
      </c>
      <c r="P50" s="1168"/>
      <c r="Q50" s="1169"/>
      <c r="R50" s="1169"/>
      <c r="S50" s="1166"/>
      <c r="T50" s="1138"/>
      <c r="U50" s="1214"/>
    </row>
    <row r="51" spans="1:21" s="1215" customFormat="1" ht="15" hidden="1" customHeight="1" outlineLevel="1" thickBot="1" x14ac:dyDescent="0.3">
      <c r="A51" s="1210"/>
      <c r="B51" s="1162" t="s">
        <v>171</v>
      </c>
      <c r="C51" s="1233" t="s">
        <v>899</v>
      </c>
      <c r="D51" s="1233"/>
      <c r="E51" s="1212"/>
      <c r="F51" s="1212"/>
      <c r="G51" s="1213"/>
      <c r="H51" s="1212" t="s">
        <v>761</v>
      </c>
      <c r="I51" s="1166">
        <v>0</v>
      </c>
      <c r="J51" s="1166">
        <v>0</v>
      </c>
      <c r="K51" s="1166">
        <v>0</v>
      </c>
      <c r="L51" s="1166">
        <v>0</v>
      </c>
      <c r="M51" s="1166"/>
      <c r="N51" s="1167"/>
      <c r="O51" s="1859">
        <f t="shared" si="1"/>
        <v>0</v>
      </c>
      <c r="P51" s="1168"/>
      <c r="Q51" s="1169"/>
      <c r="R51" s="1169"/>
      <c r="S51" s="1166"/>
      <c r="T51" s="1138"/>
      <c r="U51" s="1214"/>
    </row>
    <row r="52" spans="1:21" ht="14.25" thickBot="1" x14ac:dyDescent="0.3">
      <c r="A52" s="2314" t="s">
        <v>745</v>
      </c>
      <c r="B52" s="2315"/>
      <c r="C52" s="1183"/>
      <c r="D52" s="1183"/>
      <c r="E52" s="1184"/>
      <c r="F52" s="1184"/>
      <c r="G52" s="1185"/>
      <c r="H52" s="1184"/>
      <c r="I52" s="1186">
        <f>SUM(I38:I51)</f>
        <v>66700</v>
      </c>
      <c r="J52" s="1186">
        <v>483500</v>
      </c>
      <c r="K52" s="1186">
        <v>483500</v>
      </c>
      <c r="L52" s="1186">
        <v>43000</v>
      </c>
      <c r="M52" s="1186">
        <f>SUM(M38:M51)</f>
        <v>60000</v>
      </c>
      <c r="N52" s="1187"/>
      <c r="O52" s="1861">
        <f t="shared" si="1"/>
        <v>60000</v>
      </c>
      <c r="P52" s="1186">
        <f>SUM(P38:P51)</f>
        <v>0</v>
      </c>
      <c r="Q52" s="1188"/>
      <c r="R52" s="1188"/>
      <c r="S52" s="1189"/>
      <c r="T52" s="1190">
        <f>'Výdaje kapitol celkem'!AG69</f>
        <v>60000</v>
      </c>
      <c r="U52" s="1191">
        <f>+T52-M52</f>
        <v>0</v>
      </c>
    </row>
    <row r="53" spans="1:21" s="1215" customFormat="1" ht="15" customHeight="1" outlineLevel="1" x14ac:dyDescent="0.25">
      <c r="A53" s="1210"/>
      <c r="B53" s="1162" t="s">
        <v>170</v>
      </c>
      <c r="C53" s="1233" t="s">
        <v>1648</v>
      </c>
      <c r="D53" s="1233"/>
      <c r="E53" s="1212"/>
      <c r="F53" s="1212"/>
      <c r="G53" s="1213"/>
      <c r="H53" s="1212" t="s">
        <v>761</v>
      </c>
      <c r="I53" s="1166"/>
      <c r="J53" s="1166">
        <v>0</v>
      </c>
      <c r="K53" s="1166">
        <v>0</v>
      </c>
      <c r="L53" s="1166">
        <v>0</v>
      </c>
      <c r="M53" s="1166">
        <f>[4]DPS!$B$50</f>
        <v>4700000</v>
      </c>
      <c r="N53" s="1167"/>
      <c r="O53" s="1859">
        <f t="shared" si="1"/>
        <v>4700000</v>
      </c>
      <c r="P53" s="1166"/>
      <c r="Q53" s="1169"/>
      <c r="R53" s="1169"/>
      <c r="S53" s="1166"/>
      <c r="T53" s="1138"/>
      <c r="U53" s="1214"/>
    </row>
    <row r="54" spans="1:21" s="1215" customFormat="1" ht="15" customHeight="1" outlineLevel="1" x14ac:dyDescent="0.25">
      <c r="A54" s="1210"/>
      <c r="B54" s="1162" t="s">
        <v>170</v>
      </c>
      <c r="C54" s="1233" t="s">
        <v>1649</v>
      </c>
      <c r="D54" s="1233"/>
      <c r="E54" s="1212"/>
      <c r="F54" s="1212"/>
      <c r="G54" s="1213"/>
      <c r="H54" s="1212" t="s">
        <v>761</v>
      </c>
      <c r="I54" s="1166">
        <v>99825</v>
      </c>
      <c r="J54" s="1166"/>
      <c r="K54" s="1166"/>
      <c r="L54" s="1166"/>
      <c r="M54" s="1166">
        <f>[4]DPS!$B$51</f>
        <v>1200000</v>
      </c>
      <c r="N54" s="1167"/>
      <c r="O54" s="1859">
        <f t="shared" si="1"/>
        <v>1200000</v>
      </c>
      <c r="P54" s="1166"/>
      <c r="Q54" s="1169"/>
      <c r="R54" s="1169"/>
      <c r="S54" s="1166"/>
      <c r="T54" s="1138"/>
      <c r="U54" s="1214"/>
    </row>
    <row r="55" spans="1:21" s="1215" customFormat="1" ht="15" customHeight="1" outlineLevel="1" x14ac:dyDescent="0.25">
      <c r="A55" s="1210"/>
      <c r="B55" s="1162" t="s">
        <v>170</v>
      </c>
      <c r="C55" s="1233" t="s">
        <v>1650</v>
      </c>
      <c r="D55" s="1233"/>
      <c r="E55" s="1212"/>
      <c r="F55" s="1212"/>
      <c r="G55" s="1213"/>
      <c r="H55" s="1212" t="s">
        <v>761</v>
      </c>
      <c r="I55" s="1166">
        <v>200860</v>
      </c>
      <c r="J55" s="1166"/>
      <c r="K55" s="1166"/>
      <c r="L55" s="1166"/>
      <c r="M55" s="1166">
        <f>[4]DPS!$B$52</f>
        <v>150000</v>
      </c>
      <c r="N55" s="1167"/>
      <c r="O55" s="1859">
        <f t="shared" si="1"/>
        <v>150000</v>
      </c>
      <c r="P55" s="1166"/>
      <c r="Q55" s="1169"/>
      <c r="R55" s="1169"/>
      <c r="S55" s="1166"/>
      <c r="T55" s="1138"/>
      <c r="U55" s="1214"/>
    </row>
    <row r="56" spans="1:21" s="1215" customFormat="1" ht="15" customHeight="1" outlineLevel="1" thickBot="1" x14ac:dyDescent="0.3">
      <c r="A56" s="1229"/>
      <c r="B56" s="1175" t="s">
        <v>170</v>
      </c>
      <c r="C56" s="1236"/>
      <c r="D56" s="1236"/>
      <c r="E56" s="1237"/>
      <c r="F56" s="1237"/>
      <c r="G56" s="1238"/>
      <c r="H56" s="1237" t="s">
        <v>761</v>
      </c>
      <c r="I56" s="1179"/>
      <c r="J56" s="1179">
        <v>0</v>
      </c>
      <c r="K56" s="1179">
        <v>0</v>
      </c>
      <c r="L56" s="1179">
        <v>0</v>
      </c>
      <c r="M56" s="1179"/>
      <c r="N56" s="1209"/>
      <c r="O56" s="1865">
        <f t="shared" si="1"/>
        <v>0</v>
      </c>
      <c r="P56" s="1179"/>
      <c r="Q56" s="1182"/>
      <c r="R56" s="1182"/>
      <c r="S56" s="1179"/>
      <c r="T56" s="1138"/>
      <c r="U56" s="1214"/>
    </row>
    <row r="57" spans="1:21" ht="14.25" thickBot="1" x14ac:dyDescent="0.3">
      <c r="A57" s="2314" t="s">
        <v>201</v>
      </c>
      <c r="B57" s="2315" t="s">
        <v>170</v>
      </c>
      <c r="C57" s="1183"/>
      <c r="D57" s="1183"/>
      <c r="E57" s="1184"/>
      <c r="F57" s="1184"/>
      <c r="G57" s="1185"/>
      <c r="H57" s="1184" t="s">
        <v>761</v>
      </c>
      <c r="I57" s="1186">
        <f>SUM(I53:I56)</f>
        <v>300685</v>
      </c>
      <c r="J57" s="1186">
        <v>0</v>
      </c>
      <c r="K57" s="1186">
        <v>0</v>
      </c>
      <c r="L57" s="1186">
        <v>0</v>
      </c>
      <c r="M57" s="1186">
        <f>SUM(M53:M56)</f>
        <v>6050000</v>
      </c>
      <c r="N57" s="1187"/>
      <c r="O57" s="1861">
        <f t="shared" si="1"/>
        <v>6050000</v>
      </c>
      <c r="P57" s="1186">
        <f>SUM(P53:P56)</f>
        <v>0</v>
      </c>
      <c r="Q57" s="1188"/>
      <c r="R57" s="1188"/>
      <c r="S57" s="1189"/>
      <c r="T57" s="1190">
        <f>'Výdaje kapitol celkem'!AD69</f>
        <v>6050000</v>
      </c>
      <c r="U57" s="1191">
        <f>+T57-M57</f>
        <v>0</v>
      </c>
    </row>
    <row r="58" spans="1:21" s="1215" customFormat="1" hidden="1" outlineLevel="1" x14ac:dyDescent="0.25">
      <c r="A58" s="1193"/>
      <c r="B58" s="1211" t="s">
        <v>882</v>
      </c>
      <c r="C58" s="1211" t="s">
        <v>840</v>
      </c>
      <c r="D58" s="1211"/>
      <c r="E58" s="1212"/>
      <c r="F58" s="1212"/>
      <c r="G58" s="1213"/>
      <c r="H58" s="1212" t="s">
        <v>761</v>
      </c>
      <c r="I58" s="1166">
        <v>0</v>
      </c>
      <c r="J58" s="1166">
        <v>0</v>
      </c>
      <c r="K58" s="1166">
        <v>0</v>
      </c>
      <c r="L58" s="1166">
        <v>0</v>
      </c>
      <c r="M58" s="1166"/>
      <c r="N58" s="1167"/>
      <c r="O58" s="1859">
        <f t="shared" si="1"/>
        <v>0</v>
      </c>
      <c r="P58" s="1168"/>
      <c r="Q58" s="1169"/>
      <c r="R58" s="1169"/>
      <c r="S58" s="1166"/>
      <c r="T58" s="1138"/>
      <c r="U58" s="1214"/>
    </row>
    <row r="59" spans="1:21" s="1215" customFormat="1" ht="14.25" hidden="1" outlineLevel="1" thickBot="1" x14ac:dyDescent="0.3">
      <c r="A59" s="1194">
        <v>4351</v>
      </c>
      <c r="B59" s="1239" t="s">
        <v>882</v>
      </c>
      <c r="C59" s="1239"/>
      <c r="D59" s="1239"/>
      <c r="E59" s="1237"/>
      <c r="F59" s="1237"/>
      <c r="G59" s="1238"/>
      <c r="H59" s="1212" t="s">
        <v>761</v>
      </c>
      <c r="I59" s="1179"/>
      <c r="J59" s="1179"/>
      <c r="K59" s="1179"/>
      <c r="L59" s="1179"/>
      <c r="M59" s="1179"/>
      <c r="N59" s="1209"/>
      <c r="O59" s="1865">
        <f t="shared" si="1"/>
        <v>0</v>
      </c>
      <c r="P59" s="1181"/>
      <c r="Q59" s="1182"/>
      <c r="R59" s="1182"/>
      <c r="S59" s="1179"/>
      <c r="T59" s="1138"/>
      <c r="U59" s="1214"/>
    </row>
    <row r="60" spans="1:21" ht="14.45" customHeight="1" collapsed="1" thickBot="1" x14ac:dyDescent="0.3">
      <c r="A60" s="2314" t="s">
        <v>839</v>
      </c>
      <c r="B60" s="2315"/>
      <c r="C60" s="1183"/>
      <c r="D60" s="1183"/>
      <c r="E60" s="1184"/>
      <c r="F60" s="1184"/>
      <c r="G60" s="1185"/>
      <c r="H60" s="1184" t="s">
        <v>761</v>
      </c>
      <c r="I60" s="1186">
        <f t="shared" ref="I60:M60" si="4">SUM(I58:I59)</f>
        <v>0</v>
      </c>
      <c r="J60" s="1186">
        <v>0</v>
      </c>
      <c r="K60" s="1186">
        <v>0</v>
      </c>
      <c r="L60" s="1186">
        <v>0</v>
      </c>
      <c r="M60" s="1186">
        <f t="shared" si="4"/>
        <v>0</v>
      </c>
      <c r="N60" s="1187"/>
      <c r="O60" s="1861">
        <f t="shared" si="1"/>
        <v>0</v>
      </c>
      <c r="P60" s="1186">
        <f t="shared" ref="P60" si="5">SUM(P58:P59)</f>
        <v>0</v>
      </c>
      <c r="Q60" s="1188"/>
      <c r="R60" s="1188"/>
      <c r="S60" s="1189"/>
      <c r="T60" s="1190">
        <f>'Výdaje kapitol celkem'!T69</f>
        <v>0</v>
      </c>
      <c r="U60" s="1191">
        <f>+T60-M60</f>
        <v>0</v>
      </c>
    </row>
    <row r="61" spans="1:21" s="1215" customFormat="1" outlineLevel="1" x14ac:dyDescent="0.25">
      <c r="A61" s="1193"/>
      <c r="B61" s="1202" t="s">
        <v>172</v>
      </c>
      <c r="C61" s="1240" t="s">
        <v>1652</v>
      </c>
      <c r="D61" s="1240"/>
      <c r="E61" s="1241"/>
      <c r="F61" s="1241"/>
      <c r="G61" s="1242"/>
      <c r="H61" s="1241" t="s">
        <v>761</v>
      </c>
      <c r="I61" s="1206"/>
      <c r="J61" s="1206"/>
      <c r="K61" s="1206"/>
      <c r="L61" s="1206"/>
      <c r="M61" s="1206">
        <f>[4]Hasiči!$B$33</f>
        <v>0</v>
      </c>
      <c r="N61" s="1207"/>
      <c r="O61" s="1864">
        <f t="shared" si="1"/>
        <v>0</v>
      </c>
      <c r="P61" s="1206">
        <f>[4]Hasiči!$C$33</f>
        <v>0</v>
      </c>
      <c r="Q61" s="1169"/>
      <c r="R61" s="1169"/>
      <c r="S61" s="1166"/>
      <c r="T61" s="1138"/>
      <c r="U61" s="1214"/>
    </row>
    <row r="62" spans="1:21" s="1215" customFormat="1" outlineLevel="1" x14ac:dyDescent="0.25">
      <c r="A62" s="1193"/>
      <c r="B62" s="1202" t="s">
        <v>172</v>
      </c>
      <c r="C62" s="1240" t="s">
        <v>346</v>
      </c>
      <c r="D62" s="1240"/>
      <c r="E62" s="1241"/>
      <c r="F62" s="1241"/>
      <c r="G62" s="1242"/>
      <c r="H62" s="1241" t="s">
        <v>761</v>
      </c>
      <c r="I62" s="1206"/>
      <c r="J62" s="1206">
        <v>0</v>
      </c>
      <c r="K62" s="1206">
        <v>0</v>
      </c>
      <c r="L62" s="1206">
        <v>0</v>
      </c>
      <c r="M62" s="1206">
        <f>[4]Hasiči!$B$40</f>
        <v>0</v>
      </c>
      <c r="N62" s="1207"/>
      <c r="O62" s="1864">
        <f t="shared" si="1"/>
        <v>0</v>
      </c>
      <c r="P62" s="1206">
        <f>[4]Hasiči!$C$40</f>
        <v>0</v>
      </c>
      <c r="Q62" s="1169"/>
      <c r="R62" s="1169"/>
      <c r="S62" s="1166"/>
      <c r="T62" s="1138"/>
      <c r="U62" s="1214"/>
    </row>
    <row r="63" spans="1:21" s="1215" customFormat="1" ht="27" outlineLevel="1" x14ac:dyDescent="0.25">
      <c r="A63" s="1193"/>
      <c r="B63" s="1230" t="s">
        <v>172</v>
      </c>
      <c r="C63" s="1230" t="s">
        <v>1972</v>
      </c>
      <c r="D63" s="1230"/>
      <c r="E63" s="1231"/>
      <c r="F63" s="1231"/>
      <c r="G63" s="1232"/>
      <c r="H63" s="1231" t="s">
        <v>761</v>
      </c>
      <c r="I63" s="1171">
        <v>80000</v>
      </c>
      <c r="J63" s="1171">
        <v>80000</v>
      </c>
      <c r="K63" s="1171">
        <v>80000</v>
      </c>
      <c r="L63" s="1171">
        <v>80000</v>
      </c>
      <c r="M63" s="1171">
        <f>[4]Hasiči!$B$41</f>
        <v>700000</v>
      </c>
      <c r="N63" s="1174"/>
      <c r="O63" s="1866">
        <f t="shared" si="1"/>
        <v>700000</v>
      </c>
      <c r="P63" s="1172"/>
      <c r="Q63" s="1173"/>
      <c r="R63" s="1173"/>
      <c r="S63" s="1171"/>
      <c r="T63" s="1138"/>
      <c r="U63" s="1214"/>
    </row>
    <row r="64" spans="1:21" s="1215" customFormat="1" ht="14.25" outlineLevel="1" thickBot="1" x14ac:dyDescent="0.3">
      <c r="A64" s="1194">
        <v>5512</v>
      </c>
      <c r="B64" s="1230"/>
      <c r="C64" s="1230"/>
      <c r="D64" s="1230"/>
      <c r="E64" s="1231"/>
      <c r="F64" s="1231"/>
      <c r="G64" s="1232"/>
      <c r="H64" s="1231"/>
      <c r="I64" s="1171"/>
      <c r="J64" s="1171"/>
      <c r="K64" s="1171"/>
      <c r="L64" s="1171"/>
      <c r="M64" s="1171"/>
      <c r="N64" s="1174"/>
      <c r="O64" s="1866">
        <f t="shared" si="1"/>
        <v>0</v>
      </c>
      <c r="P64" s="1172"/>
      <c r="Q64" s="1243"/>
      <c r="R64" s="1244"/>
      <c r="S64" s="1244"/>
      <c r="T64" s="1138"/>
      <c r="U64" s="1214"/>
    </row>
    <row r="65" spans="1:21" ht="14.25" thickBot="1" x14ac:dyDescent="0.3">
      <c r="A65" s="2314" t="s">
        <v>782</v>
      </c>
      <c r="B65" s="2315"/>
      <c r="C65" s="1183"/>
      <c r="D65" s="1183"/>
      <c r="E65" s="1184"/>
      <c r="F65" s="1184"/>
      <c r="G65" s="1185"/>
      <c r="H65" s="1184" t="s">
        <v>761</v>
      </c>
      <c r="I65" s="1186">
        <f>SUM(I61:I64)</f>
        <v>80000</v>
      </c>
      <c r="J65" s="1186">
        <v>80000</v>
      </c>
      <c r="K65" s="1186">
        <v>80000</v>
      </c>
      <c r="L65" s="1186">
        <v>80000</v>
      </c>
      <c r="M65" s="1186">
        <f>SUM(M61:M64)</f>
        <v>700000</v>
      </c>
      <c r="N65" s="1187"/>
      <c r="O65" s="1861">
        <f t="shared" si="1"/>
        <v>700000</v>
      </c>
      <c r="P65" s="1186">
        <f>SUM(P61:P64)</f>
        <v>0</v>
      </c>
      <c r="Q65" s="1188"/>
      <c r="R65" s="1188"/>
      <c r="S65" s="1189"/>
      <c r="T65" s="1190">
        <f>'Výdaje kapitol celkem'!AJ69</f>
        <v>700000</v>
      </c>
      <c r="U65" s="1191">
        <f>+T65-M65</f>
        <v>0</v>
      </c>
    </row>
    <row r="66" spans="1:21" s="1215" customFormat="1" ht="23.45" hidden="1" customHeight="1" outlineLevel="1" x14ac:dyDescent="0.25">
      <c r="A66" s="1193"/>
      <c r="B66" s="1211" t="s">
        <v>175</v>
      </c>
      <c r="C66" s="1211" t="s">
        <v>830</v>
      </c>
      <c r="D66" s="1211"/>
      <c r="E66" s="1212"/>
      <c r="F66" s="1212"/>
      <c r="G66" s="1213"/>
      <c r="H66" s="1212" t="s">
        <v>761</v>
      </c>
      <c r="I66" s="1166">
        <v>0</v>
      </c>
      <c r="J66" s="1166">
        <v>0</v>
      </c>
      <c r="K66" s="1166">
        <v>0</v>
      </c>
      <c r="L66" s="1166">
        <v>0</v>
      </c>
      <c r="M66" s="1166">
        <f>[4]Hřbitov!$B$33</f>
        <v>0</v>
      </c>
      <c r="N66" s="1167"/>
      <c r="O66" s="1859">
        <f t="shared" si="1"/>
        <v>0</v>
      </c>
      <c r="P66" s="1168"/>
      <c r="Q66" s="1169"/>
      <c r="R66" s="1169"/>
      <c r="S66" s="1167"/>
      <c r="T66" s="1138"/>
      <c r="U66" s="1214"/>
    </row>
    <row r="67" spans="1:21" s="1215" customFormat="1" ht="23.45" hidden="1" customHeight="1" outlineLevel="1" x14ac:dyDescent="0.25">
      <c r="A67" s="1193"/>
      <c r="B67" s="1230" t="s">
        <v>175</v>
      </c>
      <c r="C67" s="1230" t="s">
        <v>1973</v>
      </c>
      <c r="D67" s="1230"/>
      <c r="E67" s="1231"/>
      <c r="F67" s="1231"/>
      <c r="G67" s="1232"/>
      <c r="H67" s="1231"/>
      <c r="I67" s="1171"/>
      <c r="J67" s="1171"/>
      <c r="K67" s="1171"/>
      <c r="L67" s="1171"/>
      <c r="M67" s="1171">
        <f>[4]Hřbitov!$B$34</f>
        <v>0</v>
      </c>
      <c r="N67" s="1174"/>
      <c r="O67" s="1866">
        <f t="shared" si="1"/>
        <v>0</v>
      </c>
      <c r="P67" s="1172"/>
      <c r="Q67" s="1173"/>
      <c r="R67" s="1173"/>
      <c r="S67" s="1174"/>
      <c r="T67" s="1138"/>
      <c r="U67" s="1214"/>
    </row>
    <row r="68" spans="1:21" s="1215" customFormat="1" ht="14.25" hidden="1" outlineLevel="1" thickBot="1" x14ac:dyDescent="0.3">
      <c r="A68" s="1194">
        <v>3633</v>
      </c>
      <c r="B68" s="1239" t="s">
        <v>175</v>
      </c>
      <c r="C68" s="1239" t="s">
        <v>652</v>
      </c>
      <c r="D68" s="1239"/>
      <c r="E68" s="1237"/>
      <c r="F68" s="1237"/>
      <c r="G68" s="1238"/>
      <c r="H68" s="1237" t="s">
        <v>761</v>
      </c>
      <c r="I68" s="1179">
        <v>80000</v>
      </c>
      <c r="J68" s="1179">
        <v>0</v>
      </c>
      <c r="K68" s="1179">
        <v>0</v>
      </c>
      <c r="L68" s="1179">
        <v>0</v>
      </c>
      <c r="M68" s="1179"/>
      <c r="N68" s="1209"/>
      <c r="O68" s="1865">
        <f t="shared" si="1"/>
        <v>0</v>
      </c>
      <c r="P68" s="1181"/>
      <c r="Q68" s="1182"/>
      <c r="R68" s="1182"/>
      <c r="S68" s="1209"/>
      <c r="T68" s="1138"/>
      <c r="U68" s="1214"/>
    </row>
    <row r="69" spans="1:21" ht="14.25" collapsed="1" thickBot="1" x14ac:dyDescent="0.3">
      <c r="A69" s="2314" t="s">
        <v>297</v>
      </c>
      <c r="B69" s="2315"/>
      <c r="C69" s="1183"/>
      <c r="D69" s="1183"/>
      <c r="E69" s="1184"/>
      <c r="F69" s="1184"/>
      <c r="G69" s="1185"/>
      <c r="H69" s="1184"/>
      <c r="I69" s="1186">
        <v>80000</v>
      </c>
      <c r="J69" s="1186">
        <v>0</v>
      </c>
      <c r="K69" s="1186">
        <v>0</v>
      </c>
      <c r="L69" s="1186">
        <v>0</v>
      </c>
      <c r="M69" s="1186">
        <f t="shared" ref="M69" si="6">SUM(M66:M68)</f>
        <v>0</v>
      </c>
      <c r="N69" s="1187"/>
      <c r="O69" s="1861">
        <f t="shared" si="1"/>
        <v>0</v>
      </c>
      <c r="P69" s="1186">
        <f t="shared" ref="P69" si="7">SUM(P66:P68)</f>
        <v>0</v>
      </c>
      <c r="Q69" s="1188"/>
      <c r="R69" s="1188"/>
      <c r="S69" s="1189"/>
      <c r="T69" s="1190">
        <f>'Výdaje kapitol celkem'!AM69</f>
        <v>0</v>
      </c>
      <c r="U69" s="1191">
        <f>+T69-M69</f>
        <v>0</v>
      </c>
    </row>
    <row r="70" spans="1:21" s="1215" customFormat="1" ht="12" customHeight="1" outlineLevel="1" x14ac:dyDescent="0.25">
      <c r="A70" s="1193"/>
      <c r="B70" s="1211"/>
      <c r="C70" s="1211"/>
      <c r="D70" s="1211"/>
      <c r="E70" s="1212"/>
      <c r="F70" s="1212"/>
      <c r="G70" s="1213"/>
      <c r="H70" s="1212" t="s">
        <v>761</v>
      </c>
      <c r="I70" s="1166">
        <v>98518</v>
      </c>
      <c r="J70" s="1166">
        <v>25000</v>
      </c>
      <c r="K70" s="1166">
        <v>25000</v>
      </c>
      <c r="L70" s="1166">
        <v>25000</v>
      </c>
      <c r="M70" s="1166">
        <f>'[6]Všeobecná pokladna 6409'!$B$31</f>
        <v>0</v>
      </c>
      <c r="N70" s="1167"/>
      <c r="O70" s="1859">
        <f t="shared" si="1"/>
        <v>0</v>
      </c>
      <c r="P70" s="1168"/>
      <c r="Q70" s="1169"/>
      <c r="R70" s="1169"/>
      <c r="S70" s="1166"/>
      <c r="T70" s="1138"/>
      <c r="U70" s="1214"/>
    </row>
    <row r="71" spans="1:21" s="1215" customFormat="1" ht="12" customHeight="1" outlineLevel="1" x14ac:dyDescent="0.25">
      <c r="A71" s="1193"/>
      <c r="B71" s="1211"/>
      <c r="C71" s="1230" t="s">
        <v>1198</v>
      </c>
      <c r="D71" s="1230"/>
      <c r="E71" s="1231"/>
      <c r="F71" s="1231"/>
      <c r="G71" s="1232"/>
      <c r="H71" s="1231" t="s">
        <v>761</v>
      </c>
      <c r="I71" s="1171">
        <v>91220</v>
      </c>
      <c r="J71" s="1171">
        <v>90000</v>
      </c>
      <c r="K71" s="1171">
        <v>90000</v>
      </c>
      <c r="L71" s="1171">
        <v>2590000</v>
      </c>
      <c r="M71" s="1171">
        <f>'[6]Všeobecná pokladna 6409'!$B$32</f>
        <v>80000</v>
      </c>
      <c r="N71" s="1167"/>
      <c r="O71" s="1859">
        <f t="shared" si="1"/>
        <v>80000</v>
      </c>
      <c r="P71" s="1172"/>
      <c r="Q71" s="1173"/>
      <c r="R71" s="1173"/>
      <c r="S71" s="1171"/>
      <c r="T71" s="1138"/>
      <c r="U71" s="1214"/>
    </row>
    <row r="72" spans="1:21" s="1215" customFormat="1" ht="12" customHeight="1" outlineLevel="1" x14ac:dyDescent="0.25">
      <c r="A72" s="1193"/>
      <c r="B72" s="1211"/>
      <c r="C72" s="1230"/>
      <c r="D72" s="1230"/>
      <c r="E72" s="1231"/>
      <c r="F72" s="1231"/>
      <c r="G72" s="1232"/>
      <c r="H72" s="1231" t="s">
        <v>761</v>
      </c>
      <c r="I72" s="1171"/>
      <c r="J72" s="1171"/>
      <c r="K72" s="1171"/>
      <c r="L72" s="1171">
        <v>1050000</v>
      </c>
      <c r="M72" s="1171"/>
      <c r="N72" s="1167"/>
      <c r="O72" s="1866">
        <f t="shared" si="1"/>
        <v>0</v>
      </c>
      <c r="P72" s="1172"/>
      <c r="Q72" s="1173"/>
      <c r="R72" s="1173"/>
      <c r="S72" s="1171"/>
      <c r="T72" s="1138"/>
      <c r="U72" s="1214"/>
    </row>
    <row r="73" spans="1:21" s="1215" customFormat="1" ht="12" customHeight="1" outlineLevel="1" thickBot="1" x14ac:dyDescent="0.3">
      <c r="A73" s="1194">
        <v>6409</v>
      </c>
      <c r="B73" s="1239"/>
      <c r="C73" s="1239"/>
      <c r="D73" s="1239"/>
      <c r="E73" s="1237"/>
      <c r="F73" s="1237"/>
      <c r="G73" s="1238"/>
      <c r="H73" s="1237" t="s">
        <v>761</v>
      </c>
      <c r="I73" s="1179">
        <v>105000</v>
      </c>
      <c r="J73" s="1179"/>
      <c r="K73" s="1179"/>
      <c r="L73" s="1179"/>
      <c r="M73" s="1179"/>
      <c r="N73" s="1209"/>
      <c r="O73" s="1865">
        <f t="shared" si="1"/>
        <v>0</v>
      </c>
      <c r="P73" s="1181"/>
      <c r="Q73" s="1182"/>
      <c r="R73" s="1182"/>
      <c r="S73" s="1179"/>
      <c r="T73" s="1138"/>
      <c r="U73" s="1214"/>
    </row>
    <row r="74" spans="1:21" ht="14.25" thickBot="1" x14ac:dyDescent="0.3">
      <c r="A74" s="2314" t="s">
        <v>783</v>
      </c>
      <c r="B74" s="2315"/>
      <c r="C74" s="1183"/>
      <c r="D74" s="1183"/>
      <c r="E74" s="1184"/>
      <c r="F74" s="1184"/>
      <c r="G74" s="1185"/>
      <c r="H74" s="1184"/>
      <c r="I74" s="1186">
        <f>SUM(I70:I73)</f>
        <v>294738</v>
      </c>
      <c r="J74" s="1186">
        <v>115000</v>
      </c>
      <c r="K74" s="1186">
        <v>115000</v>
      </c>
      <c r="L74" s="1186">
        <v>3665000</v>
      </c>
      <c r="M74" s="1186">
        <f>SUM(M70:M73)</f>
        <v>80000</v>
      </c>
      <c r="N74" s="1187"/>
      <c r="O74" s="1861">
        <f t="shared" ref="O74:O137" si="8">M74-P74</f>
        <v>80000</v>
      </c>
      <c r="P74" s="1186">
        <f>SUM(P70:P73)</f>
        <v>0</v>
      </c>
      <c r="Q74" s="1188"/>
      <c r="R74" s="1188"/>
      <c r="S74" s="1189"/>
      <c r="T74" s="1190">
        <f>'Výdaje kapitol celkem'!L64</f>
        <v>80000</v>
      </c>
      <c r="U74" s="1191">
        <f>+T74-M74</f>
        <v>0</v>
      </c>
    </row>
    <row r="75" spans="1:21" s="1215" customFormat="1" ht="12" hidden="1" customHeight="1" outlineLevel="1" x14ac:dyDescent="0.25">
      <c r="A75" s="1193"/>
      <c r="B75" s="1211"/>
      <c r="C75" s="1211" t="s">
        <v>880</v>
      </c>
      <c r="D75" s="1211"/>
      <c r="E75" s="1212"/>
      <c r="F75" s="1212"/>
      <c r="G75" s="1213"/>
      <c r="H75" s="1212" t="s">
        <v>761</v>
      </c>
      <c r="I75" s="1166">
        <v>0</v>
      </c>
      <c r="J75" s="1166"/>
      <c r="K75" s="1166"/>
      <c r="L75" s="1166"/>
      <c r="M75" s="1166"/>
      <c r="N75" s="1167"/>
      <c r="O75" s="1859">
        <f t="shared" si="8"/>
        <v>0</v>
      </c>
      <c r="P75" s="1168"/>
      <c r="Q75" s="1169"/>
      <c r="R75" s="1169"/>
      <c r="S75" s="1166"/>
      <c r="T75" s="1138"/>
      <c r="U75" s="1214"/>
    </row>
    <row r="76" spans="1:21" s="1215" customFormat="1" ht="12" hidden="1" customHeight="1" outlineLevel="1" x14ac:dyDescent="0.25">
      <c r="A76" s="1193"/>
      <c r="B76" s="1211"/>
      <c r="C76" s="1211" t="s">
        <v>881</v>
      </c>
      <c r="D76" s="1211"/>
      <c r="E76" s="1212"/>
      <c r="F76" s="1212"/>
      <c r="G76" s="1213"/>
      <c r="H76" s="1212" t="s">
        <v>761</v>
      </c>
      <c r="I76" s="1166">
        <v>0</v>
      </c>
      <c r="J76" s="1166">
        <v>0</v>
      </c>
      <c r="K76" s="1166">
        <v>0</v>
      </c>
      <c r="L76" s="1166">
        <v>0</v>
      </c>
      <c r="M76" s="1166"/>
      <c r="N76" s="1167"/>
      <c r="O76" s="1859">
        <f t="shared" si="8"/>
        <v>0</v>
      </c>
      <c r="P76" s="1168"/>
      <c r="Q76" s="1169"/>
      <c r="R76" s="1169"/>
      <c r="S76" s="1166"/>
      <c r="T76" s="1138"/>
      <c r="U76" s="1214"/>
    </row>
    <row r="77" spans="1:21" s="1215" customFormat="1" ht="12" hidden="1" customHeight="1" outlineLevel="1" thickBot="1" x14ac:dyDescent="0.3">
      <c r="A77" s="1194"/>
      <c r="B77" s="1211"/>
      <c r="C77" s="1211" t="s">
        <v>254</v>
      </c>
      <c r="D77" s="1211"/>
      <c r="E77" s="1212"/>
      <c r="F77" s="1212"/>
      <c r="G77" s="1213"/>
      <c r="H77" s="1212"/>
      <c r="I77" s="1166"/>
      <c r="J77" s="1166"/>
      <c r="K77" s="1166"/>
      <c r="L77" s="1166"/>
      <c r="M77" s="1166"/>
      <c r="N77" s="1167"/>
      <c r="O77" s="1859">
        <f t="shared" si="8"/>
        <v>0</v>
      </c>
      <c r="P77" s="1168"/>
      <c r="Q77" s="1169"/>
      <c r="R77" s="1169"/>
      <c r="S77" s="1166"/>
      <c r="T77" s="1138"/>
      <c r="U77" s="1214"/>
    </row>
    <row r="78" spans="1:21" ht="14.25" collapsed="1" thickBot="1" x14ac:dyDescent="0.3">
      <c r="A78" s="2314" t="s">
        <v>1691</v>
      </c>
      <c r="B78" s="2315" t="s">
        <v>692</v>
      </c>
      <c r="C78" s="1771" t="s">
        <v>692</v>
      </c>
      <c r="D78" s="1183"/>
      <c r="E78" s="1184"/>
      <c r="F78" s="1184"/>
      <c r="G78" s="1185"/>
      <c r="H78" s="1184" t="s">
        <v>761</v>
      </c>
      <c r="I78" s="1186">
        <v>0</v>
      </c>
      <c r="J78" s="1186">
        <v>0</v>
      </c>
      <c r="K78" s="1186">
        <v>0</v>
      </c>
      <c r="L78" s="1186">
        <v>0</v>
      </c>
      <c r="M78" s="1186">
        <f>SUM(M75:M77)</f>
        <v>0</v>
      </c>
      <c r="N78" s="1187"/>
      <c r="O78" s="1861">
        <f t="shared" si="8"/>
        <v>0</v>
      </c>
      <c r="P78" s="1186">
        <f t="shared" ref="P78" si="9">SUM(P75:P77)</f>
        <v>0</v>
      </c>
      <c r="Q78" s="1188"/>
      <c r="R78" s="1188"/>
      <c r="S78" s="1189"/>
      <c r="T78" s="1190">
        <f>'Výdaje kapitol celkem'!CP69</f>
        <v>0</v>
      </c>
      <c r="U78" s="1191">
        <f>+T78-M78</f>
        <v>0</v>
      </c>
    </row>
    <row r="79" spans="1:21" s="1215" customFormat="1" ht="12" customHeight="1" outlineLevel="1" x14ac:dyDescent="0.25">
      <c r="A79" s="1193"/>
      <c r="B79" s="1211" t="s">
        <v>192</v>
      </c>
      <c r="C79" s="1211" t="s">
        <v>552</v>
      </c>
      <c r="D79" s="1211"/>
      <c r="E79" s="1212"/>
      <c r="F79" s="1212"/>
      <c r="G79" s="1213"/>
      <c r="H79" s="1212" t="s">
        <v>761</v>
      </c>
      <c r="I79" s="1166">
        <v>0</v>
      </c>
      <c r="J79" s="1166"/>
      <c r="K79" s="1166"/>
      <c r="L79" s="1166"/>
      <c r="M79" s="1166"/>
      <c r="N79" s="1167"/>
      <c r="O79" s="1859">
        <f t="shared" si="8"/>
        <v>0</v>
      </c>
      <c r="P79" s="1168"/>
      <c r="Q79" s="1169"/>
      <c r="R79" s="1169"/>
      <c r="S79" s="1166"/>
      <c r="T79" s="1138"/>
      <c r="U79" s="1214"/>
    </row>
    <row r="80" spans="1:21" s="1215" customFormat="1" ht="12" customHeight="1" outlineLevel="1" thickBot="1" x14ac:dyDescent="0.3">
      <c r="A80" s="1194">
        <v>3749</v>
      </c>
      <c r="B80" s="1239" t="s">
        <v>192</v>
      </c>
      <c r="C80" s="1239" t="s">
        <v>742</v>
      </c>
      <c r="D80" s="1239"/>
      <c r="E80" s="1237"/>
      <c r="F80" s="1237"/>
      <c r="G80" s="1238"/>
      <c r="H80" s="1237" t="s">
        <v>761</v>
      </c>
      <c r="I80" s="1179">
        <v>130000</v>
      </c>
      <c r="J80" s="1179">
        <v>50000</v>
      </c>
      <c r="K80" s="1179">
        <v>50000</v>
      </c>
      <c r="L80" s="1179">
        <v>50000</v>
      </c>
      <c r="M80" s="1179">
        <f>'[6]Příroda 3749'!$B$25</f>
        <v>130000</v>
      </c>
      <c r="N80" s="1209"/>
      <c r="O80" s="1865">
        <f t="shared" si="8"/>
        <v>130000</v>
      </c>
      <c r="P80" s="1181"/>
      <c r="Q80" s="1182"/>
      <c r="R80" s="1182"/>
      <c r="S80" s="1179"/>
      <c r="T80" s="1138"/>
      <c r="U80" s="1214"/>
    </row>
    <row r="81" spans="1:21" ht="14.25" thickBot="1" x14ac:dyDescent="0.3">
      <c r="A81" s="2314" t="s">
        <v>746</v>
      </c>
      <c r="B81" s="2315"/>
      <c r="C81" s="1183"/>
      <c r="D81" s="1183"/>
      <c r="E81" s="1184"/>
      <c r="F81" s="1184"/>
      <c r="G81" s="1185"/>
      <c r="H81" s="1184"/>
      <c r="I81" s="1186">
        <f>SUM(I79:I80)</f>
        <v>130000</v>
      </c>
      <c r="J81" s="1186">
        <v>50000</v>
      </c>
      <c r="K81" s="1186">
        <v>50000</v>
      </c>
      <c r="L81" s="1186">
        <v>50000</v>
      </c>
      <c r="M81" s="1186">
        <f>SUM(M79:M80)</f>
        <v>130000</v>
      </c>
      <c r="N81" s="1187"/>
      <c r="O81" s="1861">
        <f t="shared" si="8"/>
        <v>130000</v>
      </c>
      <c r="P81" s="1186">
        <f>SUM(P79:P80)</f>
        <v>0</v>
      </c>
      <c r="Q81" s="1188"/>
      <c r="R81" s="1188"/>
      <c r="S81" s="1189"/>
      <c r="T81" s="1190">
        <f>'Výdaje kapitol celkem'!CW69</f>
        <v>130000</v>
      </c>
      <c r="U81" s="1191">
        <f>+T81-M81</f>
        <v>0</v>
      </c>
    </row>
    <row r="82" spans="1:21" s="1215" customFormat="1" ht="12" customHeight="1" outlineLevel="1" x14ac:dyDescent="0.25">
      <c r="A82" s="1193"/>
      <c r="B82" s="1211"/>
      <c r="C82" s="1211"/>
      <c r="D82" s="1211"/>
      <c r="E82" s="1212"/>
      <c r="F82" s="1212"/>
      <c r="G82" s="1213"/>
      <c r="H82" s="1212" t="s">
        <v>761</v>
      </c>
      <c r="I82" s="1166"/>
      <c r="J82" s="1166"/>
      <c r="K82" s="1166"/>
      <c r="L82" s="1166"/>
      <c r="M82" s="1166"/>
      <c r="N82" s="1167"/>
      <c r="O82" s="1859">
        <f t="shared" si="8"/>
        <v>0</v>
      </c>
      <c r="P82" s="1168"/>
      <c r="Q82" s="1169"/>
      <c r="R82" s="1169"/>
      <c r="S82" s="1166"/>
      <c r="T82" s="1138"/>
      <c r="U82" s="1214"/>
    </row>
    <row r="83" spans="1:21" s="1215" customFormat="1" ht="12" customHeight="1" outlineLevel="1" x14ac:dyDescent="0.25">
      <c r="A83" s="1193"/>
      <c r="B83" s="1211"/>
      <c r="C83" s="1211" t="s">
        <v>1687</v>
      </c>
      <c r="D83" s="1211"/>
      <c r="E83" s="1212"/>
      <c r="F83" s="1212"/>
      <c r="G83" s="1213"/>
      <c r="H83" s="1212" t="s">
        <v>761</v>
      </c>
      <c r="I83" s="1166">
        <v>10000</v>
      </c>
      <c r="J83" s="1166"/>
      <c r="K83" s="1166"/>
      <c r="L83" s="1166"/>
      <c r="M83" s="1166">
        <f>[5]Koupaliště!$B$4</f>
        <v>0</v>
      </c>
      <c r="N83" s="1167"/>
      <c r="O83" s="1859">
        <f t="shared" si="8"/>
        <v>0</v>
      </c>
      <c r="P83" s="1168"/>
      <c r="Q83" s="1169"/>
      <c r="R83" s="1169"/>
      <c r="S83" s="1166"/>
      <c r="T83" s="1138"/>
      <c r="U83" s="1214"/>
    </row>
    <row r="84" spans="1:21" s="1215" customFormat="1" ht="12" customHeight="1" outlineLevel="1" x14ac:dyDescent="0.25">
      <c r="A84" s="1193"/>
      <c r="B84" s="1211"/>
      <c r="C84" s="1211" t="s">
        <v>256</v>
      </c>
      <c r="D84" s="1211"/>
      <c r="E84" s="1212"/>
      <c r="F84" s="1212"/>
      <c r="G84" s="1213"/>
      <c r="H84" s="1212" t="s">
        <v>761</v>
      </c>
      <c r="I84" s="1166">
        <v>400000</v>
      </c>
      <c r="J84" s="1166">
        <v>300000</v>
      </c>
      <c r="K84" s="1166">
        <v>300000</v>
      </c>
      <c r="L84" s="1166">
        <v>300000</v>
      </c>
      <c r="M84" s="1166">
        <f>[5]Koupaliště!$B$5</f>
        <v>100000</v>
      </c>
      <c r="N84" s="1167"/>
      <c r="O84" s="1859">
        <f t="shared" si="8"/>
        <v>100000</v>
      </c>
      <c r="P84" s="1168"/>
      <c r="Q84" s="1169"/>
      <c r="R84" s="1169"/>
      <c r="S84" s="1166"/>
      <c r="T84" s="1138"/>
      <c r="U84" s="1214"/>
    </row>
    <row r="85" spans="1:21" s="1215" customFormat="1" ht="12" customHeight="1" outlineLevel="1" thickBot="1" x14ac:dyDescent="0.3">
      <c r="A85" s="1194">
        <v>3412</v>
      </c>
      <c r="B85" s="1211"/>
      <c r="C85" s="1289"/>
      <c r="D85" s="1289"/>
      <c r="E85" s="1290"/>
      <c r="F85" s="1290"/>
      <c r="G85" s="1291"/>
      <c r="H85" s="1290"/>
      <c r="I85" s="1180"/>
      <c r="J85" s="1180"/>
      <c r="K85" s="1180"/>
      <c r="L85" s="1180"/>
      <c r="M85" s="1180"/>
      <c r="N85" s="1198"/>
      <c r="O85" s="1860">
        <f t="shared" si="8"/>
        <v>0</v>
      </c>
      <c r="P85" s="1199"/>
      <c r="Q85" s="1182"/>
      <c r="R85" s="1182"/>
      <c r="S85" s="1179"/>
      <c r="T85" s="1138"/>
      <c r="U85" s="1214"/>
    </row>
    <row r="86" spans="1:21" ht="14.25" thickBot="1" x14ac:dyDescent="0.3">
      <c r="A86" s="2314" t="s">
        <v>747</v>
      </c>
      <c r="B86" s="2315"/>
      <c r="C86" s="1183"/>
      <c r="D86" s="1183"/>
      <c r="E86" s="1184"/>
      <c r="F86" s="1184"/>
      <c r="G86" s="1185"/>
      <c r="H86" s="1184"/>
      <c r="I86" s="1186">
        <f>SUM(I82:I85)</f>
        <v>410000</v>
      </c>
      <c r="J86" s="1186">
        <v>1300000</v>
      </c>
      <c r="K86" s="1186">
        <v>2300000</v>
      </c>
      <c r="L86" s="1186">
        <v>2450000</v>
      </c>
      <c r="M86" s="1186">
        <f>SUM(M82:M85)</f>
        <v>100000</v>
      </c>
      <c r="N86" s="1187"/>
      <c r="O86" s="1861">
        <f t="shared" si="8"/>
        <v>100000</v>
      </c>
      <c r="P86" s="1186">
        <f>SUM(P84:P85)</f>
        <v>0</v>
      </c>
      <c r="Q86" s="1188"/>
      <c r="R86" s="1188"/>
      <c r="S86" s="1189"/>
      <c r="T86" s="1190">
        <f>'Výdaje kapitol celkem'!AP69</f>
        <v>100000</v>
      </c>
      <c r="U86" s="1191">
        <f>+T86-M86</f>
        <v>0</v>
      </c>
    </row>
    <row r="87" spans="1:21" s="1215" customFormat="1" ht="12" customHeight="1" outlineLevel="1" x14ac:dyDescent="0.25">
      <c r="A87" s="1245"/>
      <c r="B87" s="1162" t="s">
        <v>176</v>
      </c>
      <c r="C87" s="1211" t="s">
        <v>581</v>
      </c>
      <c r="D87" s="1211"/>
      <c r="E87" s="1212"/>
      <c r="F87" s="1212"/>
      <c r="G87" s="1213"/>
      <c r="H87" s="1212" t="s">
        <v>761</v>
      </c>
      <c r="I87" s="1166">
        <v>398360</v>
      </c>
      <c r="J87" s="1166">
        <v>0</v>
      </c>
      <c r="K87" s="1166">
        <v>0</v>
      </c>
      <c r="L87" s="1166">
        <v>0</v>
      </c>
      <c r="M87" s="1166">
        <f>[5]ZŠ!$B$12</f>
        <v>30000</v>
      </c>
      <c r="N87" s="1167"/>
      <c r="O87" s="1859">
        <f t="shared" si="8"/>
        <v>30000</v>
      </c>
      <c r="P87" s="1168"/>
      <c r="Q87" s="1169"/>
      <c r="R87" s="1169"/>
      <c r="S87" s="1166"/>
      <c r="T87" s="1138"/>
      <c r="U87" s="1214"/>
    </row>
    <row r="88" spans="1:21" s="1215" customFormat="1" ht="12" customHeight="1" outlineLevel="1" x14ac:dyDescent="0.25">
      <c r="A88" s="1210"/>
      <c r="B88" s="1162" t="s">
        <v>176</v>
      </c>
      <c r="C88" s="1211" t="s">
        <v>901</v>
      </c>
      <c r="D88" s="1211"/>
      <c r="E88" s="1212"/>
      <c r="F88" s="1212"/>
      <c r="G88" s="1213"/>
      <c r="H88" s="1212" t="s">
        <v>761</v>
      </c>
      <c r="I88" s="1166">
        <v>0</v>
      </c>
      <c r="J88" s="1166">
        <v>0</v>
      </c>
      <c r="K88" s="1166">
        <v>0</v>
      </c>
      <c r="L88" s="1166">
        <v>0</v>
      </c>
      <c r="M88" s="1166">
        <f>[5]ZŠ!$B$65</f>
        <v>30000</v>
      </c>
      <c r="N88" s="1167"/>
      <c r="O88" s="1859">
        <f t="shared" si="8"/>
        <v>30000</v>
      </c>
      <c r="P88" s="1168"/>
      <c r="Q88" s="1169"/>
      <c r="R88" s="1169"/>
      <c r="S88" s="1166"/>
      <c r="T88" s="1138"/>
      <c r="U88" s="1214"/>
    </row>
    <row r="89" spans="1:21" s="1215" customFormat="1" ht="12" customHeight="1" outlineLevel="1" thickBot="1" x14ac:dyDescent="0.3">
      <c r="A89" s="1246"/>
      <c r="B89" s="1247" t="s">
        <v>176</v>
      </c>
      <c r="C89" s="1248"/>
      <c r="D89" s="1248"/>
      <c r="E89" s="1249"/>
      <c r="F89" s="1250"/>
      <c r="G89" s="1251"/>
      <c r="H89" s="1249" t="s">
        <v>761</v>
      </c>
      <c r="I89" s="1252">
        <v>0</v>
      </c>
      <c r="J89" s="1252"/>
      <c r="K89" s="1252"/>
      <c r="L89" s="1252"/>
      <c r="M89" s="1252"/>
      <c r="N89" s="1253"/>
      <c r="O89" s="1867">
        <f t="shared" si="8"/>
        <v>0</v>
      </c>
      <c r="P89" s="1252"/>
      <c r="Q89" s="1182"/>
      <c r="R89" s="1182"/>
      <c r="S89" s="1179"/>
      <c r="T89" s="1138"/>
      <c r="U89" s="1214"/>
    </row>
    <row r="90" spans="1:21" ht="14.25" thickBot="1" x14ac:dyDescent="0.3">
      <c r="A90" s="2314" t="s">
        <v>241</v>
      </c>
      <c r="B90" s="2315"/>
      <c r="C90" s="1183"/>
      <c r="D90" s="1183"/>
      <c r="E90" s="1184"/>
      <c r="F90" s="1184"/>
      <c r="G90" s="1185"/>
      <c r="H90" s="1184"/>
      <c r="I90" s="1186">
        <f>SUM(I87:I89)</f>
        <v>398360</v>
      </c>
      <c r="J90" s="1186">
        <v>315000</v>
      </c>
      <c r="K90" s="1186">
        <v>315000</v>
      </c>
      <c r="L90" s="1186">
        <v>0</v>
      </c>
      <c r="M90" s="1186">
        <f>SUM(M87:M89)</f>
        <v>60000</v>
      </c>
      <c r="N90" s="1187"/>
      <c r="O90" s="1861">
        <f t="shared" si="8"/>
        <v>60000</v>
      </c>
      <c r="P90" s="1186">
        <f>SUM(P87:P89)</f>
        <v>0</v>
      </c>
      <c r="Q90" s="1188"/>
      <c r="R90" s="1188"/>
      <c r="S90" s="1189"/>
      <c r="T90" s="1190">
        <f>'Výdaje kapitol celkem'!AS69</f>
        <v>60000</v>
      </c>
      <c r="U90" s="1191">
        <f>+T90-M90</f>
        <v>0</v>
      </c>
    </row>
    <row r="91" spans="1:21" s="1215" customFormat="1" ht="12" customHeight="1" outlineLevel="1" x14ac:dyDescent="0.25">
      <c r="A91" s="1210"/>
      <c r="B91" s="1233" t="s">
        <v>570</v>
      </c>
      <c r="C91" s="1211"/>
      <c r="D91" s="1211"/>
      <c r="E91" s="1212"/>
      <c r="F91" s="1212"/>
      <c r="G91" s="1213"/>
      <c r="H91" s="1212" t="s">
        <v>761</v>
      </c>
      <c r="I91" s="1166">
        <v>36300</v>
      </c>
      <c r="J91" s="1166">
        <v>60000</v>
      </c>
      <c r="K91" s="1166">
        <v>60000</v>
      </c>
      <c r="L91" s="1166">
        <v>0</v>
      </c>
      <c r="M91" s="1166">
        <f>[3]č.p.65!$B$47</f>
        <v>0</v>
      </c>
      <c r="N91" s="1167"/>
      <c r="O91" s="1859">
        <f t="shared" si="8"/>
        <v>0</v>
      </c>
      <c r="P91" s="1168"/>
      <c r="Q91" s="1169"/>
      <c r="R91" s="1169"/>
      <c r="S91" s="1166"/>
      <c r="T91" s="1138"/>
      <c r="U91" s="1214"/>
    </row>
    <row r="92" spans="1:21" s="1215" customFormat="1" ht="12" customHeight="1" outlineLevel="1" x14ac:dyDescent="0.25">
      <c r="A92" s="1210"/>
      <c r="B92" s="1233" t="s">
        <v>570</v>
      </c>
      <c r="C92" s="1211"/>
      <c r="D92" s="1211"/>
      <c r="E92" s="1212"/>
      <c r="F92" s="1212"/>
      <c r="G92" s="1213"/>
      <c r="H92" s="1212" t="s">
        <v>761</v>
      </c>
      <c r="I92" s="1166">
        <v>30000</v>
      </c>
      <c r="J92" s="1166">
        <v>30000</v>
      </c>
      <c r="K92" s="1166">
        <v>30000</v>
      </c>
      <c r="L92" s="1166">
        <v>30000</v>
      </c>
      <c r="M92" s="1166">
        <f>[3]č.p.65!$B$48</f>
        <v>0</v>
      </c>
      <c r="N92" s="1167"/>
      <c r="O92" s="1859">
        <f t="shared" si="8"/>
        <v>0</v>
      </c>
      <c r="P92" s="1168"/>
      <c r="Q92" s="1169"/>
      <c r="R92" s="1169"/>
      <c r="S92" s="1166"/>
      <c r="T92" s="1138"/>
      <c r="U92" s="1214"/>
    </row>
    <row r="93" spans="1:21" s="1215" customFormat="1" ht="12" customHeight="1" outlineLevel="1" x14ac:dyDescent="0.25">
      <c r="A93" s="1210"/>
      <c r="B93" s="1233" t="s">
        <v>570</v>
      </c>
      <c r="C93" s="1211" t="s">
        <v>564</v>
      </c>
      <c r="D93" s="1211"/>
      <c r="E93" s="1212"/>
      <c r="F93" s="1212"/>
      <c r="G93" s="1213"/>
      <c r="H93" s="1212" t="s">
        <v>761</v>
      </c>
      <c r="I93" s="1166">
        <v>125000</v>
      </c>
      <c r="J93" s="1166"/>
      <c r="K93" s="1166"/>
      <c r="L93" s="1166"/>
      <c r="M93" s="1166">
        <f>'[5]Č.p. 65'!$B$11</f>
        <v>30000</v>
      </c>
      <c r="N93" s="1167"/>
      <c r="O93" s="1859">
        <f t="shared" si="8"/>
        <v>30000</v>
      </c>
      <c r="P93" s="1168"/>
      <c r="Q93" s="1169"/>
      <c r="R93" s="1169"/>
      <c r="S93" s="1166"/>
      <c r="T93" s="1138"/>
      <c r="U93" s="1214"/>
    </row>
    <row r="94" spans="1:21" s="1215" customFormat="1" ht="12" customHeight="1" outlineLevel="1" thickBot="1" x14ac:dyDescent="0.3">
      <c r="A94" s="1255">
        <v>3114</v>
      </c>
      <c r="B94" s="1236" t="s">
        <v>570</v>
      </c>
      <c r="C94" s="1239"/>
      <c r="D94" s="1239"/>
      <c r="E94" s="1237"/>
      <c r="F94" s="1237"/>
      <c r="G94" s="1238"/>
      <c r="H94" s="1237" t="s">
        <v>761</v>
      </c>
      <c r="I94" s="1179">
        <v>41000</v>
      </c>
      <c r="J94" s="1179"/>
      <c r="K94" s="1179"/>
      <c r="L94" s="1179"/>
      <c r="M94" s="1179"/>
      <c r="N94" s="1209"/>
      <c r="O94" s="1865">
        <f t="shared" si="8"/>
        <v>0</v>
      </c>
      <c r="P94" s="1181"/>
      <c r="Q94" s="1182"/>
      <c r="R94" s="1182"/>
      <c r="S94" s="1179"/>
      <c r="T94" s="1138"/>
      <c r="U94" s="1214"/>
    </row>
    <row r="95" spans="1:21" ht="14.25" thickBot="1" x14ac:dyDescent="0.3">
      <c r="A95" s="2314" t="s">
        <v>748</v>
      </c>
      <c r="B95" s="2315"/>
      <c r="C95" s="1183"/>
      <c r="D95" s="1183"/>
      <c r="E95" s="1184"/>
      <c r="F95" s="1184"/>
      <c r="G95" s="1185"/>
      <c r="H95" s="1184"/>
      <c r="I95" s="1186">
        <f>SUM(I91:I94)</f>
        <v>232300</v>
      </c>
      <c r="J95" s="1186">
        <v>90000</v>
      </c>
      <c r="K95" s="1186">
        <v>90000</v>
      </c>
      <c r="L95" s="1186">
        <v>30000</v>
      </c>
      <c r="M95" s="1186">
        <f>SUM(M91:M94)</f>
        <v>30000</v>
      </c>
      <c r="N95" s="1187"/>
      <c r="O95" s="1861">
        <f t="shared" si="8"/>
        <v>30000</v>
      </c>
      <c r="P95" s="1186">
        <f>SUM(P91:P94)</f>
        <v>0</v>
      </c>
      <c r="Q95" s="1188"/>
      <c r="R95" s="1188"/>
      <c r="S95" s="1189"/>
      <c r="T95" s="1190">
        <f>'Výdaje kapitol celkem'!AV69</f>
        <v>30000</v>
      </c>
      <c r="U95" s="1191">
        <f>+T95-M95</f>
        <v>0</v>
      </c>
    </row>
    <row r="96" spans="1:21" s="1215" customFormat="1" hidden="1" outlineLevel="1" x14ac:dyDescent="0.25">
      <c r="A96" s="1210"/>
      <c r="B96" s="1233" t="s">
        <v>571</v>
      </c>
      <c r="C96" s="1211" t="s">
        <v>582</v>
      </c>
      <c r="D96" s="1211"/>
      <c r="E96" s="1212"/>
      <c r="F96" s="1212"/>
      <c r="G96" s="1213"/>
      <c r="H96" s="1212" t="s">
        <v>761</v>
      </c>
      <c r="I96" s="1166">
        <v>0</v>
      </c>
      <c r="J96" s="1166"/>
      <c r="K96" s="1166"/>
      <c r="L96" s="1166"/>
      <c r="M96" s="1166"/>
      <c r="N96" s="1167"/>
      <c r="O96" s="1859">
        <f t="shared" si="8"/>
        <v>0</v>
      </c>
      <c r="P96" s="1168"/>
      <c r="Q96" s="1169"/>
      <c r="R96" s="1169"/>
      <c r="S96" s="1166"/>
      <c r="T96" s="1138"/>
      <c r="U96" s="1214"/>
    </row>
    <row r="97" spans="1:21" s="1215" customFormat="1" hidden="1" outlineLevel="1" x14ac:dyDescent="0.25">
      <c r="A97" s="1210"/>
      <c r="B97" s="1233" t="s">
        <v>571</v>
      </c>
      <c r="C97" s="1211" t="s">
        <v>875</v>
      </c>
      <c r="D97" s="1211"/>
      <c r="E97" s="1212"/>
      <c r="F97" s="1212"/>
      <c r="G97" s="1213"/>
      <c r="H97" s="1212" t="s">
        <v>761</v>
      </c>
      <c r="I97" s="1166">
        <v>0</v>
      </c>
      <c r="J97" s="1166"/>
      <c r="K97" s="1166"/>
      <c r="L97" s="1166"/>
      <c r="M97" s="1166"/>
      <c r="N97" s="1167"/>
      <c r="O97" s="1859">
        <f t="shared" si="8"/>
        <v>0</v>
      </c>
      <c r="P97" s="1168"/>
      <c r="Q97" s="1169"/>
      <c r="R97" s="1169"/>
      <c r="S97" s="1166"/>
      <c r="T97" s="1138"/>
      <c r="U97" s="1214"/>
    </row>
    <row r="98" spans="1:21" s="1215" customFormat="1" hidden="1" outlineLevel="1" x14ac:dyDescent="0.25">
      <c r="A98" s="1210"/>
      <c r="B98" s="1233" t="s">
        <v>571</v>
      </c>
      <c r="C98" s="1211" t="s">
        <v>307</v>
      </c>
      <c r="D98" s="1211"/>
      <c r="E98" s="1212"/>
      <c r="F98" s="1212"/>
      <c r="G98" s="1213"/>
      <c r="H98" s="1212" t="s">
        <v>761</v>
      </c>
      <c r="I98" s="1166">
        <v>0</v>
      </c>
      <c r="J98" s="1166"/>
      <c r="K98" s="1166"/>
      <c r="L98" s="1166"/>
      <c r="M98" s="1166"/>
      <c r="N98" s="1167"/>
      <c r="O98" s="1859">
        <f t="shared" si="8"/>
        <v>0</v>
      </c>
      <c r="P98" s="1168"/>
      <c r="Q98" s="1169"/>
      <c r="R98" s="1169"/>
      <c r="S98" s="1166"/>
      <c r="T98" s="1138"/>
      <c r="U98" s="1214"/>
    </row>
    <row r="99" spans="1:21" s="1215" customFormat="1" ht="14.25" hidden="1" outlineLevel="1" thickBot="1" x14ac:dyDescent="0.3">
      <c r="A99" s="1255" t="s">
        <v>227</v>
      </c>
      <c r="B99" s="1256" t="s">
        <v>571</v>
      </c>
      <c r="C99" s="1248" t="s">
        <v>734</v>
      </c>
      <c r="D99" s="1248"/>
      <c r="E99" s="1249"/>
      <c r="F99" s="1250"/>
      <c r="G99" s="1251"/>
      <c r="H99" s="1249" t="s">
        <v>761</v>
      </c>
      <c r="I99" s="1252"/>
      <c r="J99" s="1252"/>
      <c r="K99" s="1252"/>
      <c r="L99" s="1252"/>
      <c r="M99" s="1252"/>
      <c r="N99" s="1253"/>
      <c r="O99" s="1867">
        <f t="shared" si="8"/>
        <v>0</v>
      </c>
      <c r="P99" s="1252"/>
      <c r="Q99" s="1182"/>
      <c r="R99" s="1182"/>
      <c r="S99" s="1179"/>
      <c r="T99" s="1138"/>
      <c r="U99" s="1214"/>
    </row>
    <row r="100" spans="1:21" ht="14.25" collapsed="1" thickBot="1" x14ac:dyDescent="0.3">
      <c r="A100" s="2314" t="s">
        <v>749</v>
      </c>
      <c r="B100" s="2315"/>
      <c r="C100" s="1183"/>
      <c r="D100" s="1183"/>
      <c r="E100" s="1184"/>
      <c r="F100" s="1184"/>
      <c r="G100" s="1185"/>
      <c r="H100" s="1184"/>
      <c r="I100" s="1186">
        <f t="shared" ref="I100:M100" si="10">SUM(I96:I99)</f>
        <v>0</v>
      </c>
      <c r="J100" s="1186">
        <v>0</v>
      </c>
      <c r="K100" s="1186">
        <v>0</v>
      </c>
      <c r="L100" s="1186">
        <v>0</v>
      </c>
      <c r="M100" s="1186">
        <f t="shared" si="10"/>
        <v>0</v>
      </c>
      <c r="N100" s="1187"/>
      <c r="O100" s="1861">
        <f t="shared" si="8"/>
        <v>0</v>
      </c>
      <c r="P100" s="1186">
        <f t="shared" ref="P100" si="11">SUM(P96:P99)</f>
        <v>0</v>
      </c>
      <c r="Q100" s="1188"/>
      <c r="R100" s="1188"/>
      <c r="S100" s="1189"/>
      <c r="T100" s="1190">
        <f>'Výdaje kapitol celkem'!BE69</f>
        <v>0</v>
      </c>
      <c r="U100" s="1191">
        <f>+T100-M100</f>
        <v>0</v>
      </c>
    </row>
    <row r="101" spans="1:21" s="1215" customFormat="1" ht="12" hidden="1" customHeight="1" outlineLevel="1" x14ac:dyDescent="0.25">
      <c r="A101" s="1193"/>
      <c r="B101" s="1162" t="s">
        <v>1917</v>
      </c>
      <c r="C101" s="1211" t="s">
        <v>1918</v>
      </c>
      <c r="D101" s="1211"/>
      <c r="E101" s="1212"/>
      <c r="F101" s="1212"/>
      <c r="G101" s="1213"/>
      <c r="H101" s="1212" t="s">
        <v>761</v>
      </c>
      <c r="I101" s="1166">
        <v>98010</v>
      </c>
      <c r="J101" s="1166">
        <v>0</v>
      </c>
      <c r="K101" s="1166">
        <v>0</v>
      </c>
      <c r="L101" s="1166">
        <v>15000000</v>
      </c>
      <c r="M101" s="1166"/>
      <c r="N101" s="1167"/>
      <c r="O101" s="1859">
        <f t="shared" si="8"/>
        <v>0</v>
      </c>
      <c r="P101" s="1168"/>
      <c r="Q101" s="1169"/>
      <c r="R101" s="1169"/>
      <c r="S101" s="1166"/>
      <c r="T101" s="1138"/>
      <c r="U101" s="1214"/>
    </row>
    <row r="102" spans="1:21" s="1215" customFormat="1" ht="12" hidden="1" customHeight="1" outlineLevel="1" x14ac:dyDescent="0.25">
      <c r="A102" s="1193"/>
      <c r="B102" s="1162" t="s">
        <v>1917</v>
      </c>
      <c r="C102" s="1211" t="s">
        <v>902</v>
      </c>
      <c r="D102" s="1211"/>
      <c r="E102" s="1212"/>
      <c r="F102" s="1212"/>
      <c r="G102" s="1213"/>
      <c r="H102" s="1212" t="s">
        <v>761</v>
      </c>
      <c r="I102" s="1166">
        <v>0</v>
      </c>
      <c r="J102" s="1166">
        <v>0</v>
      </c>
      <c r="K102" s="1166">
        <v>0</v>
      </c>
      <c r="L102" s="1166"/>
      <c r="M102" s="1166"/>
      <c r="N102" s="1167"/>
      <c r="O102" s="1859">
        <f t="shared" si="8"/>
        <v>0</v>
      </c>
      <c r="P102" s="1168"/>
      <c r="Q102" s="1169"/>
      <c r="R102" s="1169"/>
      <c r="S102" s="1166"/>
      <c r="T102" s="1138"/>
      <c r="U102" s="1214"/>
    </row>
    <row r="103" spans="1:21" s="1215" customFormat="1" ht="12" hidden="1" customHeight="1" outlineLevel="1" x14ac:dyDescent="0.25">
      <c r="A103" s="1193"/>
      <c r="B103" s="1162" t="s">
        <v>1917</v>
      </c>
      <c r="C103" s="1211" t="s">
        <v>254</v>
      </c>
      <c r="D103" s="1211"/>
      <c r="E103" s="1212"/>
      <c r="F103" s="1212"/>
      <c r="G103" s="1213"/>
      <c r="H103" s="1212" t="s">
        <v>761</v>
      </c>
      <c r="I103" s="1166">
        <v>0</v>
      </c>
      <c r="J103" s="1166"/>
      <c r="K103" s="1166"/>
      <c r="L103" s="1166"/>
      <c r="M103" s="1166"/>
      <c r="N103" s="1167"/>
      <c r="O103" s="1859">
        <f t="shared" si="8"/>
        <v>0</v>
      </c>
      <c r="P103" s="1168"/>
      <c r="Q103" s="1169"/>
      <c r="R103" s="1169"/>
      <c r="S103" s="1166"/>
      <c r="T103" s="1138"/>
      <c r="U103" s="1214"/>
    </row>
    <row r="104" spans="1:21" s="1215" customFormat="1" ht="12" hidden="1" customHeight="1" outlineLevel="1" thickBot="1" x14ac:dyDescent="0.3">
      <c r="A104" s="1194" t="s">
        <v>228</v>
      </c>
      <c r="B104" s="1273"/>
      <c r="C104" s="1289"/>
      <c r="D104" s="1289"/>
      <c r="E104" s="1290"/>
      <c r="F104" s="1290"/>
      <c r="G104" s="1291"/>
      <c r="H104" s="1290"/>
      <c r="I104" s="1180">
        <v>0</v>
      </c>
      <c r="J104" s="1180">
        <v>0</v>
      </c>
      <c r="K104" s="1180">
        <v>0</v>
      </c>
      <c r="L104" s="1180">
        <v>0</v>
      </c>
      <c r="M104" s="1180"/>
      <c r="N104" s="1198"/>
      <c r="O104" s="1860">
        <f t="shared" si="8"/>
        <v>0</v>
      </c>
      <c r="P104" s="1199"/>
      <c r="Q104" s="1182"/>
      <c r="R104" s="1182"/>
      <c r="S104" s="1179"/>
      <c r="T104" s="1138"/>
      <c r="U104" s="1214"/>
    </row>
    <row r="105" spans="1:21" ht="14.25" collapsed="1" thickBot="1" x14ac:dyDescent="0.3">
      <c r="A105" s="2314" t="s">
        <v>1916</v>
      </c>
      <c r="B105" s="2316"/>
      <c r="C105" s="1183"/>
      <c r="D105" s="1183"/>
      <c r="E105" s="1184"/>
      <c r="F105" s="1184"/>
      <c r="G105" s="1185"/>
      <c r="H105" s="1184"/>
      <c r="I105" s="1186">
        <f>SUM(I101:I104)</f>
        <v>98010</v>
      </c>
      <c r="J105" s="1186">
        <v>0</v>
      </c>
      <c r="K105" s="1186">
        <v>0</v>
      </c>
      <c r="L105" s="1186">
        <v>15000000</v>
      </c>
      <c r="M105" s="1186">
        <f>SUM(M101:M104)</f>
        <v>0</v>
      </c>
      <c r="N105" s="1187"/>
      <c r="O105" s="1861">
        <f t="shared" si="8"/>
        <v>0</v>
      </c>
      <c r="P105" s="1186">
        <f>SUM(P101:P104)</f>
        <v>0</v>
      </c>
      <c r="Q105" s="1188"/>
      <c r="R105" s="1188"/>
      <c r="S105" s="1189"/>
      <c r="T105" s="1190">
        <f>'Výdaje kapitol celkem'!BB58</f>
        <v>0</v>
      </c>
      <c r="U105" s="1191">
        <f>+T105-M105</f>
        <v>0</v>
      </c>
    </row>
    <row r="106" spans="1:21" s="1215" customFormat="1" ht="12" hidden="1" customHeight="1" outlineLevel="1" x14ac:dyDescent="0.25">
      <c r="A106" s="1193"/>
      <c r="B106" s="1162" t="s">
        <v>311</v>
      </c>
      <c r="C106" s="1211" t="s">
        <v>256</v>
      </c>
      <c r="D106" s="1211"/>
      <c r="E106" s="1212"/>
      <c r="F106" s="1212"/>
      <c r="G106" s="1213"/>
      <c r="H106" s="1212" t="s">
        <v>761</v>
      </c>
      <c r="I106" s="1166">
        <v>98010</v>
      </c>
      <c r="J106" s="1166">
        <v>0</v>
      </c>
      <c r="K106" s="1166">
        <v>0</v>
      </c>
      <c r="L106" s="1166">
        <v>0</v>
      </c>
      <c r="M106" s="1166">
        <f>'[5]Jídelna ZŠ'!$B$7</f>
        <v>0</v>
      </c>
      <c r="N106" s="1167"/>
      <c r="O106" s="1859">
        <f t="shared" si="8"/>
        <v>0</v>
      </c>
      <c r="P106" s="1168"/>
      <c r="Q106" s="1169"/>
      <c r="R106" s="1169"/>
      <c r="S106" s="1166"/>
      <c r="T106" s="1138"/>
      <c r="U106" s="1214"/>
    </row>
    <row r="107" spans="1:21" s="1215" customFormat="1" ht="12" hidden="1" customHeight="1" outlineLevel="1" x14ac:dyDescent="0.25">
      <c r="A107" s="1193"/>
      <c r="B107" s="1162" t="s">
        <v>311</v>
      </c>
      <c r="C107" s="1211" t="s">
        <v>254</v>
      </c>
      <c r="D107" s="1211"/>
      <c r="E107" s="1212"/>
      <c r="F107" s="1212"/>
      <c r="G107" s="1213"/>
      <c r="H107" s="1212" t="s">
        <v>761</v>
      </c>
      <c r="I107" s="1166">
        <v>0</v>
      </c>
      <c r="J107" s="1166"/>
      <c r="K107" s="1166"/>
      <c r="L107" s="1166"/>
      <c r="M107" s="1166"/>
      <c r="N107" s="1167"/>
      <c r="O107" s="1859">
        <f t="shared" si="8"/>
        <v>0</v>
      </c>
      <c r="P107" s="1168"/>
      <c r="Q107" s="1169"/>
      <c r="R107" s="1169"/>
      <c r="S107" s="1166"/>
      <c r="T107" s="1138"/>
      <c r="U107" s="1214"/>
    </row>
    <row r="108" spans="1:21" s="1215" customFormat="1" ht="12" hidden="1" customHeight="1" outlineLevel="1" thickBot="1" x14ac:dyDescent="0.3">
      <c r="A108" s="1194" t="s">
        <v>737</v>
      </c>
      <c r="B108" s="1273"/>
      <c r="C108" s="1289"/>
      <c r="D108" s="1289"/>
      <c r="E108" s="1290"/>
      <c r="F108" s="1290"/>
      <c r="G108" s="1291"/>
      <c r="H108" s="1290"/>
      <c r="I108" s="1180"/>
      <c r="J108" s="1180"/>
      <c r="K108" s="1180"/>
      <c r="L108" s="1180"/>
      <c r="M108" s="1180"/>
      <c r="N108" s="1198"/>
      <c r="O108" s="1860">
        <f t="shared" si="8"/>
        <v>0</v>
      </c>
      <c r="P108" s="1199"/>
      <c r="Q108" s="1182"/>
      <c r="R108" s="1182"/>
      <c r="S108" s="1179"/>
      <c r="T108" s="1138"/>
      <c r="U108" s="1214"/>
    </row>
    <row r="109" spans="1:21" ht="14.25" collapsed="1" thickBot="1" x14ac:dyDescent="0.3">
      <c r="A109" s="2314" t="s">
        <v>750</v>
      </c>
      <c r="B109" s="2316"/>
      <c r="C109" s="1183"/>
      <c r="D109" s="1183"/>
      <c r="E109" s="1184"/>
      <c r="F109" s="1184"/>
      <c r="G109" s="1185"/>
      <c r="H109" s="1184"/>
      <c r="I109" s="1186">
        <f>SUM(I106:I108)</f>
        <v>98010</v>
      </c>
      <c r="J109" s="1186">
        <v>0</v>
      </c>
      <c r="K109" s="1186">
        <v>0</v>
      </c>
      <c r="L109" s="1186">
        <v>0</v>
      </c>
      <c r="M109" s="1186">
        <f>SUM(M106:M108)</f>
        <v>0</v>
      </c>
      <c r="N109" s="1187"/>
      <c r="O109" s="1861">
        <f t="shared" si="8"/>
        <v>0</v>
      </c>
      <c r="P109" s="1186">
        <f>SUM(P106:P108)</f>
        <v>0</v>
      </c>
      <c r="Q109" s="1188"/>
      <c r="R109" s="1188"/>
      <c r="S109" s="1189"/>
      <c r="T109" s="1190">
        <f>'Výdaje kapitol celkem'!BH69</f>
        <v>0</v>
      </c>
      <c r="U109" s="1191">
        <f>+T109-M109</f>
        <v>0</v>
      </c>
    </row>
    <row r="110" spans="1:21" s="1215" customFormat="1" ht="12" customHeight="1" outlineLevel="1" x14ac:dyDescent="0.25">
      <c r="A110" s="1193"/>
      <c r="B110" s="1162" t="s">
        <v>572</v>
      </c>
      <c r="C110" s="1211" t="s">
        <v>739</v>
      </c>
      <c r="D110" s="1211"/>
      <c r="E110" s="1212"/>
      <c r="F110" s="1212"/>
      <c r="G110" s="1213"/>
      <c r="H110" s="1212" t="s">
        <v>761</v>
      </c>
      <c r="I110" s="1166">
        <v>0</v>
      </c>
      <c r="J110" s="1166">
        <v>0</v>
      </c>
      <c r="K110" s="1166">
        <v>0</v>
      </c>
      <c r="L110" s="1166">
        <v>0</v>
      </c>
      <c r="M110" s="1166"/>
      <c r="N110" s="1167"/>
      <c r="O110" s="1859">
        <f t="shared" si="8"/>
        <v>0</v>
      </c>
      <c r="P110" s="1168"/>
      <c r="Q110" s="1169"/>
      <c r="R110" s="1169"/>
      <c r="S110" s="1166"/>
      <c r="T110" s="1138"/>
      <c r="U110" s="1214"/>
    </row>
    <row r="111" spans="1:21" s="1215" customFormat="1" ht="12" customHeight="1" outlineLevel="1" thickBot="1" x14ac:dyDescent="0.3">
      <c r="A111" s="1194" t="s">
        <v>738</v>
      </c>
      <c r="B111" s="1175" t="s">
        <v>572</v>
      </c>
      <c r="C111" s="1239" t="s">
        <v>290</v>
      </c>
      <c r="D111" s="1239"/>
      <c r="E111" s="1237"/>
      <c r="F111" s="1237"/>
      <c r="G111" s="1238"/>
      <c r="H111" s="1237" t="s">
        <v>761</v>
      </c>
      <c r="I111" s="1179">
        <v>30000</v>
      </c>
      <c r="J111" s="1179"/>
      <c r="K111" s="1179"/>
      <c r="L111" s="1179"/>
      <c r="M111" s="1179">
        <f>'[5]MŠ Cukrovar'!$B$16</f>
        <v>30000</v>
      </c>
      <c r="N111" s="1209"/>
      <c r="O111" s="1865">
        <f t="shared" si="8"/>
        <v>30000</v>
      </c>
      <c r="P111" s="1181"/>
      <c r="Q111" s="1182"/>
      <c r="R111" s="1182"/>
      <c r="S111" s="1179"/>
      <c r="T111" s="1138"/>
      <c r="U111" s="1214"/>
    </row>
    <row r="112" spans="1:21" ht="14.25" thickBot="1" x14ac:dyDescent="0.3">
      <c r="A112" s="2314" t="s">
        <v>751</v>
      </c>
      <c r="B112" s="2315"/>
      <c r="C112" s="1183"/>
      <c r="D112" s="1183"/>
      <c r="E112" s="1184"/>
      <c r="F112" s="1184"/>
      <c r="G112" s="1185"/>
      <c r="H112" s="1184"/>
      <c r="I112" s="1186">
        <f>SUM(I110:I111)</f>
        <v>30000</v>
      </c>
      <c r="J112" s="1186">
        <v>0</v>
      </c>
      <c r="K112" s="1186">
        <v>0</v>
      </c>
      <c r="L112" s="1186">
        <v>0</v>
      </c>
      <c r="M112" s="1186">
        <f>SUM(M110:M111)</f>
        <v>30000</v>
      </c>
      <c r="N112" s="1187"/>
      <c r="O112" s="1861">
        <f t="shared" si="8"/>
        <v>30000</v>
      </c>
      <c r="P112" s="1186">
        <f>SUM(P110:P111)</f>
        <v>0</v>
      </c>
      <c r="Q112" s="1188"/>
      <c r="R112" s="1188"/>
      <c r="S112" s="1189"/>
      <c r="T112" s="1190">
        <f>'Výdaje kapitol celkem'!BL69</f>
        <v>30000</v>
      </c>
      <c r="U112" s="1191">
        <f>+T112-M112</f>
        <v>0</v>
      </c>
    </row>
    <row r="113" spans="1:21" s="1215" customFormat="1" ht="12" customHeight="1" outlineLevel="1" x14ac:dyDescent="0.25">
      <c r="A113" s="1210"/>
      <c r="B113" s="1154" t="s">
        <v>183</v>
      </c>
      <c r="C113" s="1211" t="s">
        <v>1974</v>
      </c>
      <c r="D113" s="1211"/>
      <c r="E113" s="1212"/>
      <c r="F113" s="1234"/>
      <c r="G113" s="1235"/>
      <c r="H113" s="1212" t="s">
        <v>761</v>
      </c>
      <c r="I113" s="1166">
        <v>60000</v>
      </c>
      <c r="J113" s="1166"/>
      <c r="K113" s="1166"/>
      <c r="L113" s="1166"/>
      <c r="M113" s="1166">
        <f>[4]VO!$B$39</f>
        <v>0</v>
      </c>
      <c r="N113" s="1167"/>
      <c r="O113" s="1859">
        <f t="shared" si="8"/>
        <v>0</v>
      </c>
      <c r="P113" s="1168"/>
      <c r="Q113" s="1169"/>
      <c r="R113" s="1169"/>
      <c r="S113" s="1166"/>
      <c r="T113" s="1138"/>
      <c r="U113" s="1214"/>
    </row>
    <row r="114" spans="1:21" s="1215" customFormat="1" ht="12" customHeight="1" outlineLevel="1" x14ac:dyDescent="0.25">
      <c r="A114" s="1210"/>
      <c r="B114" s="1162" t="s">
        <v>183</v>
      </c>
      <c r="C114" s="1211" t="s">
        <v>1975</v>
      </c>
      <c r="D114" s="1211"/>
      <c r="E114" s="1212"/>
      <c r="F114" s="1212"/>
      <c r="G114" s="1213"/>
      <c r="H114" s="1212" t="s">
        <v>761</v>
      </c>
      <c r="I114" s="1166">
        <v>0</v>
      </c>
      <c r="J114" s="1166"/>
      <c r="K114" s="1166"/>
      <c r="L114" s="1166"/>
      <c r="M114" s="1166">
        <f>[4]VO!$B$40</f>
        <v>600000</v>
      </c>
      <c r="N114" s="1167"/>
      <c r="O114" s="1859">
        <f t="shared" si="8"/>
        <v>600000</v>
      </c>
      <c r="P114" s="1168"/>
      <c r="Q114" s="1169"/>
      <c r="R114" s="1169"/>
      <c r="S114" s="1166"/>
      <c r="T114" s="1138"/>
      <c r="U114" s="1214"/>
    </row>
    <row r="115" spans="1:21" s="1215" customFormat="1" ht="12" customHeight="1" outlineLevel="1" x14ac:dyDescent="0.25">
      <c r="A115" s="1210"/>
      <c r="B115" s="1170" t="s">
        <v>183</v>
      </c>
      <c r="C115" s="1230" t="s">
        <v>1976</v>
      </c>
      <c r="D115" s="1230"/>
      <c r="E115" s="1231"/>
      <c r="F115" s="1231"/>
      <c r="G115" s="1232"/>
      <c r="H115" s="1231" t="s">
        <v>761</v>
      </c>
      <c r="I115" s="1171">
        <v>500000</v>
      </c>
      <c r="J115" s="1171">
        <v>500000</v>
      </c>
      <c r="K115" s="1171">
        <v>500000</v>
      </c>
      <c r="L115" s="1171">
        <v>210000</v>
      </c>
      <c r="M115" s="1171">
        <f>[4]VO!$B$41</f>
        <v>0</v>
      </c>
      <c r="N115" s="1174"/>
      <c r="O115" s="1866">
        <f t="shared" si="8"/>
        <v>0</v>
      </c>
      <c r="P115" s="1172"/>
      <c r="Q115" s="1173"/>
      <c r="R115" s="1173"/>
      <c r="S115" s="1171"/>
      <c r="T115" s="1138"/>
      <c r="U115" s="1214"/>
    </row>
    <row r="116" spans="1:21" s="1215" customFormat="1" ht="12" customHeight="1" outlineLevel="1" x14ac:dyDescent="0.25">
      <c r="A116" s="1210"/>
      <c r="B116" s="1170" t="s">
        <v>183</v>
      </c>
      <c r="C116" s="1230" t="s">
        <v>932</v>
      </c>
      <c r="D116" s="1230"/>
      <c r="E116" s="1231"/>
      <c r="F116" s="1231"/>
      <c r="G116" s="1232"/>
      <c r="H116" s="1231" t="s">
        <v>761</v>
      </c>
      <c r="I116" s="1171">
        <v>0</v>
      </c>
      <c r="J116" s="1171">
        <v>300000</v>
      </c>
      <c r="K116" s="1171">
        <v>300000</v>
      </c>
      <c r="L116" s="1171">
        <v>0</v>
      </c>
      <c r="M116" s="1171">
        <f>[4]VO!$B$42</f>
        <v>0</v>
      </c>
      <c r="N116" s="1174"/>
      <c r="O116" s="1866">
        <f t="shared" si="8"/>
        <v>0</v>
      </c>
      <c r="P116" s="1172"/>
      <c r="Q116" s="1173"/>
      <c r="R116" s="1173"/>
      <c r="S116" s="1171"/>
      <c r="T116" s="1138"/>
      <c r="U116" s="1214"/>
    </row>
    <row r="117" spans="1:21" s="1215" customFormat="1" ht="12" customHeight="1" outlineLevel="1" x14ac:dyDescent="0.25">
      <c r="A117" s="1210"/>
      <c r="B117" s="1170" t="s">
        <v>183</v>
      </c>
      <c r="C117" s="1230" t="s">
        <v>1977</v>
      </c>
      <c r="D117" s="1230"/>
      <c r="E117" s="1231"/>
      <c r="F117" s="1231"/>
      <c r="G117" s="1232"/>
      <c r="H117" s="1231" t="s">
        <v>761</v>
      </c>
      <c r="I117" s="1171">
        <v>0</v>
      </c>
      <c r="J117" s="1171">
        <v>0</v>
      </c>
      <c r="K117" s="1171">
        <v>0</v>
      </c>
      <c r="L117" s="1171">
        <v>0</v>
      </c>
      <c r="M117" s="1171">
        <f>[4]VO!$B$43</f>
        <v>60000</v>
      </c>
      <c r="N117" s="1174"/>
      <c r="O117" s="1866">
        <f t="shared" si="8"/>
        <v>60000</v>
      </c>
      <c r="P117" s="1172"/>
      <c r="Q117" s="1173"/>
      <c r="R117" s="1173"/>
      <c r="S117" s="1171"/>
      <c r="T117" s="1138"/>
      <c r="U117" s="1214"/>
    </row>
    <row r="118" spans="1:21" s="1215" customFormat="1" ht="12" customHeight="1" outlineLevel="1" thickBot="1" x14ac:dyDescent="0.3">
      <c r="A118" s="1255">
        <v>3631</v>
      </c>
      <c r="B118" s="1170" t="s">
        <v>183</v>
      </c>
      <c r="C118" s="1230"/>
      <c r="D118" s="1230"/>
      <c r="E118" s="1231"/>
      <c r="F118" s="1231"/>
      <c r="G118" s="1232"/>
      <c r="H118" s="1231"/>
      <c r="I118" s="1171">
        <v>0</v>
      </c>
      <c r="J118" s="1171"/>
      <c r="K118" s="1171"/>
      <c r="L118" s="1171"/>
      <c r="M118" s="1171"/>
      <c r="N118" s="1174"/>
      <c r="O118" s="1866">
        <f t="shared" si="8"/>
        <v>0</v>
      </c>
      <c r="P118" s="1172"/>
      <c r="Q118" s="1182"/>
      <c r="R118" s="1182"/>
      <c r="S118" s="1171"/>
      <c r="T118" s="1138"/>
      <c r="U118" s="1214"/>
    </row>
    <row r="119" spans="1:21" ht="14.25" thickBot="1" x14ac:dyDescent="0.3">
      <c r="A119" s="2314" t="s">
        <v>752</v>
      </c>
      <c r="B119" s="2315"/>
      <c r="C119" s="1183"/>
      <c r="D119" s="1183"/>
      <c r="E119" s="1184"/>
      <c r="F119" s="1184"/>
      <c r="G119" s="1185"/>
      <c r="H119" s="1184"/>
      <c r="I119" s="1186">
        <f>SUM(I113:I118)</f>
        <v>560000</v>
      </c>
      <c r="J119" s="1186">
        <v>860000</v>
      </c>
      <c r="K119" s="1186">
        <v>860000</v>
      </c>
      <c r="L119" s="1186">
        <v>270000</v>
      </c>
      <c r="M119" s="1186">
        <f>SUM(M113:M118)</f>
        <v>660000</v>
      </c>
      <c r="N119" s="1187"/>
      <c r="O119" s="1861">
        <f t="shared" si="8"/>
        <v>660000</v>
      </c>
      <c r="P119" s="1186">
        <f>SUM(P113:P118)</f>
        <v>0</v>
      </c>
      <c r="Q119" s="1188"/>
      <c r="R119" s="1188"/>
      <c r="S119" s="1189"/>
      <c r="T119" s="1190">
        <f>'Výdaje kapitol celkem'!BP69</f>
        <v>660000</v>
      </c>
      <c r="U119" s="1191">
        <f>+T119-M119</f>
        <v>0</v>
      </c>
    </row>
    <row r="120" spans="1:21" s="1264" customFormat="1" ht="12" hidden="1" customHeight="1" outlineLevel="1" x14ac:dyDescent="0.25">
      <c r="A120" s="1210"/>
      <c r="B120" s="1154" t="s">
        <v>184</v>
      </c>
      <c r="C120" s="1261" t="s">
        <v>767</v>
      </c>
      <c r="D120" s="1261"/>
      <c r="E120" s="1262"/>
      <c r="F120" s="1262"/>
      <c r="G120" s="1263"/>
      <c r="H120" s="1231" t="s">
        <v>761</v>
      </c>
      <c r="I120" s="1158">
        <v>100000</v>
      </c>
      <c r="J120" s="1158">
        <v>100000</v>
      </c>
      <c r="K120" s="1158">
        <v>100000</v>
      </c>
      <c r="L120" s="1158">
        <v>0</v>
      </c>
      <c r="M120" s="1158">
        <f>'[5]Silnice stavba'!$B$9</f>
        <v>0</v>
      </c>
      <c r="N120" s="1159"/>
      <c r="O120" s="1858">
        <f t="shared" si="8"/>
        <v>0</v>
      </c>
      <c r="P120" s="1160"/>
      <c r="Q120" s="1161"/>
      <c r="R120" s="1161"/>
      <c r="S120" s="1158"/>
      <c r="T120" s="1138"/>
      <c r="U120" s="1139"/>
    </row>
    <row r="121" spans="1:21" s="1264" customFormat="1" ht="12" hidden="1" customHeight="1" outlineLevel="1" x14ac:dyDescent="0.25">
      <c r="A121" s="1210"/>
      <c r="B121" s="1170" t="s">
        <v>184</v>
      </c>
      <c r="C121" s="1265" t="s">
        <v>606</v>
      </c>
      <c r="D121" s="1265"/>
      <c r="E121" s="1266"/>
      <c r="F121" s="1266"/>
      <c r="G121" s="1267"/>
      <c r="H121" s="1266" t="s">
        <v>761</v>
      </c>
      <c r="I121" s="1171">
        <v>0</v>
      </c>
      <c r="J121" s="1171"/>
      <c r="K121" s="1171"/>
      <c r="L121" s="1171"/>
      <c r="M121" s="1171">
        <f>'[5]Silnice stavba'!$B$21</f>
        <v>0</v>
      </c>
      <c r="N121" s="1174"/>
      <c r="O121" s="1866">
        <f t="shared" si="8"/>
        <v>0</v>
      </c>
      <c r="P121" s="1172"/>
      <c r="Q121" s="1173"/>
      <c r="R121" s="1173"/>
      <c r="S121" s="1171"/>
      <c r="T121" s="1138"/>
      <c r="U121" s="1139"/>
    </row>
    <row r="122" spans="1:21" s="1264" customFormat="1" ht="12" hidden="1" customHeight="1" outlineLevel="1" x14ac:dyDescent="0.25">
      <c r="A122" s="1210"/>
      <c r="B122" s="1170" t="s">
        <v>184</v>
      </c>
      <c r="C122" s="1265" t="s">
        <v>607</v>
      </c>
      <c r="D122" s="1265"/>
      <c r="E122" s="1266"/>
      <c r="F122" s="1266"/>
      <c r="G122" s="1267"/>
      <c r="H122" s="1266" t="s">
        <v>761</v>
      </c>
      <c r="I122" s="1171">
        <v>0</v>
      </c>
      <c r="J122" s="1171"/>
      <c r="K122" s="1171"/>
      <c r="L122" s="1171"/>
      <c r="M122" s="1171">
        <f>'[5]Silnice stavba'!$B$30</f>
        <v>0</v>
      </c>
      <c r="N122" s="1174"/>
      <c r="O122" s="1866">
        <f t="shared" si="8"/>
        <v>0</v>
      </c>
      <c r="P122" s="1172"/>
      <c r="Q122" s="1173"/>
      <c r="R122" s="1173"/>
      <c r="S122" s="1171"/>
      <c r="T122" s="1138"/>
      <c r="U122" s="1139"/>
    </row>
    <row r="123" spans="1:21" s="1264" customFormat="1" ht="12" hidden="1" customHeight="1" outlineLevel="1" x14ac:dyDescent="0.25">
      <c r="A123" s="1210"/>
      <c r="B123" s="1170" t="s">
        <v>184</v>
      </c>
      <c r="C123" s="1265" t="s">
        <v>768</v>
      </c>
      <c r="D123" s="1265"/>
      <c r="E123" s="1266"/>
      <c r="F123" s="1266"/>
      <c r="G123" s="1267"/>
      <c r="H123" s="1266" t="s">
        <v>761</v>
      </c>
      <c r="I123" s="1171">
        <v>0</v>
      </c>
      <c r="J123" s="1171"/>
      <c r="K123" s="1171"/>
      <c r="L123" s="1171"/>
      <c r="M123" s="1171">
        <f>'[5]Silnice stavba'!$B$34</f>
        <v>0</v>
      </c>
      <c r="N123" s="1174"/>
      <c r="O123" s="1866">
        <f t="shared" si="8"/>
        <v>0</v>
      </c>
      <c r="P123" s="1172">
        <v>0</v>
      </c>
      <c r="Q123" s="1173"/>
      <c r="R123" s="1173"/>
      <c r="S123" s="1171"/>
      <c r="T123" s="1138"/>
      <c r="U123" s="1139"/>
    </row>
    <row r="124" spans="1:21" s="1264" customFormat="1" ht="12" customHeight="1" outlineLevel="1" x14ac:dyDescent="0.25">
      <c r="A124" s="1210"/>
      <c r="B124" s="1170" t="s">
        <v>184</v>
      </c>
      <c r="C124" s="1265" t="s">
        <v>573</v>
      </c>
      <c r="D124" s="1265"/>
      <c r="E124" s="1266"/>
      <c r="F124" s="1266"/>
      <c r="G124" s="1267"/>
      <c r="H124" s="1266" t="s">
        <v>761</v>
      </c>
      <c r="I124" s="1171">
        <v>460000</v>
      </c>
      <c r="J124" s="1171">
        <v>180000</v>
      </c>
      <c r="K124" s="1171">
        <v>180000</v>
      </c>
      <c r="L124" s="1171">
        <v>180000</v>
      </c>
      <c r="M124" s="1171">
        <f>'[5]Silnice stavba'!$B$33</f>
        <v>180000</v>
      </c>
      <c r="N124" s="1174"/>
      <c r="O124" s="1866">
        <f t="shared" si="8"/>
        <v>180000</v>
      </c>
      <c r="P124" s="1172"/>
      <c r="Q124" s="1173"/>
      <c r="R124" s="1173"/>
      <c r="S124" s="1171"/>
      <c r="T124" s="1138"/>
      <c r="U124" s="1139"/>
    </row>
    <row r="125" spans="1:21" s="1264" customFormat="1" ht="12" customHeight="1" outlineLevel="1" x14ac:dyDescent="0.25">
      <c r="A125" s="1210"/>
      <c r="B125" s="1170" t="s">
        <v>184</v>
      </c>
      <c r="C125" s="1265" t="s">
        <v>1635</v>
      </c>
      <c r="D125" s="1265"/>
      <c r="E125" s="1266"/>
      <c r="F125" s="1268"/>
      <c r="G125" s="1269"/>
      <c r="H125" s="1266" t="s">
        <v>761</v>
      </c>
      <c r="I125" s="1171">
        <v>80000</v>
      </c>
      <c r="J125" s="1171">
        <v>80000</v>
      </c>
      <c r="K125" s="1171">
        <v>80000</v>
      </c>
      <c r="L125" s="1171">
        <v>80000</v>
      </c>
      <c r="M125" s="1171">
        <f>'[5]Silnice stavba'!$B$48</f>
        <v>80000</v>
      </c>
      <c r="N125" s="1174"/>
      <c r="O125" s="1866">
        <f t="shared" si="8"/>
        <v>80000</v>
      </c>
      <c r="P125" s="1172">
        <v>0</v>
      </c>
      <c r="Q125" s="1173"/>
      <c r="R125" s="1173"/>
      <c r="S125" s="1171" t="s">
        <v>2049</v>
      </c>
      <c r="T125" s="1138"/>
      <c r="U125" s="1139"/>
    </row>
    <row r="126" spans="1:21" s="1264" customFormat="1" ht="12" hidden="1" customHeight="1" outlineLevel="1" x14ac:dyDescent="0.25">
      <c r="A126" s="1210"/>
      <c r="B126" s="1170" t="s">
        <v>184</v>
      </c>
      <c r="C126" s="1265" t="s">
        <v>1636</v>
      </c>
      <c r="D126" s="1265"/>
      <c r="E126" s="1266"/>
      <c r="F126" s="1268"/>
      <c r="G126" s="1269"/>
      <c r="H126" s="1266" t="s">
        <v>761</v>
      </c>
      <c r="I126" s="1171">
        <v>0</v>
      </c>
      <c r="J126" s="1171">
        <v>0</v>
      </c>
      <c r="K126" s="1171">
        <v>0</v>
      </c>
      <c r="L126" s="1171">
        <v>0</v>
      </c>
      <c r="M126" s="1171">
        <f>'[5]Silnice stavba'!$B$49</f>
        <v>0</v>
      </c>
      <c r="N126" s="1174"/>
      <c r="O126" s="1866">
        <f t="shared" si="8"/>
        <v>0</v>
      </c>
      <c r="P126" s="1172"/>
      <c r="Q126" s="1173"/>
      <c r="R126" s="1173"/>
      <c r="S126" s="1171"/>
      <c r="T126" s="1138"/>
      <c r="U126" s="1139"/>
    </row>
    <row r="127" spans="1:21" s="1264" customFormat="1" ht="12" hidden="1" customHeight="1" outlineLevel="1" x14ac:dyDescent="0.25">
      <c r="A127" s="1210"/>
      <c r="B127" s="1170" t="s">
        <v>184</v>
      </c>
      <c r="C127" s="1265" t="s">
        <v>769</v>
      </c>
      <c r="D127" s="1265"/>
      <c r="E127" s="1266"/>
      <c r="F127" s="1266"/>
      <c r="G127" s="1267"/>
      <c r="H127" s="1266" t="s">
        <v>761</v>
      </c>
      <c r="I127" s="1171">
        <v>67330</v>
      </c>
      <c r="J127" s="1171">
        <v>0</v>
      </c>
      <c r="K127" s="1171">
        <v>0</v>
      </c>
      <c r="L127" s="1171">
        <v>0</v>
      </c>
      <c r="M127" s="1171">
        <f>'[5]Silnice stavba'!$B$63</f>
        <v>0</v>
      </c>
      <c r="N127" s="1174"/>
      <c r="O127" s="1866">
        <f t="shared" si="8"/>
        <v>0</v>
      </c>
      <c r="P127" s="1172"/>
      <c r="Q127" s="1173"/>
      <c r="R127" s="1173"/>
      <c r="S127" s="1171"/>
      <c r="T127" s="1138"/>
      <c r="U127" s="1139"/>
    </row>
    <row r="128" spans="1:21" s="1264" customFormat="1" ht="12" hidden="1" customHeight="1" outlineLevel="1" x14ac:dyDescent="0.25">
      <c r="A128" s="1210"/>
      <c r="B128" s="1170" t="s">
        <v>184</v>
      </c>
      <c r="C128" s="1265" t="s">
        <v>574</v>
      </c>
      <c r="D128" s="1265"/>
      <c r="E128" s="1266"/>
      <c r="F128" s="1266"/>
      <c r="G128" s="1267"/>
      <c r="H128" s="1266" t="s">
        <v>761</v>
      </c>
      <c r="I128" s="1171">
        <v>0</v>
      </c>
      <c r="J128" s="1171">
        <v>0</v>
      </c>
      <c r="K128" s="1171">
        <v>0</v>
      </c>
      <c r="L128" s="1171">
        <v>0</v>
      </c>
      <c r="M128" s="1171">
        <f>'[5]Silnice stavba'!$B$62</f>
        <v>0</v>
      </c>
      <c r="N128" s="1174"/>
      <c r="O128" s="1866">
        <f t="shared" si="8"/>
        <v>0</v>
      </c>
      <c r="P128" s="1172"/>
      <c r="Q128" s="1173"/>
      <c r="R128" s="1173"/>
      <c r="S128" s="1171"/>
      <c r="T128" s="1138"/>
      <c r="U128" s="1139"/>
    </row>
    <row r="129" spans="1:21" s="1264" customFormat="1" ht="12" hidden="1" customHeight="1" outlineLevel="1" x14ac:dyDescent="0.25">
      <c r="A129" s="1210"/>
      <c r="B129" s="1170" t="s">
        <v>184</v>
      </c>
      <c r="C129" s="1265" t="s">
        <v>770</v>
      </c>
      <c r="D129" s="1265"/>
      <c r="E129" s="1266"/>
      <c r="F129" s="1266"/>
      <c r="G129" s="1267"/>
      <c r="H129" s="1266" t="s">
        <v>761</v>
      </c>
      <c r="I129" s="1171">
        <v>112000</v>
      </c>
      <c r="J129" s="1171">
        <v>0</v>
      </c>
      <c r="K129" s="1171">
        <v>0</v>
      </c>
      <c r="L129" s="1171">
        <v>0</v>
      </c>
      <c r="M129" s="1171">
        <f>'[5]Silnice stavba'!$B$76</f>
        <v>0</v>
      </c>
      <c r="N129" s="1174"/>
      <c r="O129" s="1866">
        <f t="shared" si="8"/>
        <v>0</v>
      </c>
      <c r="P129" s="1172"/>
      <c r="Q129" s="1173"/>
      <c r="R129" s="1173"/>
      <c r="S129" s="1171"/>
      <c r="T129" s="1138"/>
      <c r="U129" s="1139"/>
    </row>
    <row r="130" spans="1:21" s="1264" customFormat="1" ht="12" hidden="1" customHeight="1" outlineLevel="1" x14ac:dyDescent="0.25">
      <c r="A130" s="1210"/>
      <c r="B130" s="1170" t="s">
        <v>184</v>
      </c>
      <c r="C130" s="1265" t="s">
        <v>308</v>
      </c>
      <c r="D130" s="1265"/>
      <c r="E130" s="1266"/>
      <c r="F130" s="1266"/>
      <c r="G130" s="1267"/>
      <c r="H130" s="1212" t="s">
        <v>761</v>
      </c>
      <c r="I130" s="1171">
        <v>0</v>
      </c>
      <c r="J130" s="1171">
        <v>0</v>
      </c>
      <c r="K130" s="1171">
        <v>0</v>
      </c>
      <c r="L130" s="1171">
        <v>0</v>
      </c>
      <c r="M130" s="1171">
        <f>'[5]Silnice stavba'!$B$75</f>
        <v>0</v>
      </c>
      <c r="N130" s="1174"/>
      <c r="O130" s="1866">
        <f t="shared" si="8"/>
        <v>0</v>
      </c>
      <c r="P130" s="1172"/>
      <c r="Q130" s="1173"/>
      <c r="R130" s="1173"/>
      <c r="S130" s="1171"/>
      <c r="T130" s="1138"/>
      <c r="U130" s="1139"/>
    </row>
    <row r="131" spans="1:21" s="1264" customFormat="1" ht="12" hidden="1" customHeight="1" outlineLevel="1" x14ac:dyDescent="0.25">
      <c r="A131" s="1210"/>
      <c r="B131" s="1170" t="s">
        <v>184</v>
      </c>
      <c r="C131" s="1265" t="s">
        <v>836</v>
      </c>
      <c r="D131" s="1265"/>
      <c r="E131" s="1266"/>
      <c r="F131" s="1266"/>
      <c r="G131" s="1267"/>
      <c r="H131" s="1212" t="s">
        <v>761</v>
      </c>
      <c r="I131" s="1171">
        <v>0</v>
      </c>
      <c r="J131" s="1171">
        <v>0</v>
      </c>
      <c r="K131" s="1171">
        <v>0</v>
      </c>
      <c r="L131" s="1171">
        <v>0</v>
      </c>
      <c r="M131" s="1171">
        <f>'[5]Silnice stavba'!$B$90</f>
        <v>0</v>
      </c>
      <c r="N131" s="1174"/>
      <c r="O131" s="1866">
        <f t="shared" si="8"/>
        <v>0</v>
      </c>
      <c r="P131" s="1172"/>
      <c r="Q131" s="1173"/>
      <c r="R131" s="1173"/>
      <c r="S131" s="1171"/>
      <c r="T131" s="1138"/>
      <c r="U131" s="1139"/>
    </row>
    <row r="132" spans="1:21" s="1264" customFormat="1" ht="12" hidden="1" customHeight="1" outlineLevel="1" x14ac:dyDescent="0.25">
      <c r="A132" s="1210"/>
      <c r="B132" s="1170" t="s">
        <v>184</v>
      </c>
      <c r="C132" s="1265" t="s">
        <v>309</v>
      </c>
      <c r="D132" s="1265"/>
      <c r="E132" s="1266"/>
      <c r="F132" s="1266"/>
      <c r="G132" s="1267"/>
      <c r="H132" s="1212" t="s">
        <v>761</v>
      </c>
      <c r="I132" s="1171">
        <v>0</v>
      </c>
      <c r="J132" s="1171">
        <v>0</v>
      </c>
      <c r="K132" s="1171">
        <v>0</v>
      </c>
      <c r="L132" s="1171">
        <v>0</v>
      </c>
      <c r="M132" s="1171">
        <f>'[5]Silnice stavba'!$B$89</f>
        <v>0</v>
      </c>
      <c r="N132" s="1174"/>
      <c r="O132" s="1866">
        <f t="shared" si="8"/>
        <v>0</v>
      </c>
      <c r="P132" s="1172"/>
      <c r="Q132" s="1173"/>
      <c r="R132" s="1173"/>
      <c r="S132" s="1171"/>
      <c r="T132" s="1138"/>
      <c r="U132" s="1139"/>
    </row>
    <row r="133" spans="1:21" s="1264" customFormat="1" ht="12" hidden="1" customHeight="1" outlineLevel="1" x14ac:dyDescent="0.25">
      <c r="A133" s="1210"/>
      <c r="B133" s="1170" t="s">
        <v>184</v>
      </c>
      <c r="C133" s="1265" t="s">
        <v>771</v>
      </c>
      <c r="D133" s="1265"/>
      <c r="E133" s="1266"/>
      <c r="F133" s="1266"/>
      <c r="G133" s="1267"/>
      <c r="H133" s="1231" t="s">
        <v>761</v>
      </c>
      <c r="I133" s="1171">
        <v>95000</v>
      </c>
      <c r="J133" s="1171">
        <v>95000</v>
      </c>
      <c r="K133" s="1171">
        <v>95000</v>
      </c>
      <c r="L133" s="1171">
        <v>0</v>
      </c>
      <c r="M133" s="1171">
        <f>'[5]Silnice stavba'!$B$101</f>
        <v>0</v>
      </c>
      <c r="N133" s="1174"/>
      <c r="O133" s="1866">
        <f t="shared" si="8"/>
        <v>0</v>
      </c>
      <c r="P133" s="1172"/>
      <c r="Q133" s="1173"/>
      <c r="R133" s="1173"/>
      <c r="S133" s="1171"/>
      <c r="T133" s="1138"/>
      <c r="U133" s="1139"/>
    </row>
    <row r="134" spans="1:21" s="1264" customFormat="1" ht="12" hidden="1" customHeight="1" outlineLevel="1" x14ac:dyDescent="0.25">
      <c r="A134" s="1210"/>
      <c r="B134" s="1170" t="s">
        <v>184</v>
      </c>
      <c r="C134" s="1265" t="s">
        <v>310</v>
      </c>
      <c r="D134" s="1265"/>
      <c r="E134" s="1266"/>
      <c r="F134" s="1266"/>
      <c r="G134" s="1267"/>
      <c r="H134" s="1231" t="s">
        <v>761</v>
      </c>
      <c r="I134" s="1171">
        <v>18150</v>
      </c>
      <c r="J134" s="1171">
        <v>0</v>
      </c>
      <c r="K134" s="1171">
        <v>0</v>
      </c>
      <c r="L134" s="1171">
        <v>0</v>
      </c>
      <c r="M134" s="1171">
        <f>'[5]Silnice stavba'!$B$100</f>
        <v>0</v>
      </c>
      <c r="N134" s="1174"/>
      <c r="O134" s="1866">
        <f t="shared" si="8"/>
        <v>0</v>
      </c>
      <c r="P134" s="1172"/>
      <c r="Q134" s="1173"/>
      <c r="R134" s="1173"/>
      <c r="S134" s="1171"/>
      <c r="T134" s="1138"/>
      <c r="U134" s="1139"/>
    </row>
    <row r="135" spans="1:21" s="1264" customFormat="1" ht="12" hidden="1" customHeight="1" outlineLevel="1" x14ac:dyDescent="0.25">
      <c r="A135" s="1210"/>
      <c r="B135" s="1170" t="s">
        <v>184</v>
      </c>
      <c r="C135" s="1265" t="s">
        <v>772</v>
      </c>
      <c r="D135" s="1265"/>
      <c r="E135" s="1266"/>
      <c r="F135" s="1266"/>
      <c r="G135" s="1267"/>
      <c r="H135" s="1231" t="s">
        <v>761</v>
      </c>
      <c r="I135" s="1171">
        <v>0</v>
      </c>
      <c r="J135" s="1171">
        <v>0</v>
      </c>
      <c r="K135" s="1171">
        <v>0</v>
      </c>
      <c r="L135" s="1171">
        <v>0</v>
      </c>
      <c r="M135" s="1171">
        <f>'[5]Silnice stavba'!$B$114</f>
        <v>0</v>
      </c>
      <c r="N135" s="1174"/>
      <c r="O135" s="1866">
        <f t="shared" si="8"/>
        <v>0</v>
      </c>
      <c r="P135" s="1172"/>
      <c r="Q135" s="1173"/>
      <c r="R135" s="1173"/>
      <c r="S135" s="1171"/>
      <c r="T135" s="1138"/>
      <c r="U135" s="1139"/>
    </row>
    <row r="136" spans="1:21" s="1264" customFormat="1" ht="12" hidden="1" customHeight="1" outlineLevel="1" x14ac:dyDescent="0.25">
      <c r="A136" s="1210"/>
      <c r="B136" s="1170" t="s">
        <v>184</v>
      </c>
      <c r="C136" s="1265" t="s">
        <v>575</v>
      </c>
      <c r="D136" s="1265"/>
      <c r="E136" s="1266"/>
      <c r="F136" s="1266"/>
      <c r="G136" s="1267"/>
      <c r="H136" s="1231" t="s">
        <v>761</v>
      </c>
      <c r="I136" s="1171">
        <v>0</v>
      </c>
      <c r="J136" s="1171">
        <v>0</v>
      </c>
      <c r="K136" s="1171">
        <v>0</v>
      </c>
      <c r="L136" s="1171">
        <v>0</v>
      </c>
      <c r="M136" s="1171">
        <f>'[5]Silnice stavba'!$B$113</f>
        <v>0</v>
      </c>
      <c r="N136" s="1174"/>
      <c r="O136" s="1866">
        <f t="shared" si="8"/>
        <v>0</v>
      </c>
      <c r="P136" s="1172"/>
      <c r="Q136" s="1173"/>
      <c r="R136" s="1173"/>
      <c r="S136" s="1171"/>
      <c r="T136" s="1138"/>
      <c r="U136" s="1139"/>
    </row>
    <row r="137" spans="1:21" s="1264" customFormat="1" ht="12" hidden="1" customHeight="1" outlineLevel="1" x14ac:dyDescent="0.25">
      <c r="A137" s="1210"/>
      <c r="B137" s="1170" t="s">
        <v>184</v>
      </c>
      <c r="C137" s="1265" t="s">
        <v>773</v>
      </c>
      <c r="D137" s="1265"/>
      <c r="E137" s="1266"/>
      <c r="F137" s="1266"/>
      <c r="G137" s="1267"/>
      <c r="H137" s="1231" t="s">
        <v>761</v>
      </c>
      <c r="I137" s="1171">
        <v>0</v>
      </c>
      <c r="J137" s="1171">
        <v>0</v>
      </c>
      <c r="K137" s="1171">
        <v>0</v>
      </c>
      <c r="L137" s="1171">
        <v>0</v>
      </c>
      <c r="M137" s="1171">
        <f>'[5]Silnice stavba'!$B$128</f>
        <v>0</v>
      </c>
      <c r="N137" s="1174"/>
      <c r="O137" s="1866">
        <f t="shared" si="8"/>
        <v>0</v>
      </c>
      <c r="P137" s="1172"/>
      <c r="Q137" s="1173"/>
      <c r="R137" s="1173"/>
      <c r="S137" s="1171"/>
      <c r="T137" s="1138"/>
      <c r="U137" s="1139"/>
    </row>
    <row r="138" spans="1:21" s="1264" customFormat="1" ht="12" customHeight="1" outlineLevel="1" x14ac:dyDescent="0.25">
      <c r="A138" s="1210"/>
      <c r="B138" s="1170" t="s">
        <v>184</v>
      </c>
      <c r="C138" s="1265" t="s">
        <v>576</v>
      </c>
      <c r="D138" s="1265"/>
      <c r="E138" s="1266"/>
      <c r="F138" s="1266"/>
      <c r="G138" s="1267"/>
      <c r="H138" s="1231" t="s">
        <v>761</v>
      </c>
      <c r="I138" s="1171">
        <v>0</v>
      </c>
      <c r="J138" s="1171">
        <v>0</v>
      </c>
      <c r="K138" s="1171">
        <v>0</v>
      </c>
      <c r="L138" s="1171">
        <v>0</v>
      </c>
      <c r="M138" s="1171">
        <f>'[5]Silnice stavba'!$B$127</f>
        <v>0</v>
      </c>
      <c r="N138" s="1174"/>
      <c r="O138" s="1866">
        <f t="shared" ref="O138:O201" si="12">M138-P138</f>
        <v>0</v>
      </c>
      <c r="P138" s="1172"/>
      <c r="Q138" s="1173"/>
      <c r="R138" s="1173"/>
      <c r="S138" s="1171"/>
      <c r="T138" s="1138"/>
      <c r="U138" s="1139"/>
    </row>
    <row r="139" spans="1:21" s="1264" customFormat="1" ht="12" hidden="1" customHeight="1" outlineLevel="1" x14ac:dyDescent="0.25">
      <c r="A139" s="1210"/>
      <c r="B139" s="1170" t="s">
        <v>184</v>
      </c>
      <c r="C139" s="1265" t="s">
        <v>914</v>
      </c>
      <c r="D139" s="1265"/>
      <c r="E139" s="1266"/>
      <c r="F139" s="1266"/>
      <c r="G139" s="1267"/>
      <c r="H139" s="1231" t="s">
        <v>761</v>
      </c>
      <c r="I139" s="1171">
        <v>0</v>
      </c>
      <c r="J139" s="1171">
        <v>0</v>
      </c>
      <c r="K139" s="1171">
        <v>0</v>
      </c>
      <c r="L139" s="1171">
        <v>100000</v>
      </c>
      <c r="M139" s="1171">
        <f>'[5]Silnice stavba'!$B$139</f>
        <v>0</v>
      </c>
      <c r="N139" s="1174"/>
      <c r="O139" s="1866">
        <f t="shared" si="12"/>
        <v>0</v>
      </c>
      <c r="P139" s="1172"/>
      <c r="Q139" s="1173"/>
      <c r="R139" s="1173"/>
      <c r="S139" s="1171"/>
      <c r="T139" s="1138"/>
      <c r="U139" s="1139"/>
    </row>
    <row r="140" spans="1:21" s="1264" customFormat="1" ht="12" hidden="1" customHeight="1" outlineLevel="1" x14ac:dyDescent="0.25">
      <c r="A140" s="1210"/>
      <c r="B140" s="1170" t="s">
        <v>184</v>
      </c>
      <c r="C140" s="1265" t="s">
        <v>913</v>
      </c>
      <c r="D140" s="1265"/>
      <c r="E140" s="1266"/>
      <c r="F140" s="1266"/>
      <c r="G140" s="1267"/>
      <c r="H140" s="1231" t="s">
        <v>761</v>
      </c>
      <c r="I140" s="1171">
        <v>0</v>
      </c>
      <c r="J140" s="1171">
        <v>0</v>
      </c>
      <c r="K140" s="1171">
        <v>0</v>
      </c>
      <c r="L140" s="1171">
        <v>0</v>
      </c>
      <c r="M140" s="1171">
        <f>'[5]Silnice stavba'!$B$138</f>
        <v>0</v>
      </c>
      <c r="N140" s="1174"/>
      <c r="O140" s="1866">
        <f t="shared" si="12"/>
        <v>0</v>
      </c>
      <c r="P140" s="1172"/>
      <c r="Q140" s="1173"/>
      <c r="R140" s="1173"/>
      <c r="S140" s="1171"/>
      <c r="T140" s="1138"/>
      <c r="U140" s="1139"/>
    </row>
    <row r="141" spans="1:21" s="1264" customFormat="1" ht="12" customHeight="1" outlineLevel="1" x14ac:dyDescent="0.25">
      <c r="A141" s="1210"/>
      <c r="B141" s="1170" t="s">
        <v>184</v>
      </c>
      <c r="C141" s="1265" t="s">
        <v>774</v>
      </c>
      <c r="D141" s="1265"/>
      <c r="E141" s="1266"/>
      <c r="F141" s="1266"/>
      <c r="G141" s="1267"/>
      <c r="H141" s="1231" t="s">
        <v>761</v>
      </c>
      <c r="I141" s="1171">
        <v>0</v>
      </c>
      <c r="J141" s="1171">
        <v>0</v>
      </c>
      <c r="K141" s="1171">
        <v>0</v>
      </c>
      <c r="L141" s="1171">
        <v>390000</v>
      </c>
      <c r="M141" s="1171">
        <f>'[5]Silnice stavba'!$B$149</f>
        <v>100000</v>
      </c>
      <c r="N141" s="1174"/>
      <c r="O141" s="1866">
        <f t="shared" si="12"/>
        <v>100000</v>
      </c>
      <c r="P141" s="1172"/>
      <c r="Q141" s="1173"/>
      <c r="R141" s="1173"/>
      <c r="S141" s="1171"/>
      <c r="T141" s="1138"/>
      <c r="U141" s="1139"/>
    </row>
    <row r="142" spans="1:21" s="1264" customFormat="1" ht="12" hidden="1" customHeight="1" outlineLevel="1" x14ac:dyDescent="0.25">
      <c r="A142" s="1210"/>
      <c r="B142" s="1170" t="s">
        <v>184</v>
      </c>
      <c r="C142" s="1265" t="s">
        <v>577</v>
      </c>
      <c r="D142" s="1265"/>
      <c r="E142" s="1266"/>
      <c r="F142" s="1266"/>
      <c r="G142" s="1267"/>
      <c r="H142" s="1231" t="s">
        <v>761</v>
      </c>
      <c r="I142" s="1171">
        <v>0</v>
      </c>
      <c r="J142" s="1171">
        <v>0</v>
      </c>
      <c r="K142" s="1171">
        <v>0</v>
      </c>
      <c r="L142" s="1171">
        <v>0</v>
      </c>
      <c r="M142" s="1171">
        <f>'[5]Silnice stavba'!$B$148</f>
        <v>0</v>
      </c>
      <c r="N142" s="1174"/>
      <c r="O142" s="1866">
        <f t="shared" si="12"/>
        <v>0</v>
      </c>
      <c r="P142" s="1172"/>
      <c r="Q142" s="1173"/>
      <c r="R142" s="1173"/>
      <c r="S142" s="1171"/>
      <c r="T142" s="1138"/>
      <c r="U142" s="1139"/>
    </row>
    <row r="143" spans="1:21" s="1264" customFormat="1" ht="12" hidden="1" customHeight="1" outlineLevel="1" x14ac:dyDescent="0.25">
      <c r="A143" s="1210"/>
      <c r="B143" s="1170" t="s">
        <v>184</v>
      </c>
      <c r="C143" s="1265" t="s">
        <v>915</v>
      </c>
      <c r="D143" s="1265"/>
      <c r="E143" s="1266"/>
      <c r="F143" s="1266"/>
      <c r="G143" s="1267"/>
      <c r="H143" s="1231" t="s">
        <v>761</v>
      </c>
      <c r="I143" s="1171">
        <v>0</v>
      </c>
      <c r="J143" s="1171">
        <v>0</v>
      </c>
      <c r="K143" s="1171">
        <v>0</v>
      </c>
      <c r="L143" s="1171">
        <v>0</v>
      </c>
      <c r="M143" s="1171">
        <f>'[5]Silnice stavba'!$B$159</f>
        <v>0</v>
      </c>
      <c r="N143" s="1174"/>
      <c r="O143" s="1866">
        <f t="shared" si="12"/>
        <v>0</v>
      </c>
      <c r="P143" s="1172"/>
      <c r="Q143" s="1173"/>
      <c r="R143" s="1173"/>
      <c r="S143" s="1171"/>
      <c r="T143" s="1138"/>
      <c r="U143" s="1139"/>
    </row>
    <row r="144" spans="1:21" s="1264" customFormat="1" ht="12" customHeight="1" outlineLevel="1" x14ac:dyDescent="0.25">
      <c r="A144" s="1210"/>
      <c r="B144" s="1170" t="s">
        <v>184</v>
      </c>
      <c r="C144" s="1265" t="s">
        <v>874</v>
      </c>
      <c r="D144" s="1265"/>
      <c r="E144" s="1266"/>
      <c r="F144" s="1266"/>
      <c r="G144" s="1267"/>
      <c r="H144" s="1231" t="s">
        <v>761</v>
      </c>
      <c r="I144" s="1171">
        <v>100000</v>
      </c>
      <c r="J144" s="1171">
        <v>0</v>
      </c>
      <c r="K144" s="1171">
        <v>0</v>
      </c>
      <c r="L144" s="1171">
        <v>645000</v>
      </c>
      <c r="M144" s="1171">
        <f>'[5]Silnice stavba'!$B$158</f>
        <v>20000</v>
      </c>
      <c r="N144" s="1174"/>
      <c r="O144" s="1866">
        <f t="shared" si="12"/>
        <v>20000</v>
      </c>
      <c r="P144" s="1172"/>
      <c r="Q144" s="1173"/>
      <c r="R144" s="1173"/>
      <c r="S144" s="1171"/>
      <c r="T144" s="1138"/>
      <c r="U144" s="1139"/>
    </row>
    <row r="145" spans="1:21" s="1264" customFormat="1" ht="12" customHeight="1" outlineLevel="1" x14ac:dyDescent="0.25">
      <c r="A145" s="1210"/>
      <c r="B145" s="1170" t="s">
        <v>184</v>
      </c>
      <c r="C145" s="1265" t="s">
        <v>916</v>
      </c>
      <c r="D145" s="1265"/>
      <c r="E145" s="1266"/>
      <c r="F145" s="1266"/>
      <c r="G145" s="1267"/>
      <c r="H145" s="1231" t="s">
        <v>761</v>
      </c>
      <c r="I145" s="1171">
        <v>50000</v>
      </c>
      <c r="J145" s="1171">
        <v>100000</v>
      </c>
      <c r="K145" s="1171">
        <v>100000</v>
      </c>
      <c r="L145" s="1171">
        <v>100000</v>
      </c>
      <c r="M145" s="1171">
        <f>'[5]Silnice stavba'!$B$174</f>
        <v>200000</v>
      </c>
      <c r="N145" s="1174"/>
      <c r="O145" s="1866">
        <f t="shared" si="12"/>
        <v>200000</v>
      </c>
      <c r="P145" s="1172"/>
      <c r="Q145" s="1173"/>
      <c r="R145" s="1173"/>
      <c r="S145" s="1171"/>
      <c r="T145" s="1138"/>
      <c r="U145" s="1139"/>
    </row>
    <row r="146" spans="1:21" s="1264" customFormat="1" ht="12" hidden="1" customHeight="1" outlineLevel="1" x14ac:dyDescent="0.25">
      <c r="A146" s="1210"/>
      <c r="B146" s="1170" t="s">
        <v>184</v>
      </c>
      <c r="C146" s="1265" t="s">
        <v>578</v>
      </c>
      <c r="D146" s="1265"/>
      <c r="E146" s="1266"/>
      <c r="F146" s="1266"/>
      <c r="G146" s="1267"/>
      <c r="H146" s="1231" t="s">
        <v>761</v>
      </c>
      <c r="I146" s="1171">
        <v>1455000</v>
      </c>
      <c r="J146" s="1171">
        <v>0</v>
      </c>
      <c r="K146" s="1171">
        <v>0</v>
      </c>
      <c r="L146" s="1171">
        <v>0</v>
      </c>
      <c r="M146" s="1171">
        <f>'[5]Silnice stavba'!$B$173</f>
        <v>0</v>
      </c>
      <c r="N146" s="1174"/>
      <c r="O146" s="1866">
        <f t="shared" si="12"/>
        <v>0</v>
      </c>
      <c r="P146" s="1172"/>
      <c r="Q146" s="1173"/>
      <c r="R146" s="1173"/>
      <c r="S146" s="1171"/>
      <c r="T146" s="1138"/>
      <c r="U146" s="1139"/>
    </row>
    <row r="147" spans="1:21" s="1264" customFormat="1" ht="12" hidden="1" customHeight="1" outlineLevel="1" x14ac:dyDescent="0.25">
      <c r="A147" s="1210"/>
      <c r="B147" s="1170" t="s">
        <v>184</v>
      </c>
      <c r="C147" s="1265" t="s">
        <v>918</v>
      </c>
      <c r="D147" s="1265"/>
      <c r="E147" s="1266"/>
      <c r="F147" s="1266"/>
      <c r="G147" s="1267"/>
      <c r="H147" s="1231" t="s">
        <v>761</v>
      </c>
      <c r="I147" s="1171">
        <v>168000</v>
      </c>
      <c r="J147" s="1171">
        <v>130000</v>
      </c>
      <c r="K147" s="1171">
        <v>130000</v>
      </c>
      <c r="L147" s="1171">
        <v>0</v>
      </c>
      <c r="M147" s="1171">
        <f>'[5]Silnice stavba'!$B$194</f>
        <v>0</v>
      </c>
      <c r="N147" s="1174"/>
      <c r="O147" s="1866">
        <f t="shared" si="12"/>
        <v>0</v>
      </c>
      <c r="P147" s="1172"/>
      <c r="Q147" s="1173"/>
      <c r="R147" s="1173"/>
      <c r="S147" s="1171"/>
      <c r="T147" s="1138"/>
      <c r="U147" s="1139"/>
    </row>
    <row r="148" spans="1:21" s="1264" customFormat="1" ht="12" hidden="1" customHeight="1" outlineLevel="1" x14ac:dyDescent="0.25">
      <c r="A148" s="1210"/>
      <c r="B148" s="1170" t="s">
        <v>184</v>
      </c>
      <c r="C148" s="1265" t="s">
        <v>917</v>
      </c>
      <c r="D148" s="1265"/>
      <c r="E148" s="1266"/>
      <c r="F148" s="1266"/>
      <c r="G148" s="1267"/>
      <c r="H148" s="1231" t="s">
        <v>761</v>
      </c>
      <c r="I148" s="1171">
        <v>0</v>
      </c>
      <c r="J148" s="1171">
        <v>0</v>
      </c>
      <c r="K148" s="1171">
        <v>0</v>
      </c>
      <c r="L148" s="1171">
        <v>0</v>
      </c>
      <c r="M148" s="1171">
        <f>'[5]Silnice stavba'!$B$193</f>
        <v>0</v>
      </c>
      <c r="N148" s="1174"/>
      <c r="O148" s="1866">
        <f t="shared" si="12"/>
        <v>0</v>
      </c>
      <c r="P148" s="1172"/>
      <c r="Q148" s="1173"/>
      <c r="R148" s="1173"/>
      <c r="S148" s="1171"/>
      <c r="T148" s="1138"/>
      <c r="U148" s="1139"/>
    </row>
    <row r="149" spans="1:21" s="1264" customFormat="1" ht="12" hidden="1" customHeight="1" outlineLevel="1" x14ac:dyDescent="0.25">
      <c r="A149" s="1210"/>
      <c r="B149" s="1170" t="s">
        <v>184</v>
      </c>
      <c r="C149" s="1265" t="s">
        <v>919</v>
      </c>
      <c r="D149" s="1265"/>
      <c r="E149" s="1266"/>
      <c r="F149" s="1266"/>
      <c r="G149" s="1267"/>
      <c r="H149" s="1231" t="s">
        <v>761</v>
      </c>
      <c r="I149" s="1171">
        <v>0</v>
      </c>
      <c r="J149" s="1171">
        <v>0</v>
      </c>
      <c r="K149" s="1171">
        <v>0</v>
      </c>
      <c r="L149" s="1171">
        <v>0</v>
      </c>
      <c r="M149" s="1171">
        <f>'[5]Silnice stavba'!$B$212</f>
        <v>0</v>
      </c>
      <c r="N149" s="1174"/>
      <c r="O149" s="1866">
        <f t="shared" si="12"/>
        <v>0</v>
      </c>
      <c r="P149" s="1172"/>
      <c r="Q149" s="1173"/>
      <c r="R149" s="1173"/>
      <c r="S149" s="1171"/>
      <c r="T149" s="1138"/>
      <c r="U149" s="1139"/>
    </row>
    <row r="150" spans="1:21" s="1264" customFormat="1" ht="12" hidden="1" customHeight="1" outlineLevel="1" x14ac:dyDescent="0.25">
      <c r="A150" s="1210"/>
      <c r="B150" s="1170" t="s">
        <v>184</v>
      </c>
      <c r="C150" s="1265" t="s">
        <v>653</v>
      </c>
      <c r="D150" s="1265"/>
      <c r="E150" s="1266"/>
      <c r="F150" s="1266"/>
      <c r="G150" s="1267"/>
      <c r="H150" s="1231" t="s">
        <v>761</v>
      </c>
      <c r="I150" s="1171">
        <v>0</v>
      </c>
      <c r="J150" s="1171">
        <v>0</v>
      </c>
      <c r="K150" s="1171">
        <v>0</v>
      </c>
      <c r="L150" s="1171">
        <v>0</v>
      </c>
      <c r="M150" s="1171">
        <f>'[5]Silnice stavba'!$B$211</f>
        <v>0</v>
      </c>
      <c r="N150" s="1174"/>
      <c r="O150" s="1866">
        <f t="shared" si="12"/>
        <v>0</v>
      </c>
      <c r="P150" s="1172"/>
      <c r="Q150" s="1173"/>
      <c r="R150" s="1173"/>
      <c r="S150" s="1171"/>
      <c r="T150" s="1138"/>
      <c r="U150" s="1139"/>
    </row>
    <row r="151" spans="1:21" s="1264" customFormat="1" ht="12" hidden="1" customHeight="1" outlineLevel="1" x14ac:dyDescent="0.25">
      <c r="A151" s="1210"/>
      <c r="B151" s="1170" t="s">
        <v>184</v>
      </c>
      <c r="C151" s="1265" t="s">
        <v>920</v>
      </c>
      <c r="D151" s="1265"/>
      <c r="E151" s="1266"/>
      <c r="F151" s="1266"/>
      <c r="G151" s="1267"/>
      <c r="H151" s="1231" t="s">
        <v>761</v>
      </c>
      <c r="I151" s="1171">
        <v>0</v>
      </c>
      <c r="J151" s="1171">
        <v>100000</v>
      </c>
      <c r="K151" s="1171">
        <v>100000</v>
      </c>
      <c r="L151" s="1171">
        <v>100000</v>
      </c>
      <c r="M151" s="1171">
        <f>'[5]Silnice stavba'!$B$222</f>
        <v>0</v>
      </c>
      <c r="N151" s="1174"/>
      <c r="O151" s="1866">
        <f t="shared" si="12"/>
        <v>0</v>
      </c>
      <c r="P151" s="1172"/>
      <c r="Q151" s="1173"/>
      <c r="R151" s="1173"/>
      <c r="S151" s="1171"/>
      <c r="T151" s="1138"/>
      <c r="U151" s="1139"/>
    </row>
    <row r="152" spans="1:21" s="1264" customFormat="1" ht="12" hidden="1" customHeight="1" outlineLevel="1" x14ac:dyDescent="0.25">
      <c r="A152" s="1210"/>
      <c r="B152" s="1170" t="s">
        <v>184</v>
      </c>
      <c r="C152" s="1265" t="s">
        <v>695</v>
      </c>
      <c r="D152" s="1265"/>
      <c r="E152" s="1266"/>
      <c r="F152" s="1266"/>
      <c r="G152" s="1267"/>
      <c r="H152" s="1231" t="s">
        <v>761</v>
      </c>
      <c r="I152" s="1171">
        <v>0</v>
      </c>
      <c r="J152" s="1171">
        <v>0</v>
      </c>
      <c r="K152" s="1171">
        <v>0</v>
      </c>
      <c r="L152" s="1171">
        <v>0</v>
      </c>
      <c r="M152" s="1171">
        <f>'[5]Silnice stavba'!$B$221</f>
        <v>0</v>
      </c>
      <c r="N152" s="1174"/>
      <c r="O152" s="1866">
        <f t="shared" si="12"/>
        <v>0</v>
      </c>
      <c r="P152" s="1172"/>
      <c r="Q152" s="1173"/>
      <c r="R152" s="1173"/>
      <c r="S152" s="1171"/>
      <c r="T152" s="1138"/>
      <c r="U152" s="1139"/>
    </row>
    <row r="153" spans="1:21" s="1264" customFormat="1" ht="13.5" hidden="1" customHeight="1" outlineLevel="1" x14ac:dyDescent="0.25">
      <c r="A153" s="1210"/>
      <c r="B153" s="1170" t="s">
        <v>184</v>
      </c>
      <c r="C153" s="1265" t="s">
        <v>904</v>
      </c>
      <c r="D153" s="1265"/>
      <c r="E153" s="1266"/>
      <c r="F153" s="1266"/>
      <c r="G153" s="1267"/>
      <c r="H153" s="1231" t="s">
        <v>761</v>
      </c>
      <c r="I153" s="1171">
        <v>50000</v>
      </c>
      <c r="J153" s="1171">
        <v>0</v>
      </c>
      <c r="K153" s="1171">
        <v>0</v>
      </c>
      <c r="L153" s="1171">
        <v>0</v>
      </c>
      <c r="M153" s="1171">
        <f>'[5]Silnice stavba'!$B$232</f>
        <v>0</v>
      </c>
      <c r="N153" s="1174"/>
      <c r="O153" s="1866">
        <f t="shared" si="12"/>
        <v>0</v>
      </c>
      <c r="P153" s="1172"/>
      <c r="Q153" s="1173"/>
      <c r="R153" s="1173"/>
      <c r="S153" s="1171"/>
      <c r="T153" s="1138"/>
      <c r="U153" s="1139"/>
    </row>
    <row r="154" spans="1:21" s="1264" customFormat="1" ht="12" customHeight="1" outlineLevel="1" x14ac:dyDescent="0.25">
      <c r="A154" s="1210"/>
      <c r="B154" s="1170" t="s">
        <v>184</v>
      </c>
      <c r="C154" s="1265" t="s">
        <v>903</v>
      </c>
      <c r="D154" s="1265"/>
      <c r="E154" s="1266"/>
      <c r="F154" s="1266"/>
      <c r="G154" s="1267"/>
      <c r="H154" s="1231" t="s">
        <v>761</v>
      </c>
      <c r="I154" s="1171">
        <v>105000</v>
      </c>
      <c r="J154" s="1171">
        <v>150000</v>
      </c>
      <c r="K154" s="1171">
        <v>150000</v>
      </c>
      <c r="L154" s="1171">
        <v>0</v>
      </c>
      <c r="M154" s="1171">
        <f>'[5]Silnice stavba'!$B$231</f>
        <v>500000</v>
      </c>
      <c r="N154" s="1174"/>
      <c r="O154" s="1866">
        <f t="shared" si="12"/>
        <v>500000</v>
      </c>
      <c r="P154" s="1172"/>
      <c r="Q154" s="1173"/>
      <c r="R154" s="1173"/>
      <c r="S154" s="1171"/>
      <c r="T154" s="1138"/>
      <c r="U154" s="1139"/>
    </row>
    <row r="155" spans="1:21" s="1264" customFormat="1" ht="12" hidden="1" customHeight="1" outlineLevel="1" x14ac:dyDescent="0.25">
      <c r="A155" s="1210"/>
      <c r="B155" s="1170" t="s">
        <v>184</v>
      </c>
      <c r="C155" s="1265" t="s">
        <v>2021</v>
      </c>
      <c r="D155" s="1265"/>
      <c r="E155" s="1266"/>
      <c r="F155" s="1266"/>
      <c r="G155" s="1267"/>
      <c r="H155" s="1231" t="s">
        <v>761</v>
      </c>
      <c r="I155" s="1171"/>
      <c r="J155" s="1171"/>
      <c r="K155" s="1171"/>
      <c r="L155" s="1171">
        <v>400000</v>
      </c>
      <c r="M155" s="1171">
        <f>'[5]Silnice stavba'!$B$243</f>
        <v>0</v>
      </c>
      <c r="N155" s="1174"/>
      <c r="O155" s="1866">
        <f t="shared" si="12"/>
        <v>0</v>
      </c>
      <c r="P155" s="1172"/>
      <c r="Q155" s="1173"/>
      <c r="R155" s="1173"/>
      <c r="S155" s="1171"/>
      <c r="T155" s="1138"/>
      <c r="U155" s="1139"/>
    </row>
    <row r="156" spans="1:21" s="1264" customFormat="1" ht="12" hidden="1" customHeight="1" outlineLevel="1" x14ac:dyDescent="0.25">
      <c r="A156" s="1210"/>
      <c r="B156" s="1170" t="s">
        <v>184</v>
      </c>
      <c r="C156" s="1265" t="s">
        <v>1922</v>
      </c>
      <c r="D156" s="1265"/>
      <c r="E156" s="1266"/>
      <c r="F156" s="1266"/>
      <c r="G156" s="1267"/>
      <c r="H156" s="1231" t="s">
        <v>761</v>
      </c>
      <c r="I156" s="1171"/>
      <c r="J156" s="1171"/>
      <c r="K156" s="1171"/>
      <c r="L156" s="1171">
        <v>400000</v>
      </c>
      <c r="M156" s="1171">
        <f>'[5]Silnice stavba'!$B$242</f>
        <v>0</v>
      </c>
      <c r="N156" s="1174"/>
      <c r="O156" s="1866">
        <f t="shared" si="12"/>
        <v>0</v>
      </c>
      <c r="P156" s="1172"/>
      <c r="Q156" s="1173"/>
      <c r="R156" s="1173"/>
      <c r="S156" s="1171"/>
      <c r="T156" s="1138"/>
      <c r="U156" s="1139"/>
    </row>
    <row r="157" spans="1:21" s="1264" customFormat="1" ht="12" hidden="1" customHeight="1" outlineLevel="1" x14ac:dyDescent="0.25">
      <c r="A157" s="1210"/>
      <c r="B157" s="1170" t="s">
        <v>184</v>
      </c>
      <c r="C157" s="1265" t="s">
        <v>1638</v>
      </c>
      <c r="D157" s="1265"/>
      <c r="E157" s="1266"/>
      <c r="F157" s="1266"/>
      <c r="G157" s="1267"/>
      <c r="H157" s="1231" t="s">
        <v>761</v>
      </c>
      <c r="I157" s="1171"/>
      <c r="J157" s="1171">
        <v>0</v>
      </c>
      <c r="K157" s="1171">
        <v>0</v>
      </c>
      <c r="L157" s="1171">
        <v>0</v>
      </c>
      <c r="M157" s="1171">
        <f>'[5]Silnice stavba'!$B$253</f>
        <v>0</v>
      </c>
      <c r="N157" s="1174"/>
      <c r="O157" s="1866">
        <f t="shared" si="12"/>
        <v>0</v>
      </c>
      <c r="P157" s="1172"/>
      <c r="Q157" s="1173"/>
      <c r="R157" s="1173"/>
      <c r="S157" s="1171"/>
      <c r="T157" s="1138"/>
      <c r="U157" s="1139"/>
    </row>
    <row r="158" spans="1:21" s="1264" customFormat="1" ht="12" hidden="1" customHeight="1" outlineLevel="1" x14ac:dyDescent="0.25">
      <c r="A158" s="1210"/>
      <c r="B158" s="1170" t="s">
        <v>184</v>
      </c>
      <c r="C158" s="1265" t="s">
        <v>1637</v>
      </c>
      <c r="D158" s="1265"/>
      <c r="E158" s="1266"/>
      <c r="F158" s="1266"/>
      <c r="G158" s="1267"/>
      <c r="H158" s="1231" t="s">
        <v>761</v>
      </c>
      <c r="I158" s="1171"/>
      <c r="J158" s="1171">
        <v>0</v>
      </c>
      <c r="K158" s="1171">
        <v>0</v>
      </c>
      <c r="L158" s="1171">
        <v>0</v>
      </c>
      <c r="M158" s="1171">
        <f>'[5]Silnice stavba'!$B$252</f>
        <v>0</v>
      </c>
      <c r="N158" s="1174"/>
      <c r="O158" s="1866">
        <f t="shared" si="12"/>
        <v>0</v>
      </c>
      <c r="P158" s="1172"/>
      <c r="Q158" s="1173"/>
      <c r="R158" s="1173"/>
      <c r="S158" s="1171"/>
      <c r="T158" s="1138"/>
      <c r="U158" s="1139"/>
    </row>
    <row r="159" spans="1:21" s="1264" customFormat="1" ht="12" hidden="1" customHeight="1" outlineLevel="1" x14ac:dyDescent="0.25">
      <c r="A159" s="1210"/>
      <c r="B159" s="1170" t="s">
        <v>184</v>
      </c>
      <c r="C159" s="1772" t="s">
        <v>921</v>
      </c>
      <c r="D159" s="1265"/>
      <c r="E159" s="1266"/>
      <c r="F159" s="1266"/>
      <c r="G159" s="1267"/>
      <c r="H159" s="1231" t="s">
        <v>761</v>
      </c>
      <c r="I159" s="1171"/>
      <c r="J159" s="1171">
        <v>0</v>
      </c>
      <c r="K159" s="1171">
        <v>0</v>
      </c>
      <c r="L159" s="1171">
        <v>0</v>
      </c>
      <c r="M159" s="1171">
        <f>'[5]Silnice stavba'!$B$267</f>
        <v>0</v>
      </c>
      <c r="N159" s="1174"/>
      <c r="O159" s="1866">
        <f t="shared" si="12"/>
        <v>0</v>
      </c>
      <c r="P159" s="1172"/>
      <c r="Q159" s="1173"/>
      <c r="R159" s="1173"/>
      <c r="S159" s="1171"/>
      <c r="T159" s="1138"/>
      <c r="U159" s="1139"/>
    </row>
    <row r="160" spans="1:21" s="1264" customFormat="1" ht="12" hidden="1" customHeight="1" outlineLevel="1" x14ac:dyDescent="0.25">
      <c r="A160" s="1210"/>
      <c r="B160" s="1170" t="s">
        <v>184</v>
      </c>
      <c r="C160" s="1772" t="s">
        <v>906</v>
      </c>
      <c r="D160" s="1265"/>
      <c r="E160" s="1266"/>
      <c r="F160" s="1266"/>
      <c r="G160" s="1267"/>
      <c r="H160" s="1231" t="s">
        <v>761</v>
      </c>
      <c r="I160" s="1171"/>
      <c r="J160" s="1171">
        <v>0</v>
      </c>
      <c r="K160" s="1171">
        <v>0</v>
      </c>
      <c r="L160" s="1171">
        <v>0</v>
      </c>
      <c r="M160" s="1171">
        <f>'[5]Silnice stavba'!$B$266</f>
        <v>0</v>
      </c>
      <c r="N160" s="1174"/>
      <c r="O160" s="1866">
        <f t="shared" si="12"/>
        <v>0</v>
      </c>
      <c r="P160" s="1172"/>
      <c r="Q160" s="1173"/>
      <c r="R160" s="1173"/>
      <c r="S160" s="1171"/>
      <c r="T160" s="1138"/>
      <c r="U160" s="1139"/>
    </row>
    <row r="161" spans="1:21" s="1264" customFormat="1" ht="12" hidden="1" customHeight="1" outlineLevel="1" x14ac:dyDescent="0.25">
      <c r="A161" s="1210"/>
      <c r="B161" s="1170" t="s">
        <v>184</v>
      </c>
      <c r="C161" s="1265" t="s">
        <v>1640</v>
      </c>
      <c r="D161" s="1265"/>
      <c r="E161" s="1266"/>
      <c r="F161" s="1266"/>
      <c r="G161" s="1267"/>
      <c r="H161" s="1231" t="s">
        <v>761</v>
      </c>
      <c r="I161" s="1171"/>
      <c r="J161" s="1171">
        <v>0</v>
      </c>
      <c r="K161" s="1171">
        <v>0</v>
      </c>
      <c r="L161" s="1171">
        <v>0</v>
      </c>
      <c r="M161" s="1171">
        <f>'[5]Silnice stavba'!$B$278</f>
        <v>0</v>
      </c>
      <c r="N161" s="1174"/>
      <c r="O161" s="1866">
        <f t="shared" si="12"/>
        <v>0</v>
      </c>
      <c r="P161" s="1172"/>
      <c r="Q161" s="1173"/>
      <c r="R161" s="1173"/>
      <c r="S161" s="1171"/>
      <c r="T161" s="1138"/>
      <c r="U161" s="1139"/>
    </row>
    <row r="162" spans="1:21" s="1264" customFormat="1" ht="12" hidden="1" customHeight="1" outlineLevel="1" x14ac:dyDescent="0.25">
      <c r="A162" s="1210"/>
      <c r="B162" s="1170" t="s">
        <v>184</v>
      </c>
      <c r="C162" s="1265" t="s">
        <v>1639</v>
      </c>
      <c r="D162" s="1265"/>
      <c r="E162" s="1266"/>
      <c r="F162" s="1266"/>
      <c r="G162" s="1267"/>
      <c r="H162" s="1231" t="s">
        <v>761</v>
      </c>
      <c r="I162" s="1171"/>
      <c r="J162" s="1171">
        <v>0</v>
      </c>
      <c r="K162" s="1171">
        <v>0</v>
      </c>
      <c r="L162" s="1171">
        <v>0</v>
      </c>
      <c r="M162" s="1171">
        <f>'[5]Silnice stavba'!$B$277</f>
        <v>0</v>
      </c>
      <c r="N162" s="1174"/>
      <c r="O162" s="1866">
        <f t="shared" si="12"/>
        <v>0</v>
      </c>
      <c r="P162" s="1172"/>
      <c r="Q162" s="1173"/>
      <c r="R162" s="1173"/>
      <c r="S162" s="1171"/>
      <c r="T162" s="1138"/>
      <c r="U162" s="1139"/>
    </row>
    <row r="163" spans="1:21" s="1264" customFormat="1" ht="12" hidden="1" customHeight="1" outlineLevel="1" x14ac:dyDescent="0.25">
      <c r="A163" s="1210"/>
      <c r="B163" s="1170" t="s">
        <v>184</v>
      </c>
      <c r="C163" s="1265" t="s">
        <v>1710</v>
      </c>
      <c r="D163" s="1265"/>
      <c r="E163" s="1266"/>
      <c r="F163" s="1266"/>
      <c r="G163" s="1267"/>
      <c r="H163" s="1266" t="s">
        <v>761</v>
      </c>
      <c r="I163" s="1171"/>
      <c r="J163" s="1171">
        <v>0</v>
      </c>
      <c r="K163" s="1171">
        <v>0</v>
      </c>
      <c r="L163" s="1171">
        <v>0</v>
      </c>
      <c r="M163" s="1171">
        <f>'[5]Silnice stavba'!$B$289</f>
        <v>0</v>
      </c>
      <c r="N163" s="1174"/>
      <c r="O163" s="1866">
        <f t="shared" si="12"/>
        <v>0</v>
      </c>
      <c r="P163" s="1172"/>
      <c r="Q163" s="1173"/>
      <c r="R163" s="1173"/>
      <c r="S163" s="1171"/>
      <c r="T163" s="1138"/>
      <c r="U163" s="1139"/>
    </row>
    <row r="164" spans="1:21" s="1264" customFormat="1" ht="12" hidden="1" customHeight="1" outlineLevel="1" x14ac:dyDescent="0.25">
      <c r="A164" s="1210"/>
      <c r="B164" s="1170" t="s">
        <v>184</v>
      </c>
      <c r="C164" s="1265" t="s">
        <v>1709</v>
      </c>
      <c r="D164" s="1265"/>
      <c r="E164" s="1266"/>
      <c r="F164" s="1266"/>
      <c r="G164" s="1267"/>
      <c r="H164" s="1266" t="s">
        <v>761</v>
      </c>
      <c r="I164" s="1171"/>
      <c r="J164" s="1171">
        <v>500000</v>
      </c>
      <c r="K164" s="1171">
        <v>500000</v>
      </c>
      <c r="L164" s="1171">
        <v>0</v>
      </c>
      <c r="M164" s="1171">
        <f>'[5]Silnice stavba'!$B$288</f>
        <v>0</v>
      </c>
      <c r="N164" s="1174"/>
      <c r="O164" s="1866">
        <f t="shared" si="12"/>
        <v>0</v>
      </c>
      <c r="P164" s="1172"/>
      <c r="Q164" s="1173"/>
      <c r="R164" s="1173"/>
      <c r="S164" s="1171"/>
      <c r="T164" s="1138"/>
      <c r="U164" s="1139"/>
    </row>
    <row r="165" spans="1:21" s="1264" customFormat="1" ht="12" hidden="1" customHeight="1" outlineLevel="1" x14ac:dyDescent="0.25">
      <c r="A165" s="1210"/>
      <c r="B165" s="1170" t="s">
        <v>184</v>
      </c>
      <c r="C165" s="1265" t="s">
        <v>1919</v>
      </c>
      <c r="D165" s="1265"/>
      <c r="E165" s="1266"/>
      <c r="F165" s="1266"/>
      <c r="G165" s="1267"/>
      <c r="H165" s="1266" t="s">
        <v>761</v>
      </c>
      <c r="I165" s="1171"/>
      <c r="J165" s="1171"/>
      <c r="K165" s="1171"/>
      <c r="L165" s="1171">
        <v>0</v>
      </c>
      <c r="M165" s="1171">
        <f>'[5]Silnice stavba'!$B$300</f>
        <v>0</v>
      </c>
      <c r="N165" s="1174"/>
      <c r="O165" s="1866">
        <f t="shared" si="12"/>
        <v>0</v>
      </c>
      <c r="P165" s="1172"/>
      <c r="Q165" s="1173"/>
      <c r="R165" s="1173"/>
      <c r="S165" s="1171"/>
      <c r="T165" s="1138"/>
      <c r="U165" s="1139"/>
    </row>
    <row r="166" spans="1:21" s="1264" customFormat="1" ht="12" hidden="1" customHeight="1" outlineLevel="1" x14ac:dyDescent="0.25">
      <c r="A166" s="1210"/>
      <c r="B166" s="1170" t="s">
        <v>184</v>
      </c>
      <c r="C166" s="1265" t="s">
        <v>2022</v>
      </c>
      <c r="D166" s="1265"/>
      <c r="E166" s="1266"/>
      <c r="F166" s="1266"/>
      <c r="G166" s="1267"/>
      <c r="H166" s="1266" t="s">
        <v>761</v>
      </c>
      <c r="I166" s="1171"/>
      <c r="J166" s="1171"/>
      <c r="K166" s="1171"/>
      <c r="L166" s="1171">
        <v>0</v>
      </c>
      <c r="M166" s="1171">
        <f>'[5]Silnice stavba'!$B$299</f>
        <v>0</v>
      </c>
      <c r="N166" s="1174"/>
      <c r="O166" s="1866">
        <f t="shared" si="12"/>
        <v>0</v>
      </c>
      <c r="P166" s="1172"/>
      <c r="Q166" s="1173"/>
      <c r="R166" s="1173"/>
      <c r="S166" s="1171"/>
      <c r="T166" s="1138"/>
      <c r="U166" s="1139"/>
    </row>
    <row r="167" spans="1:21" s="1264" customFormat="1" ht="12" hidden="1" customHeight="1" outlineLevel="1" x14ac:dyDescent="0.25">
      <c r="A167" s="1210"/>
      <c r="B167" s="1170" t="s">
        <v>184</v>
      </c>
      <c r="C167" s="1772" t="s">
        <v>2023</v>
      </c>
      <c r="D167" s="1265"/>
      <c r="E167" s="1266"/>
      <c r="F167" s="1266"/>
      <c r="G167" s="1267"/>
      <c r="H167" s="1231" t="s">
        <v>761</v>
      </c>
      <c r="I167" s="1171">
        <v>503000</v>
      </c>
      <c r="J167" s="1171">
        <v>0</v>
      </c>
      <c r="K167" s="1171">
        <v>0</v>
      </c>
      <c r="L167" s="1171">
        <v>0</v>
      </c>
      <c r="M167" s="1171">
        <f>'[5]Silnice stavba'!$B$310</f>
        <v>0</v>
      </c>
      <c r="N167" s="1174"/>
      <c r="O167" s="1866">
        <f t="shared" si="12"/>
        <v>0</v>
      </c>
      <c r="P167" s="1172"/>
      <c r="Q167" s="1173"/>
      <c r="R167" s="1173"/>
      <c r="S167" s="1171"/>
      <c r="T167" s="1138"/>
      <c r="U167" s="1139"/>
    </row>
    <row r="168" spans="1:21" s="1264" customFormat="1" ht="12" hidden="1" customHeight="1" outlineLevel="1" x14ac:dyDescent="0.25">
      <c r="A168" s="1210"/>
      <c r="B168" s="1170" t="s">
        <v>184</v>
      </c>
      <c r="C168" s="1772" t="s">
        <v>2024</v>
      </c>
      <c r="D168" s="1265"/>
      <c r="E168" s="1266"/>
      <c r="F168" s="1266"/>
      <c r="G168" s="1267"/>
      <c r="H168" s="1231" t="s">
        <v>761</v>
      </c>
      <c r="I168" s="1171"/>
      <c r="J168" s="1171">
        <v>0</v>
      </c>
      <c r="K168" s="1171">
        <v>0</v>
      </c>
      <c r="L168" s="1171">
        <v>0</v>
      </c>
      <c r="M168" s="1171">
        <f>'[5]Silnice stavba'!$B$309</f>
        <v>0</v>
      </c>
      <c r="N168" s="1174"/>
      <c r="O168" s="1866">
        <f t="shared" si="12"/>
        <v>0</v>
      </c>
      <c r="P168" s="1172"/>
      <c r="Q168" s="1173"/>
      <c r="R168" s="1173"/>
      <c r="S168" s="1171"/>
      <c r="T168" s="1138"/>
      <c r="U168" s="1139"/>
    </row>
    <row r="169" spans="1:21" s="1264" customFormat="1" ht="12" hidden="1" customHeight="1" outlineLevel="1" x14ac:dyDescent="0.25">
      <c r="A169" s="1210"/>
      <c r="B169" s="1170" t="s">
        <v>184</v>
      </c>
      <c r="C169" s="1265" t="s">
        <v>2025</v>
      </c>
      <c r="D169" s="1265"/>
      <c r="E169" s="1266"/>
      <c r="F169" s="1266"/>
      <c r="G169" s="1267"/>
      <c r="H169" s="1231" t="s">
        <v>761</v>
      </c>
      <c r="I169" s="1171"/>
      <c r="J169" s="1171"/>
      <c r="K169" s="1171"/>
      <c r="L169" s="1171"/>
      <c r="M169" s="1171">
        <f>'[5]Silnice stavba'!$B$320</f>
        <v>0</v>
      </c>
      <c r="N169" s="1174"/>
      <c r="O169" s="1866">
        <f t="shared" si="12"/>
        <v>0</v>
      </c>
      <c r="P169" s="1172"/>
      <c r="Q169" s="1173"/>
      <c r="R169" s="1173"/>
      <c r="S169" s="1171"/>
      <c r="T169" s="1138"/>
      <c r="U169" s="1139"/>
    </row>
    <row r="170" spans="1:21" s="1264" customFormat="1" ht="12" hidden="1" customHeight="1" outlineLevel="1" x14ac:dyDescent="0.25">
      <c r="A170" s="1210"/>
      <c r="B170" s="1170" t="s">
        <v>184</v>
      </c>
      <c r="C170" s="1265" t="s">
        <v>2026</v>
      </c>
      <c r="D170" s="1265"/>
      <c r="E170" s="1266"/>
      <c r="F170" s="1266"/>
      <c r="G170" s="1267"/>
      <c r="H170" s="1231" t="s">
        <v>761</v>
      </c>
      <c r="I170" s="1171"/>
      <c r="J170" s="1171"/>
      <c r="K170" s="1171"/>
      <c r="L170" s="1171"/>
      <c r="M170" s="1171">
        <f>'[5]Silnice stavba'!$B$319</f>
        <v>0</v>
      </c>
      <c r="N170" s="1174"/>
      <c r="O170" s="1866">
        <f t="shared" si="12"/>
        <v>0</v>
      </c>
      <c r="P170" s="1172"/>
      <c r="Q170" s="1173"/>
      <c r="R170" s="1173"/>
      <c r="S170" s="1171"/>
      <c r="T170" s="1138"/>
      <c r="U170" s="1139"/>
    </row>
    <row r="171" spans="1:21" s="1264" customFormat="1" ht="12" hidden="1" customHeight="1" outlineLevel="1" x14ac:dyDescent="0.25">
      <c r="A171" s="1210"/>
      <c r="B171" s="1170" t="s">
        <v>184</v>
      </c>
      <c r="C171" s="1265" t="s">
        <v>2028</v>
      </c>
      <c r="D171" s="1265"/>
      <c r="E171" s="1266"/>
      <c r="F171" s="1266"/>
      <c r="G171" s="1267"/>
      <c r="H171" s="1231" t="s">
        <v>761</v>
      </c>
      <c r="I171" s="1171"/>
      <c r="J171" s="1171"/>
      <c r="K171" s="1171"/>
      <c r="L171" s="1171"/>
      <c r="M171" s="1171">
        <f>'[5]Silnice stavba'!$B$330</f>
        <v>0</v>
      </c>
      <c r="N171" s="1174"/>
      <c r="O171" s="1866">
        <f t="shared" si="12"/>
        <v>0</v>
      </c>
      <c r="P171" s="1172"/>
      <c r="Q171" s="1173"/>
      <c r="R171" s="1173"/>
      <c r="S171" s="1171"/>
      <c r="T171" s="1138"/>
      <c r="U171" s="1139"/>
    </row>
    <row r="172" spans="1:21" s="1264" customFormat="1" ht="12" hidden="1" customHeight="1" outlineLevel="1" x14ac:dyDescent="0.25">
      <c r="A172" s="1210"/>
      <c r="B172" s="1170" t="s">
        <v>184</v>
      </c>
      <c r="C172" s="1265" t="s">
        <v>2027</v>
      </c>
      <c r="D172" s="1265"/>
      <c r="E172" s="1266"/>
      <c r="F172" s="1266"/>
      <c r="G172" s="1267"/>
      <c r="H172" s="1231" t="s">
        <v>761</v>
      </c>
      <c r="I172" s="1171"/>
      <c r="J172" s="1171"/>
      <c r="K172" s="1171"/>
      <c r="L172" s="1171"/>
      <c r="M172" s="1171">
        <f>'[5]Silnice stavba'!$B$329</f>
        <v>0</v>
      </c>
      <c r="N172" s="1174"/>
      <c r="O172" s="1866">
        <f t="shared" si="12"/>
        <v>0</v>
      </c>
      <c r="P172" s="1172"/>
      <c r="Q172" s="1173"/>
      <c r="R172" s="1173"/>
      <c r="S172" s="1171"/>
      <c r="T172" s="1138"/>
      <c r="U172" s="1139"/>
    </row>
    <row r="173" spans="1:21" s="1264" customFormat="1" ht="12" hidden="1" customHeight="1" outlineLevel="1" x14ac:dyDescent="0.25">
      <c r="A173" s="1210"/>
      <c r="B173" s="1170" t="s">
        <v>184</v>
      </c>
      <c r="C173" s="1265" t="s">
        <v>837</v>
      </c>
      <c r="D173" s="1265"/>
      <c r="E173" s="1266"/>
      <c r="F173" s="1266"/>
      <c r="G173" s="1267"/>
      <c r="H173" s="1266" t="s">
        <v>761</v>
      </c>
      <c r="I173" s="1171">
        <v>234396</v>
      </c>
      <c r="J173" s="1171">
        <v>234396</v>
      </c>
      <c r="K173" s="1171">
        <v>234396</v>
      </c>
      <c r="L173" s="1171">
        <v>234396</v>
      </c>
      <c r="M173" s="1171">
        <f>'[5]Silnice stavba'!$B$340</f>
        <v>0</v>
      </c>
      <c r="N173" s="1174"/>
      <c r="O173" s="1866">
        <f t="shared" si="12"/>
        <v>0</v>
      </c>
      <c r="P173" s="1172"/>
      <c r="Q173" s="1173"/>
      <c r="R173" s="1173"/>
      <c r="S173" s="1171"/>
      <c r="T173" s="1138"/>
      <c r="U173" s="1139"/>
    </row>
    <row r="174" spans="1:21" s="1264" customFormat="1" ht="12" hidden="1" customHeight="1" outlineLevel="1" x14ac:dyDescent="0.25">
      <c r="A174" s="1210"/>
      <c r="B174" s="1257" t="s">
        <v>184</v>
      </c>
      <c r="C174" s="1270" t="s">
        <v>838</v>
      </c>
      <c r="D174" s="1270" t="s">
        <v>962</v>
      </c>
      <c r="E174" s="1271"/>
      <c r="F174" s="1271"/>
      <c r="G174" s="1272"/>
      <c r="H174" s="1271" t="s">
        <v>922</v>
      </c>
      <c r="I174" s="1258">
        <v>0</v>
      </c>
      <c r="J174" s="1258">
        <v>0</v>
      </c>
      <c r="K174" s="1258">
        <v>0</v>
      </c>
      <c r="L174" s="1258">
        <v>0</v>
      </c>
      <c r="M174" s="1258">
        <f>'[5]Silnice stavba'!$B$339</f>
        <v>0</v>
      </c>
      <c r="N174" s="1259"/>
      <c r="O174" s="1868">
        <f t="shared" si="12"/>
        <v>0</v>
      </c>
      <c r="P174" s="1260"/>
      <c r="Q174" s="1173"/>
      <c r="R174" s="1173"/>
      <c r="S174" s="1171"/>
      <c r="T174" s="1138"/>
      <c r="U174" s="1139"/>
    </row>
    <row r="175" spans="1:21" s="1264" customFormat="1" ht="12" customHeight="1" outlineLevel="1" thickBot="1" x14ac:dyDescent="0.3">
      <c r="A175" s="1229"/>
      <c r="B175" s="1273"/>
      <c r="C175" s="1274"/>
      <c r="D175" s="1274"/>
      <c r="E175" s="1275"/>
      <c r="F175" s="1275"/>
      <c r="G175" s="1276"/>
      <c r="H175" s="1275"/>
      <c r="I175" s="1180"/>
      <c r="J175" s="1180"/>
      <c r="K175" s="1180"/>
      <c r="L175" s="1180"/>
      <c r="M175" s="1180"/>
      <c r="N175" s="1198"/>
      <c r="O175" s="1860">
        <f t="shared" si="12"/>
        <v>0</v>
      </c>
      <c r="P175" s="1199"/>
      <c r="Q175" s="1200"/>
      <c r="R175" s="1200"/>
      <c r="S175" s="1180"/>
      <c r="T175" s="1138"/>
      <c r="U175" s="1191">
        <v>0</v>
      </c>
    </row>
    <row r="176" spans="1:21" ht="14.25" thickBot="1" x14ac:dyDescent="0.3">
      <c r="A176" s="2314" t="s">
        <v>753</v>
      </c>
      <c r="B176" s="2315"/>
      <c r="C176" s="1183"/>
      <c r="D176" s="1183"/>
      <c r="E176" s="1184"/>
      <c r="F176" s="1184"/>
      <c r="G176" s="1185"/>
      <c r="H176" s="1184"/>
      <c r="I176" s="1186">
        <f>SUM(I120:I175)</f>
        <v>3597876</v>
      </c>
      <c r="J176" s="1186">
        <v>4669396</v>
      </c>
      <c r="K176" s="1186">
        <v>10504396</v>
      </c>
      <c r="L176" s="1186">
        <v>9564396</v>
      </c>
      <c r="M176" s="1186">
        <f>SUM(M120:M175)</f>
        <v>1080000</v>
      </c>
      <c r="N176" s="1187"/>
      <c r="O176" s="1861">
        <f t="shared" si="12"/>
        <v>1080000</v>
      </c>
      <c r="P176" s="1186">
        <f>SUM(P120:P175)</f>
        <v>0</v>
      </c>
      <c r="Q176" s="1188"/>
      <c r="R176" s="1188"/>
      <c r="S176" s="1189"/>
      <c r="T176" s="1190">
        <f>'Výdaje kapitol celkem'!BS69</f>
        <v>1080000</v>
      </c>
      <c r="U176" s="1191">
        <f>+T176-M176</f>
        <v>0</v>
      </c>
    </row>
    <row r="177" spans="1:21" s="1215" customFormat="1" ht="12.75" customHeight="1" thickBot="1" x14ac:dyDescent="0.3">
      <c r="A177" s="1277">
        <v>3633</v>
      </c>
      <c r="B177" s="1278" t="s">
        <v>187</v>
      </c>
      <c r="C177" s="1279" t="s">
        <v>254</v>
      </c>
      <c r="D177" s="1279"/>
      <c r="E177" s="1280"/>
      <c r="F177" s="1280"/>
      <c r="G177" s="1281"/>
      <c r="H177" s="1280"/>
      <c r="I177" s="1282">
        <v>50000</v>
      </c>
      <c r="J177" s="1282">
        <v>500000</v>
      </c>
      <c r="K177" s="1282">
        <v>500000</v>
      </c>
      <c r="L177" s="1282">
        <v>320000</v>
      </c>
      <c r="M177" s="1282">
        <f>'[5]Inženýrské sítě'!$B$4+'[5]Inženýrské sítě'!$B$5</f>
        <v>0</v>
      </c>
      <c r="N177" s="1283"/>
      <c r="O177" s="1869">
        <f t="shared" si="12"/>
        <v>0</v>
      </c>
      <c r="P177" s="1282"/>
      <c r="Q177" s="1284"/>
      <c r="R177" s="1284"/>
      <c r="S177" s="1285"/>
      <c r="T177" s="1190">
        <f>'Výdaje kapitol celkem'!CI69</f>
        <v>0</v>
      </c>
      <c r="U177" s="1191">
        <f>+T177-M177</f>
        <v>0</v>
      </c>
    </row>
    <row r="178" spans="1:21" s="1215" customFormat="1" ht="12" customHeight="1" outlineLevel="1" x14ac:dyDescent="0.25">
      <c r="A178" s="1210"/>
      <c r="B178" s="1154" t="s">
        <v>186</v>
      </c>
      <c r="C178" s="1286" t="s">
        <v>778</v>
      </c>
      <c r="D178" s="1286"/>
      <c r="E178" s="1287"/>
      <c r="F178" s="1287"/>
      <c r="G178" s="1288"/>
      <c r="H178" s="1231" t="s">
        <v>761</v>
      </c>
      <c r="I178" s="1158">
        <v>0</v>
      </c>
      <c r="J178" s="1158">
        <v>0</v>
      </c>
      <c r="K178" s="1158">
        <v>0</v>
      </c>
      <c r="L178" s="1158">
        <v>0</v>
      </c>
      <c r="M178" s="1158">
        <f>[5]Kanalizace!$B$9</f>
        <v>0</v>
      </c>
      <c r="N178" s="1159"/>
      <c r="O178" s="1858">
        <f t="shared" si="12"/>
        <v>0</v>
      </c>
      <c r="P178" s="1160"/>
      <c r="Q178" s="1161"/>
      <c r="R178" s="1161"/>
      <c r="S178" s="1158"/>
      <c r="T178" s="1138"/>
      <c r="U178" s="1214"/>
    </row>
    <row r="179" spans="1:21" s="1215" customFormat="1" ht="12" customHeight="1" outlineLevel="1" x14ac:dyDescent="0.25">
      <c r="A179" s="1210"/>
      <c r="B179" s="1170" t="s">
        <v>186</v>
      </c>
      <c r="C179" s="1230" t="s">
        <v>579</v>
      </c>
      <c r="D179" s="1230"/>
      <c r="E179" s="1231"/>
      <c r="F179" s="1231"/>
      <c r="G179" s="1232"/>
      <c r="H179" s="1231" t="s">
        <v>761</v>
      </c>
      <c r="I179" s="1171">
        <v>50000</v>
      </c>
      <c r="J179" s="1171">
        <v>50000</v>
      </c>
      <c r="K179" s="1171">
        <v>50000</v>
      </c>
      <c r="L179" s="1171">
        <v>50000</v>
      </c>
      <c r="M179" s="1171">
        <f>[5]Kanalizace!$B$8</f>
        <v>50000</v>
      </c>
      <c r="N179" s="1174"/>
      <c r="O179" s="1866">
        <f t="shared" si="12"/>
        <v>50000</v>
      </c>
      <c r="P179" s="1172"/>
      <c r="Q179" s="1173"/>
      <c r="R179" s="1173"/>
      <c r="S179" s="1171"/>
      <c r="T179" s="1138"/>
      <c r="U179" s="1214"/>
    </row>
    <row r="180" spans="1:21" s="1215" customFormat="1" ht="12" hidden="1" customHeight="1" outlineLevel="1" x14ac:dyDescent="0.25">
      <c r="A180" s="1210"/>
      <c r="B180" s="1170" t="s">
        <v>186</v>
      </c>
      <c r="C180" s="1230" t="s">
        <v>1057</v>
      </c>
      <c r="D180" s="1230"/>
      <c r="E180" s="1231"/>
      <c r="F180" s="1231"/>
      <c r="G180" s="1232"/>
      <c r="H180" s="1231" t="s">
        <v>761</v>
      </c>
      <c r="I180" s="1171">
        <v>313000</v>
      </c>
      <c r="J180" s="1171"/>
      <c r="K180" s="1171"/>
      <c r="L180" s="1171"/>
      <c r="M180" s="1171"/>
      <c r="N180" s="1174"/>
      <c r="O180" s="1866">
        <f t="shared" si="12"/>
        <v>0</v>
      </c>
      <c r="P180" s="1172"/>
      <c r="Q180" s="1173"/>
      <c r="R180" s="1173"/>
      <c r="S180" s="1171"/>
      <c r="T180" s="1138"/>
      <c r="U180" s="1214"/>
    </row>
    <row r="181" spans="1:21" s="1215" customFormat="1" ht="12" hidden="1" customHeight="1" outlineLevel="1" x14ac:dyDescent="0.25">
      <c r="A181" s="1210"/>
      <c r="B181" s="1170" t="s">
        <v>186</v>
      </c>
      <c r="C181" s="1230" t="s">
        <v>1642</v>
      </c>
      <c r="D181" s="1230"/>
      <c r="E181" s="1231"/>
      <c r="F181" s="1231"/>
      <c r="G181" s="1232"/>
      <c r="H181" s="1231" t="s">
        <v>761</v>
      </c>
      <c r="I181" s="1171"/>
      <c r="J181" s="1171">
        <v>500000</v>
      </c>
      <c r="K181" s="1171">
        <v>500000</v>
      </c>
      <c r="L181" s="1171">
        <v>0</v>
      </c>
      <c r="M181" s="1171">
        <f>[5]Kanalizace!$B$23</f>
        <v>0</v>
      </c>
      <c r="N181" s="1174"/>
      <c r="O181" s="1866">
        <f t="shared" si="12"/>
        <v>0</v>
      </c>
      <c r="P181" s="1172"/>
      <c r="Q181" s="1173"/>
      <c r="R181" s="1173"/>
      <c r="S181" s="1171"/>
      <c r="T181" s="1138"/>
      <c r="U181" s="1214"/>
    </row>
    <row r="182" spans="1:21" s="1215" customFormat="1" ht="12" hidden="1" customHeight="1" outlineLevel="1" x14ac:dyDescent="0.25">
      <c r="A182" s="1210"/>
      <c r="B182" s="1170" t="s">
        <v>186</v>
      </c>
      <c r="C182" s="1230" t="s">
        <v>1643</v>
      </c>
      <c r="D182" s="1230"/>
      <c r="E182" s="1231"/>
      <c r="F182" s="1231"/>
      <c r="G182" s="1232"/>
      <c r="H182" s="1231" t="s">
        <v>761</v>
      </c>
      <c r="I182" s="1171"/>
      <c r="J182" s="1171">
        <v>0</v>
      </c>
      <c r="K182" s="1171">
        <v>0</v>
      </c>
      <c r="L182" s="1171">
        <v>0</v>
      </c>
      <c r="M182" s="1171">
        <f>[5]Kanalizace!$B$24</f>
        <v>0</v>
      </c>
      <c r="N182" s="1174"/>
      <c r="O182" s="1866">
        <f t="shared" si="12"/>
        <v>0</v>
      </c>
      <c r="P182" s="1172"/>
      <c r="Q182" s="1173"/>
      <c r="R182" s="1173"/>
      <c r="S182" s="1171"/>
      <c r="T182" s="1138"/>
      <c r="U182" s="1214"/>
    </row>
    <row r="183" spans="1:21" s="1215" customFormat="1" ht="12" hidden="1" customHeight="1" outlineLevel="1" x14ac:dyDescent="0.25">
      <c r="A183" s="1210"/>
      <c r="B183" s="1170" t="s">
        <v>186</v>
      </c>
      <c r="C183" s="1230" t="s">
        <v>291</v>
      </c>
      <c r="D183" s="1230"/>
      <c r="E183" s="1231"/>
      <c r="F183" s="1231"/>
      <c r="G183" s="1232"/>
      <c r="H183" s="1231" t="s">
        <v>761</v>
      </c>
      <c r="I183" s="1171">
        <v>0</v>
      </c>
      <c r="J183" s="1171">
        <v>0</v>
      </c>
      <c r="K183" s="1171">
        <v>0</v>
      </c>
      <c r="L183" s="1171">
        <v>0</v>
      </c>
      <c r="M183" s="1171">
        <f>[5]Kanalizace!$B$25</f>
        <v>0</v>
      </c>
      <c r="N183" s="1174"/>
      <c r="O183" s="1866">
        <f t="shared" si="12"/>
        <v>0</v>
      </c>
      <c r="P183" s="1172"/>
      <c r="Q183" s="1173"/>
      <c r="R183" s="1173"/>
      <c r="S183" s="1171"/>
      <c r="T183" s="1138"/>
      <c r="U183" s="1214"/>
    </row>
    <row r="184" spans="1:21" s="1215" customFormat="1" ht="12" hidden="1" customHeight="1" outlineLevel="1" x14ac:dyDescent="0.25">
      <c r="A184" s="1210"/>
      <c r="B184" s="1170" t="s">
        <v>186</v>
      </c>
      <c r="C184" s="1230" t="s">
        <v>779</v>
      </c>
      <c r="D184" s="1230"/>
      <c r="E184" s="1231"/>
      <c r="F184" s="1231"/>
      <c r="G184" s="1232"/>
      <c r="H184" s="1231" t="s">
        <v>761</v>
      </c>
      <c r="I184" s="1171">
        <v>0</v>
      </c>
      <c r="J184" s="1171">
        <v>0</v>
      </c>
      <c r="K184" s="1171">
        <v>0</v>
      </c>
      <c r="L184" s="1171">
        <v>0</v>
      </c>
      <c r="M184" s="1171">
        <f>[5]Kanalizace!$B$30</f>
        <v>0</v>
      </c>
      <c r="N184" s="1174"/>
      <c r="O184" s="1866">
        <f t="shared" si="12"/>
        <v>0</v>
      </c>
      <c r="P184" s="1172"/>
      <c r="Q184" s="1173"/>
      <c r="R184" s="1173"/>
      <c r="S184" s="1171"/>
      <c r="T184" s="1138"/>
      <c r="U184" s="1214"/>
    </row>
    <row r="185" spans="1:21" s="1215" customFormat="1" ht="12" hidden="1" customHeight="1" outlineLevel="1" x14ac:dyDescent="0.25">
      <c r="A185" s="1210"/>
      <c r="B185" s="1170" t="s">
        <v>186</v>
      </c>
      <c r="C185" s="1230" t="s">
        <v>741</v>
      </c>
      <c r="D185" s="1230"/>
      <c r="E185" s="1231"/>
      <c r="F185" s="1231"/>
      <c r="G185" s="1232"/>
      <c r="H185" s="1231" t="s">
        <v>761</v>
      </c>
      <c r="I185" s="1171"/>
      <c r="J185" s="1171">
        <v>0</v>
      </c>
      <c r="K185" s="1171">
        <v>0</v>
      </c>
      <c r="L185" s="1171">
        <v>0</v>
      </c>
      <c r="M185" s="1171">
        <f>[5]Kanalizace!$B$29</f>
        <v>0</v>
      </c>
      <c r="N185" s="1174"/>
      <c r="O185" s="1866">
        <f t="shared" si="12"/>
        <v>0</v>
      </c>
      <c r="P185" s="1172"/>
      <c r="Q185" s="1173"/>
      <c r="R185" s="1173"/>
      <c r="S185" s="1171"/>
      <c r="T185" s="1138"/>
      <c r="U185" s="1214"/>
    </row>
    <row r="186" spans="1:21" s="1215" customFormat="1" ht="12" customHeight="1" outlineLevel="1" x14ac:dyDescent="0.25">
      <c r="A186" s="1210"/>
      <c r="B186" s="1162" t="s">
        <v>186</v>
      </c>
      <c r="C186" s="1211" t="s">
        <v>877</v>
      </c>
      <c r="D186" s="1211"/>
      <c r="E186" s="1212"/>
      <c r="F186" s="1212"/>
      <c r="G186" s="1213"/>
      <c r="H186" s="1231" t="s">
        <v>761</v>
      </c>
      <c r="I186" s="1166">
        <v>0</v>
      </c>
      <c r="J186" s="1166">
        <v>500000</v>
      </c>
      <c r="K186" s="1166">
        <v>500000</v>
      </c>
      <c r="L186" s="1166">
        <v>0</v>
      </c>
      <c r="M186" s="1166">
        <f>[5]Kanalizace!$B$42</f>
        <v>800000</v>
      </c>
      <c r="N186" s="1167"/>
      <c r="O186" s="1859">
        <f t="shared" si="12"/>
        <v>800000</v>
      </c>
      <c r="P186" s="1168"/>
      <c r="Q186" s="1169"/>
      <c r="R186" s="1169"/>
      <c r="S186" s="1166"/>
      <c r="T186" s="1138"/>
      <c r="U186" s="1214"/>
    </row>
    <row r="187" spans="1:21" s="1215" customFormat="1" ht="12" hidden="1" customHeight="1" outlineLevel="1" x14ac:dyDescent="0.25">
      <c r="A187" s="1210"/>
      <c r="B187" s="1170" t="s">
        <v>186</v>
      </c>
      <c r="C187" s="1211" t="s">
        <v>876</v>
      </c>
      <c r="D187" s="1211"/>
      <c r="E187" s="1212"/>
      <c r="F187" s="1212"/>
      <c r="G187" s="1213"/>
      <c r="H187" s="1231" t="s">
        <v>761</v>
      </c>
      <c r="I187" s="1166">
        <v>0</v>
      </c>
      <c r="J187" s="1166">
        <v>0</v>
      </c>
      <c r="K187" s="1166">
        <v>0</v>
      </c>
      <c r="L187" s="1166">
        <v>0</v>
      </c>
      <c r="M187" s="1166">
        <f>[5]Kanalizace!$B$41</f>
        <v>0</v>
      </c>
      <c r="N187" s="1167"/>
      <c r="O187" s="1859">
        <f t="shared" si="12"/>
        <v>0</v>
      </c>
      <c r="P187" s="1168"/>
      <c r="Q187" s="1169"/>
      <c r="R187" s="1169"/>
      <c r="S187" s="1166"/>
      <c r="T187" s="1138"/>
      <c r="U187" s="1214"/>
    </row>
    <row r="188" spans="1:21" s="1215" customFormat="1" ht="12" hidden="1" customHeight="1" outlineLevel="1" x14ac:dyDescent="0.25">
      <c r="A188" s="1210"/>
      <c r="B188" s="1170" t="s">
        <v>186</v>
      </c>
      <c r="C188" s="1211" t="s">
        <v>1645</v>
      </c>
      <c r="D188" s="1211"/>
      <c r="E188" s="1212"/>
      <c r="F188" s="1212"/>
      <c r="G188" s="1213"/>
      <c r="H188" s="1231" t="s">
        <v>761</v>
      </c>
      <c r="I188" s="1166"/>
      <c r="J188" s="1166">
        <v>0</v>
      </c>
      <c r="K188" s="1166">
        <v>0</v>
      </c>
      <c r="L188" s="1166">
        <v>0</v>
      </c>
      <c r="M188" s="1166">
        <f>[5]Kanalizace!$B$54</f>
        <v>0</v>
      </c>
      <c r="N188" s="1167"/>
      <c r="O188" s="1859">
        <f t="shared" si="12"/>
        <v>0</v>
      </c>
      <c r="P188" s="1168"/>
      <c r="Q188" s="1169"/>
      <c r="R188" s="1169"/>
      <c r="S188" s="1166"/>
      <c r="T188" s="1138"/>
      <c r="U188" s="1214"/>
    </row>
    <row r="189" spans="1:21" s="1215" customFormat="1" ht="12" customHeight="1" outlineLevel="1" thickBot="1" x14ac:dyDescent="0.3">
      <c r="A189" s="1194"/>
      <c r="B189" s="1239" t="s">
        <v>186</v>
      </c>
      <c r="C189" s="1289" t="s">
        <v>1644</v>
      </c>
      <c r="D189" s="1289"/>
      <c r="E189" s="1290"/>
      <c r="F189" s="1290"/>
      <c r="G189" s="1291"/>
      <c r="H189" s="1290" t="s">
        <v>761</v>
      </c>
      <c r="I189" s="1180"/>
      <c r="J189" s="1180">
        <v>0</v>
      </c>
      <c r="K189" s="1180">
        <v>0</v>
      </c>
      <c r="L189" s="1180">
        <v>0</v>
      </c>
      <c r="M189" s="1180">
        <f>[5]Kanalizace!$B$53</f>
        <v>0</v>
      </c>
      <c r="N189" s="1198"/>
      <c r="O189" s="1860">
        <f t="shared" si="12"/>
        <v>0</v>
      </c>
      <c r="P189" s="1199"/>
      <c r="Q189" s="1200"/>
      <c r="R189" s="1200"/>
      <c r="S189" s="1180"/>
      <c r="T189" s="1138"/>
      <c r="U189" s="1214"/>
    </row>
    <row r="190" spans="1:21" s="1215" customFormat="1" ht="14.25" thickBot="1" x14ac:dyDescent="0.3">
      <c r="A190" s="2314" t="s">
        <v>754</v>
      </c>
      <c r="B190" s="2315"/>
      <c r="C190" s="1183"/>
      <c r="D190" s="1183"/>
      <c r="E190" s="1184"/>
      <c r="F190" s="1184"/>
      <c r="G190" s="1185"/>
      <c r="H190" s="1184"/>
      <c r="I190" s="1186">
        <f>SUM(I178:I189)</f>
        <v>363000</v>
      </c>
      <c r="J190" s="1186">
        <v>1050000</v>
      </c>
      <c r="K190" s="1186">
        <v>1050000</v>
      </c>
      <c r="L190" s="1186">
        <v>2550000</v>
      </c>
      <c r="M190" s="1186">
        <f>SUM(M178:M189)</f>
        <v>850000</v>
      </c>
      <c r="N190" s="1187"/>
      <c r="O190" s="1861">
        <f t="shared" si="12"/>
        <v>850000</v>
      </c>
      <c r="P190" s="1186">
        <f>SUM(P178:P187)</f>
        <v>0</v>
      </c>
      <c r="Q190" s="1188"/>
      <c r="R190" s="1188"/>
      <c r="S190" s="1189"/>
      <c r="T190" s="1190">
        <f>'Výdaje kapitol celkem'!CC69</f>
        <v>850000</v>
      </c>
      <c r="U190" s="1191">
        <f>+T190-M190</f>
        <v>0</v>
      </c>
    </row>
    <row r="191" spans="1:21" s="1215" customFormat="1" ht="12" hidden="1" customHeight="1" outlineLevel="1" x14ac:dyDescent="0.25">
      <c r="A191" s="1193"/>
      <c r="B191" s="1286" t="s">
        <v>185</v>
      </c>
      <c r="C191" s="1286" t="s">
        <v>776</v>
      </c>
      <c r="D191" s="1286"/>
      <c r="E191" s="1287"/>
      <c r="F191" s="1287"/>
      <c r="G191" s="1288"/>
      <c r="H191" s="1287" t="s">
        <v>761</v>
      </c>
      <c r="I191" s="1158">
        <v>30000</v>
      </c>
      <c r="J191" s="1158">
        <v>500000</v>
      </c>
      <c r="K191" s="1158">
        <v>500000</v>
      </c>
      <c r="L191" s="1158">
        <v>500000</v>
      </c>
      <c r="M191" s="1158">
        <f>[5]Vodovod!$B$5</f>
        <v>0</v>
      </c>
      <c r="N191" s="1159"/>
      <c r="O191" s="1858">
        <f t="shared" si="12"/>
        <v>0</v>
      </c>
      <c r="P191" s="1160"/>
      <c r="Q191" s="1161"/>
      <c r="R191" s="1161"/>
      <c r="S191" s="1158"/>
      <c r="T191" s="1138"/>
      <c r="U191" s="1214"/>
    </row>
    <row r="192" spans="1:21" s="1215" customFormat="1" ht="12" hidden="1" customHeight="1" outlineLevel="1" thickBot="1" x14ac:dyDescent="0.3">
      <c r="A192" s="1194">
        <v>2310</v>
      </c>
      <c r="B192" s="1239" t="s">
        <v>185</v>
      </c>
      <c r="C192" s="1239" t="s">
        <v>775</v>
      </c>
      <c r="D192" s="1239"/>
      <c r="E192" s="1237"/>
      <c r="F192" s="1237"/>
      <c r="G192" s="1238"/>
      <c r="H192" s="1237" t="s">
        <v>761</v>
      </c>
      <c r="I192" s="1179">
        <v>0</v>
      </c>
      <c r="J192" s="1179">
        <v>0</v>
      </c>
      <c r="K192" s="1179">
        <v>0</v>
      </c>
      <c r="L192" s="1179">
        <v>0</v>
      </c>
      <c r="M192" s="1179">
        <f>[5]Vodovod!$B$4</f>
        <v>0</v>
      </c>
      <c r="N192" s="1209"/>
      <c r="O192" s="1865">
        <f t="shared" si="12"/>
        <v>0</v>
      </c>
      <c r="P192" s="1181"/>
      <c r="Q192" s="1182"/>
      <c r="R192" s="1182"/>
      <c r="S192" s="1179"/>
      <c r="T192" s="1138"/>
      <c r="U192" s="1214"/>
    </row>
    <row r="193" spans="1:21" s="1215" customFormat="1" ht="14.25" collapsed="1" thickBot="1" x14ac:dyDescent="0.3">
      <c r="A193" s="2314" t="s">
        <v>777</v>
      </c>
      <c r="B193" s="2315"/>
      <c r="C193" s="1183"/>
      <c r="D193" s="1183"/>
      <c r="E193" s="1184"/>
      <c r="F193" s="1184"/>
      <c r="G193" s="1185"/>
      <c r="H193" s="1184"/>
      <c r="I193" s="1186">
        <f>SUM(I191:I192)</f>
        <v>30000</v>
      </c>
      <c r="J193" s="1186">
        <v>500000</v>
      </c>
      <c r="K193" s="1186">
        <v>500000</v>
      </c>
      <c r="L193" s="1186">
        <v>500000</v>
      </c>
      <c r="M193" s="1186">
        <f>SUM(M191:M192)</f>
        <v>0</v>
      </c>
      <c r="N193" s="1187"/>
      <c r="O193" s="1861">
        <f t="shared" si="12"/>
        <v>0</v>
      </c>
      <c r="P193" s="1186">
        <f>+P191+P192</f>
        <v>0</v>
      </c>
      <c r="Q193" s="1188"/>
      <c r="R193" s="1188"/>
      <c r="S193" s="1189"/>
      <c r="T193" s="1190">
        <f>'Výdaje kapitol celkem'!BW69</f>
        <v>0</v>
      </c>
      <c r="U193" s="1191">
        <f>+T193-M193</f>
        <v>0</v>
      </c>
    </row>
    <row r="194" spans="1:21" s="1215" customFormat="1" ht="14.25" thickBot="1" x14ac:dyDescent="0.3">
      <c r="A194" s="1277">
        <v>3635</v>
      </c>
      <c r="B194" s="1278" t="s">
        <v>182</v>
      </c>
      <c r="C194" s="1279" t="s">
        <v>136</v>
      </c>
      <c r="D194" s="1279"/>
      <c r="E194" s="1280"/>
      <c r="F194" s="1280"/>
      <c r="G194" s="1281"/>
      <c r="H194" s="1280" t="s">
        <v>761</v>
      </c>
      <c r="I194" s="1282">
        <v>0</v>
      </c>
      <c r="J194" s="1282">
        <v>250000</v>
      </c>
      <c r="K194" s="1282">
        <v>250000</v>
      </c>
      <c r="L194" s="1282">
        <v>250000</v>
      </c>
      <c r="M194" s="1282">
        <f>'[6]Územní plán 3635'!$B$29</f>
        <v>250000</v>
      </c>
      <c r="N194" s="1283"/>
      <c r="O194" s="1869">
        <f t="shared" si="12"/>
        <v>250000</v>
      </c>
      <c r="P194" s="1282">
        <v>0</v>
      </c>
      <c r="Q194" s="1284"/>
      <c r="R194" s="1284"/>
      <c r="S194" s="1285"/>
      <c r="T194" s="1190">
        <f>'Výdaje kapitol celkem'!BO69</f>
        <v>250000</v>
      </c>
      <c r="U194" s="1191">
        <f>+T194-M194</f>
        <v>0</v>
      </c>
    </row>
    <row r="195" spans="1:21" s="1215" customFormat="1" ht="12" customHeight="1" outlineLevel="1" x14ac:dyDescent="0.25">
      <c r="A195" s="1210"/>
      <c r="B195" s="1286" t="s">
        <v>194</v>
      </c>
      <c r="C195" s="1286" t="s">
        <v>256</v>
      </c>
      <c r="D195" s="1286"/>
      <c r="E195" s="1287"/>
      <c r="F195" s="1287"/>
      <c r="G195" s="1288"/>
      <c r="H195" s="1287" t="s">
        <v>761</v>
      </c>
      <c r="I195" s="1158">
        <v>0</v>
      </c>
      <c r="J195" s="1158">
        <v>0</v>
      </c>
      <c r="K195" s="1158">
        <v>0</v>
      </c>
      <c r="L195" s="1158">
        <v>0</v>
      </c>
      <c r="M195" s="1158">
        <f>[5]Pošembeří!$B$5</f>
        <v>0</v>
      </c>
      <c r="N195" s="1159"/>
      <c r="O195" s="1858">
        <f t="shared" si="12"/>
        <v>0</v>
      </c>
      <c r="P195" s="1160"/>
      <c r="Q195" s="1161"/>
      <c r="R195" s="1161"/>
      <c r="S195" s="1158"/>
      <c r="T195" s="1138"/>
      <c r="U195" s="1214"/>
    </row>
    <row r="196" spans="1:21" s="1215" customFormat="1" ht="14.25" outlineLevel="1" thickBot="1" x14ac:dyDescent="0.3">
      <c r="A196" s="1194">
        <v>3330</v>
      </c>
      <c r="B196" s="1239" t="s">
        <v>194</v>
      </c>
      <c r="C196" s="1239" t="s">
        <v>780</v>
      </c>
      <c r="D196" s="1239"/>
      <c r="E196" s="1237"/>
      <c r="F196" s="1237"/>
      <c r="G196" s="1238"/>
      <c r="H196" s="1237" t="s">
        <v>761</v>
      </c>
      <c r="I196" s="1179">
        <v>2110</v>
      </c>
      <c r="J196" s="1179">
        <v>120000</v>
      </c>
      <c r="K196" s="1179">
        <v>120000</v>
      </c>
      <c r="L196" s="1179">
        <v>20000</v>
      </c>
      <c r="M196" s="1179">
        <f>[5]Pošembeří!$B$4</f>
        <v>60000</v>
      </c>
      <c r="N196" s="1209"/>
      <c r="O196" s="1865">
        <f t="shared" si="12"/>
        <v>60000</v>
      </c>
      <c r="P196" s="1181"/>
      <c r="Q196" s="1182"/>
      <c r="R196" s="1182"/>
      <c r="S196" s="1775"/>
      <c r="T196" s="1138"/>
      <c r="U196" s="1214"/>
    </row>
    <row r="197" spans="1:21" s="1215" customFormat="1" ht="14.25" thickBot="1" x14ac:dyDescent="0.3">
      <c r="A197" s="2314" t="s">
        <v>755</v>
      </c>
      <c r="B197" s="2315"/>
      <c r="C197" s="1183"/>
      <c r="D197" s="1183"/>
      <c r="E197" s="1184"/>
      <c r="F197" s="1184"/>
      <c r="G197" s="1185"/>
      <c r="H197" s="1184"/>
      <c r="I197" s="1186">
        <f t="shared" ref="I197:M197" si="13">SUM(I195:I196)</f>
        <v>2110</v>
      </c>
      <c r="J197" s="1186">
        <v>120000</v>
      </c>
      <c r="K197" s="1186">
        <v>120000</v>
      </c>
      <c r="L197" s="1186">
        <v>20000</v>
      </c>
      <c r="M197" s="1186">
        <f t="shared" si="13"/>
        <v>60000</v>
      </c>
      <c r="N197" s="1187"/>
      <c r="O197" s="1861">
        <f t="shared" si="12"/>
        <v>60000</v>
      </c>
      <c r="P197" s="1186">
        <f t="shared" ref="P197" si="14">SUM(P195:P196)</f>
        <v>0</v>
      </c>
      <c r="Q197" s="1188"/>
      <c r="R197" s="1188"/>
      <c r="S197" s="1189"/>
      <c r="T197" s="1190">
        <f>'Výdaje kapitol celkem'!DK69</f>
        <v>60000</v>
      </c>
      <c r="U197" s="1191">
        <f>+T197-M197</f>
        <v>0</v>
      </c>
    </row>
    <row r="198" spans="1:21" s="1215" customFormat="1" ht="12" hidden="1" customHeight="1" outlineLevel="1" x14ac:dyDescent="0.25">
      <c r="A198" s="1193"/>
      <c r="B198" s="1292" t="s">
        <v>580</v>
      </c>
      <c r="C198" s="1292" t="s">
        <v>787</v>
      </c>
      <c r="D198" s="1292" t="s">
        <v>960</v>
      </c>
      <c r="E198" s="1293"/>
      <c r="F198" s="1293"/>
      <c r="G198" s="1294"/>
      <c r="H198" s="1293" t="s">
        <v>958</v>
      </c>
      <c r="I198" s="1295">
        <v>1400000</v>
      </c>
      <c r="J198" s="1295"/>
      <c r="K198" s="1295"/>
      <c r="L198" s="1295"/>
      <c r="M198" s="1295"/>
      <c r="N198" s="1296"/>
      <c r="O198" s="1870">
        <f t="shared" si="12"/>
        <v>0</v>
      </c>
      <c r="P198" s="1295"/>
      <c r="Q198" s="1161"/>
      <c r="R198" s="1161"/>
      <c r="S198" s="1158"/>
      <c r="T198" s="1138"/>
      <c r="U198" s="1214"/>
    </row>
    <row r="199" spans="1:21" s="1301" customFormat="1" ht="12" hidden="1" customHeight="1" outlineLevel="1" thickBot="1" x14ac:dyDescent="0.3">
      <c r="A199" s="1297"/>
      <c r="B199" s="1248" t="s">
        <v>580</v>
      </c>
      <c r="C199" s="1248" t="s">
        <v>788</v>
      </c>
      <c r="D199" s="1248"/>
      <c r="E199" s="1249"/>
      <c r="F199" s="1249"/>
      <c r="G199" s="1298"/>
      <c r="H199" s="1249" t="s">
        <v>4</v>
      </c>
      <c r="I199" s="1254">
        <v>0</v>
      </c>
      <c r="J199" s="1254"/>
      <c r="K199" s="1254"/>
      <c r="L199" s="1254"/>
      <c r="M199" s="1254"/>
      <c r="N199" s="1299"/>
      <c r="O199" s="1867">
        <f t="shared" si="12"/>
        <v>0</v>
      </c>
      <c r="P199" s="1252"/>
      <c r="Q199" s="1300"/>
      <c r="R199" s="1300"/>
      <c r="S199" s="1254"/>
      <c r="T199" s="1138"/>
      <c r="U199" s="1214"/>
    </row>
    <row r="200" spans="1:21" s="1215" customFormat="1" ht="14.25" collapsed="1" thickBot="1" x14ac:dyDescent="0.3">
      <c r="A200" s="1277" t="s">
        <v>313</v>
      </c>
      <c r="B200" s="1278" t="s">
        <v>580</v>
      </c>
      <c r="C200" s="1279" t="s">
        <v>344</v>
      </c>
      <c r="D200" s="1279"/>
      <c r="E200" s="1280"/>
      <c r="F200" s="1280"/>
      <c r="G200" s="1281"/>
      <c r="H200" s="1280"/>
      <c r="I200" s="1282">
        <f>SUM(I198:I199)</f>
        <v>1400000</v>
      </c>
      <c r="J200" s="1282">
        <v>0</v>
      </c>
      <c r="K200" s="1282">
        <v>0</v>
      </c>
      <c r="L200" s="1282">
        <v>0</v>
      </c>
      <c r="M200" s="1282">
        <f>SUM(M198:M199)</f>
        <v>0</v>
      </c>
      <c r="N200" s="1283"/>
      <c r="O200" s="1869">
        <f t="shared" si="12"/>
        <v>0</v>
      </c>
      <c r="P200" s="1282">
        <f t="shared" ref="P200" si="15">SUM(P198:P199)</f>
        <v>0</v>
      </c>
      <c r="Q200" s="1284"/>
      <c r="R200" s="1284"/>
      <c r="S200" s="1285"/>
      <c r="T200" s="1190">
        <f>'Výdaje kapitol celkem'!DE69</f>
        <v>0</v>
      </c>
      <c r="U200" s="1191">
        <f>+T200-M200</f>
        <v>0</v>
      </c>
    </row>
    <row r="201" spans="1:21" s="1215" customFormat="1" outlineLevel="1" x14ac:dyDescent="0.25">
      <c r="A201" s="1193"/>
      <c r="B201" s="1286" t="s">
        <v>191</v>
      </c>
      <c r="C201" s="1286" t="s">
        <v>256</v>
      </c>
      <c r="D201" s="1286"/>
      <c r="E201" s="1287"/>
      <c r="F201" s="1287"/>
      <c r="G201" s="1288"/>
      <c r="H201" s="1287" t="s">
        <v>761</v>
      </c>
      <c r="I201" s="1158">
        <v>0</v>
      </c>
      <c r="J201" s="1158">
        <v>0</v>
      </c>
      <c r="K201" s="1158">
        <v>0</v>
      </c>
      <c r="L201" s="1158">
        <v>0</v>
      </c>
      <c r="M201" s="1158"/>
      <c r="N201" s="1159"/>
      <c r="O201" s="1858">
        <f t="shared" si="12"/>
        <v>0</v>
      </c>
      <c r="P201" s="1160"/>
      <c r="Q201" s="1161"/>
      <c r="R201" s="1161"/>
      <c r="S201" s="1158"/>
      <c r="T201" s="1138"/>
      <c r="U201" s="1214"/>
    </row>
    <row r="202" spans="1:21" s="1215" customFormat="1" ht="14.25" outlineLevel="1" thickBot="1" x14ac:dyDescent="0.3">
      <c r="A202" s="1193"/>
      <c r="B202" s="1239" t="s">
        <v>191</v>
      </c>
      <c r="C202" s="1239" t="s">
        <v>2015</v>
      </c>
      <c r="D202" s="1239"/>
      <c r="E202" s="1237"/>
      <c r="F202" s="1237"/>
      <c r="G202" s="1238"/>
      <c r="H202" s="1237" t="s">
        <v>761</v>
      </c>
      <c r="I202" s="1179">
        <v>0</v>
      </c>
      <c r="J202" s="1179">
        <v>2900000</v>
      </c>
      <c r="K202" s="1179">
        <v>2900000</v>
      </c>
      <c r="L202" s="1179">
        <v>0</v>
      </c>
      <c r="M202" s="1179">
        <f>'[6]Povodeň 3744'!$B$32</f>
        <v>2851108.68</v>
      </c>
      <c r="N202" s="1209"/>
      <c r="O202" s="1865">
        <f t="shared" ref="O202:O237" si="16">M202-P202</f>
        <v>855332.6100000001</v>
      </c>
      <c r="P202" s="1181">
        <f>'[6]Povodeň 3744'!$C$32</f>
        <v>1995776.07</v>
      </c>
      <c r="Q202" s="1182"/>
      <c r="R202" s="1182"/>
      <c r="S202" s="1179"/>
      <c r="T202" s="1138"/>
      <c r="U202" s="1214"/>
    </row>
    <row r="203" spans="1:21" s="1215" customFormat="1" ht="14.25" thickBot="1" x14ac:dyDescent="0.3">
      <c r="A203" s="1277">
        <v>3744</v>
      </c>
      <c r="B203" s="1278" t="s">
        <v>191</v>
      </c>
      <c r="C203" s="1279" t="s">
        <v>835</v>
      </c>
      <c r="D203" s="1279"/>
      <c r="E203" s="1280"/>
      <c r="F203" s="1280"/>
      <c r="G203" s="1281"/>
      <c r="H203" s="1280"/>
      <c r="I203" s="1282">
        <v>0</v>
      </c>
      <c r="J203" s="1282">
        <v>2900000</v>
      </c>
      <c r="K203" s="1282">
        <v>2900000</v>
      </c>
      <c r="L203" s="1282">
        <v>0</v>
      </c>
      <c r="M203" s="1282">
        <f>SUM(M201:M202)</f>
        <v>2851108.68</v>
      </c>
      <c r="N203" s="1283"/>
      <c r="O203" s="1869">
        <f t="shared" si="16"/>
        <v>855332.6100000001</v>
      </c>
      <c r="P203" s="1282">
        <f t="shared" ref="P203" si="17">SUM(P201:P202)</f>
        <v>1995776.07</v>
      </c>
      <c r="Q203" s="1284"/>
      <c r="R203" s="1284"/>
      <c r="S203" s="1285"/>
      <c r="T203" s="1190">
        <f>'Výdaje kapitol celkem'!CV69</f>
        <v>2851108.68</v>
      </c>
      <c r="U203" s="1191">
        <f>+T203-M203</f>
        <v>0</v>
      </c>
    </row>
    <row r="204" spans="1:21" s="1264" customFormat="1" ht="15" customHeight="1" outlineLevel="1" x14ac:dyDescent="0.25">
      <c r="A204" s="1210"/>
      <c r="B204" s="1170" t="s">
        <v>349</v>
      </c>
      <c r="C204" s="1265" t="s">
        <v>256</v>
      </c>
      <c r="D204" s="1265"/>
      <c r="E204" s="1266"/>
      <c r="F204" s="1266"/>
      <c r="G204" s="1267"/>
      <c r="H204" s="1287" t="s">
        <v>761</v>
      </c>
      <c r="I204" s="1171">
        <v>800000</v>
      </c>
      <c r="J204" s="1171"/>
      <c r="K204" s="1171"/>
      <c r="L204" s="1171"/>
      <c r="M204" s="1171"/>
      <c r="N204" s="1174"/>
      <c r="O204" s="1866">
        <f t="shared" si="16"/>
        <v>0</v>
      </c>
      <c r="P204" s="1172"/>
      <c r="Q204" s="1173"/>
      <c r="R204" s="1173"/>
      <c r="S204" s="1171"/>
      <c r="T204" s="1138"/>
      <c r="U204" s="1139"/>
    </row>
    <row r="205" spans="1:21" s="1264" customFormat="1" ht="15" customHeight="1" outlineLevel="1" x14ac:dyDescent="0.25">
      <c r="A205" s="1210"/>
      <c r="B205" s="1257" t="s">
        <v>349</v>
      </c>
      <c r="C205" s="1270" t="s">
        <v>734</v>
      </c>
      <c r="D205" s="1270"/>
      <c r="E205" s="1271"/>
      <c r="F205" s="1271"/>
      <c r="G205" s="1272"/>
      <c r="H205" s="1271" t="s">
        <v>879</v>
      </c>
      <c r="I205" s="1258">
        <v>0</v>
      </c>
      <c r="J205" s="1258">
        <v>0</v>
      </c>
      <c r="K205" s="1258">
        <v>0</v>
      </c>
      <c r="L205" s="1258">
        <v>0</v>
      </c>
      <c r="M205" s="1258">
        <f>'[6]Rybníky 3749-2'!$D$23</f>
        <v>26000</v>
      </c>
      <c r="N205" s="1259"/>
      <c r="O205" s="1868">
        <f t="shared" si="16"/>
        <v>26000</v>
      </c>
      <c r="P205" s="1260"/>
      <c r="Q205" s="1173"/>
      <c r="R205" s="1173"/>
      <c r="S205" s="1171"/>
      <c r="T205" s="1138"/>
      <c r="U205" s="1139"/>
    </row>
    <row r="206" spans="1:21" s="1264" customFormat="1" ht="15" customHeight="1" outlineLevel="1" x14ac:dyDescent="0.25">
      <c r="A206" s="1210"/>
      <c r="B206" s="1170" t="s">
        <v>349</v>
      </c>
      <c r="C206" s="1265"/>
      <c r="D206" s="1265"/>
      <c r="E206" s="1266"/>
      <c r="F206" s="1266"/>
      <c r="G206" s="1267"/>
      <c r="H206" s="1212" t="s">
        <v>761</v>
      </c>
      <c r="I206" s="1171">
        <v>0</v>
      </c>
      <c r="J206" s="1171"/>
      <c r="K206" s="1171"/>
      <c r="L206" s="1171"/>
      <c r="M206" s="1171"/>
      <c r="N206" s="1174"/>
      <c r="O206" s="1866">
        <f t="shared" si="16"/>
        <v>0</v>
      </c>
      <c r="P206" s="1172"/>
      <c r="Q206" s="1173"/>
      <c r="R206" s="1173"/>
      <c r="S206" s="1171"/>
      <c r="T206" s="1138"/>
      <c r="U206" s="1139"/>
    </row>
    <row r="207" spans="1:21" s="1215" customFormat="1" ht="14.25" outlineLevel="1" thickBot="1" x14ac:dyDescent="0.3">
      <c r="A207" s="1246"/>
      <c r="B207" s="1239" t="s">
        <v>349</v>
      </c>
      <c r="C207" s="1239"/>
      <c r="D207" s="1239"/>
      <c r="E207" s="1237"/>
      <c r="F207" s="1237"/>
      <c r="G207" s="1238"/>
      <c r="H207" s="1212" t="s">
        <v>761</v>
      </c>
      <c r="I207" s="1179">
        <v>0</v>
      </c>
      <c r="J207" s="1179"/>
      <c r="K207" s="1179"/>
      <c r="L207" s="1179"/>
      <c r="M207" s="1179"/>
      <c r="N207" s="1209"/>
      <c r="O207" s="1865">
        <f t="shared" si="16"/>
        <v>0</v>
      </c>
      <c r="P207" s="1181"/>
      <c r="Q207" s="1182"/>
      <c r="R207" s="1182"/>
      <c r="S207" s="1171"/>
      <c r="T207" s="1138"/>
      <c r="U207" s="1214"/>
    </row>
    <row r="208" spans="1:21" s="1215" customFormat="1" ht="14.25" thickBot="1" x14ac:dyDescent="0.3">
      <c r="A208" s="1277" t="s">
        <v>348</v>
      </c>
      <c r="B208" s="1278" t="s">
        <v>349</v>
      </c>
      <c r="C208" s="1279"/>
      <c r="D208" s="1279"/>
      <c r="E208" s="1280"/>
      <c r="F208" s="1280"/>
      <c r="G208" s="1281"/>
      <c r="H208" s="1280"/>
      <c r="I208" s="1282">
        <f>SUM(I204:I207)</f>
        <v>800000</v>
      </c>
      <c r="J208" s="1282">
        <v>0</v>
      </c>
      <c r="K208" s="1282">
        <v>0</v>
      </c>
      <c r="L208" s="1282">
        <v>0</v>
      </c>
      <c r="M208" s="1282">
        <f t="shared" ref="M208" si="18">SUM(M204:M207)</f>
        <v>26000</v>
      </c>
      <c r="N208" s="1283"/>
      <c r="O208" s="1869">
        <f t="shared" si="16"/>
        <v>26000</v>
      </c>
      <c r="P208" s="1282">
        <f t="shared" ref="P208" si="19">SUM(P204:P207)</f>
        <v>0</v>
      </c>
      <c r="Q208" s="1284"/>
      <c r="R208" s="1284"/>
      <c r="S208" s="1285"/>
      <c r="T208" s="1190">
        <f>'Výdaje kapitol celkem'!DA69</f>
        <v>26000</v>
      </c>
      <c r="U208" s="1191">
        <f>+T208-M208</f>
        <v>0</v>
      </c>
    </row>
    <row r="209" spans="1:21" s="1264" customFormat="1" ht="15" hidden="1" customHeight="1" outlineLevel="1" x14ac:dyDescent="0.25">
      <c r="A209" s="1210"/>
      <c r="B209" s="1170"/>
      <c r="C209" s="1265"/>
      <c r="D209" s="1265"/>
      <c r="E209" s="1266"/>
      <c r="F209" s="1266"/>
      <c r="G209" s="1267"/>
      <c r="H209" s="1287" t="s">
        <v>761</v>
      </c>
      <c r="I209" s="1171">
        <v>0</v>
      </c>
      <c r="J209" s="1171"/>
      <c r="K209" s="1171"/>
      <c r="L209" s="1171"/>
      <c r="M209" s="1171"/>
      <c r="N209" s="1174"/>
      <c r="O209" s="1866">
        <f t="shared" si="16"/>
        <v>0</v>
      </c>
      <c r="P209" s="1172"/>
      <c r="Q209" s="1173"/>
      <c r="R209" s="1173"/>
      <c r="S209" s="1171"/>
      <c r="T209" s="1138"/>
      <c r="U209" s="1139"/>
    </row>
    <row r="210" spans="1:21" s="1264" customFormat="1" ht="15" hidden="1" customHeight="1" outlineLevel="1" x14ac:dyDescent="0.25">
      <c r="A210" s="1210"/>
      <c r="B210" s="1257"/>
      <c r="C210" s="1270"/>
      <c r="D210" s="1270"/>
      <c r="E210" s="1271"/>
      <c r="F210" s="1271"/>
      <c r="G210" s="1272"/>
      <c r="H210" s="1271" t="s">
        <v>4</v>
      </c>
      <c r="I210" s="1258">
        <v>0</v>
      </c>
      <c r="J210" s="1258">
        <v>0</v>
      </c>
      <c r="K210" s="1258">
        <v>0</v>
      </c>
      <c r="L210" s="1258">
        <v>0</v>
      </c>
      <c r="M210" s="1258">
        <v>0</v>
      </c>
      <c r="N210" s="1259"/>
      <c r="O210" s="1868">
        <f t="shared" si="16"/>
        <v>0</v>
      </c>
      <c r="P210" s="1260"/>
      <c r="Q210" s="1173"/>
      <c r="R210" s="1173"/>
      <c r="S210" s="1171"/>
      <c r="T210" s="1138"/>
      <c r="U210" s="1139"/>
    </row>
    <row r="211" spans="1:21" s="1215" customFormat="1" ht="14.25" hidden="1" outlineLevel="1" thickBot="1" x14ac:dyDescent="0.3">
      <c r="A211" s="1246"/>
      <c r="B211" s="1239"/>
      <c r="C211" s="1239"/>
      <c r="D211" s="1239"/>
      <c r="E211" s="1237"/>
      <c r="F211" s="1237"/>
      <c r="G211" s="1238"/>
      <c r="H211" s="1237" t="s">
        <v>761</v>
      </c>
      <c r="I211" s="1179"/>
      <c r="J211" s="1179"/>
      <c r="K211" s="1179"/>
      <c r="L211" s="1179"/>
      <c r="M211" s="1179"/>
      <c r="N211" s="1209"/>
      <c r="O211" s="1865">
        <f t="shared" si="16"/>
        <v>0</v>
      </c>
      <c r="P211" s="1181"/>
      <c r="Q211" s="1182"/>
      <c r="R211" s="1182"/>
      <c r="S211" s="1171"/>
      <c r="T211" s="1138"/>
      <c r="U211" s="1214"/>
    </row>
    <row r="212" spans="1:21" s="1215" customFormat="1" ht="14.25" collapsed="1" thickBot="1" x14ac:dyDescent="0.3">
      <c r="A212" s="1277" t="s">
        <v>950</v>
      </c>
      <c r="B212" s="1278" t="s">
        <v>952</v>
      </c>
      <c r="C212" s="1279"/>
      <c r="D212" s="1279"/>
      <c r="E212" s="1280"/>
      <c r="F212" s="1280"/>
      <c r="G212" s="1281"/>
      <c r="H212" s="1280"/>
      <c r="I212" s="1282">
        <v>0</v>
      </c>
      <c r="J212" s="1282">
        <v>0</v>
      </c>
      <c r="K212" s="1282">
        <v>0</v>
      </c>
      <c r="L212" s="1282">
        <v>0</v>
      </c>
      <c r="M212" s="1282">
        <f>SUM(M209:M211)</f>
        <v>0</v>
      </c>
      <c r="N212" s="1283"/>
      <c r="O212" s="1869">
        <f t="shared" si="16"/>
        <v>0</v>
      </c>
      <c r="P212" s="1282">
        <f>SUM(P209:P211)</f>
        <v>0</v>
      </c>
      <c r="Q212" s="1284"/>
      <c r="R212" s="1284"/>
      <c r="S212" s="1285"/>
      <c r="T212" s="1190">
        <f>'Výdaje kapitol celkem'!DB69</f>
        <v>0</v>
      </c>
      <c r="U212" s="1191">
        <f>+T212-M212</f>
        <v>0</v>
      </c>
    </row>
    <row r="213" spans="1:21" s="1264" customFormat="1" ht="12" hidden="1" customHeight="1" outlineLevel="1" x14ac:dyDescent="0.25">
      <c r="A213" s="1210"/>
      <c r="B213" s="1170"/>
      <c r="C213" s="1265"/>
      <c r="D213" s="1265"/>
      <c r="E213" s="1266"/>
      <c r="F213" s="1266"/>
      <c r="G213" s="1267"/>
      <c r="H213" s="1287" t="s">
        <v>761</v>
      </c>
      <c r="I213" s="1171">
        <v>0</v>
      </c>
      <c r="J213" s="1171"/>
      <c r="K213" s="1171"/>
      <c r="L213" s="1171"/>
      <c r="M213" s="1171"/>
      <c r="N213" s="1174"/>
      <c r="O213" s="1866">
        <f t="shared" si="16"/>
        <v>0</v>
      </c>
      <c r="P213" s="1172"/>
      <c r="Q213" s="1173"/>
      <c r="R213" s="1173"/>
      <c r="S213" s="1171"/>
      <c r="T213" s="1138"/>
      <c r="U213" s="1139"/>
    </row>
    <row r="214" spans="1:21" s="1264" customFormat="1" ht="12" hidden="1" customHeight="1" outlineLevel="1" x14ac:dyDescent="0.25">
      <c r="A214" s="1210"/>
      <c r="B214" s="1257" t="s">
        <v>931</v>
      </c>
      <c r="C214" s="1270" t="s">
        <v>931</v>
      </c>
      <c r="D214" s="1270" t="s">
        <v>959</v>
      </c>
      <c r="E214" s="1271"/>
      <c r="F214" s="1271"/>
      <c r="G214" s="1272"/>
      <c r="H214" s="1271" t="s">
        <v>959</v>
      </c>
      <c r="I214" s="1258">
        <v>188125</v>
      </c>
      <c r="J214" s="1258"/>
      <c r="K214" s="1258"/>
      <c r="L214" s="1258"/>
      <c r="M214" s="1258"/>
      <c r="N214" s="1259"/>
      <c r="O214" s="1868">
        <f t="shared" si="16"/>
        <v>0</v>
      </c>
      <c r="P214" s="1258"/>
      <c r="Q214" s="1173"/>
      <c r="R214" s="1173"/>
      <c r="S214" s="1171"/>
      <c r="T214" s="1138"/>
      <c r="U214" s="1139"/>
    </row>
    <row r="215" spans="1:21" s="1215" customFormat="1" ht="12" hidden="1" customHeight="1" outlineLevel="1" thickBot="1" x14ac:dyDescent="0.3">
      <c r="A215" s="1246"/>
      <c r="B215" s="1239"/>
      <c r="C215" s="1239"/>
      <c r="D215" s="1239"/>
      <c r="E215" s="1237"/>
      <c r="F215" s="1237"/>
      <c r="G215" s="1238"/>
      <c r="H215" s="1237" t="s">
        <v>761</v>
      </c>
      <c r="I215" s="1179"/>
      <c r="J215" s="1179"/>
      <c r="K215" s="1179"/>
      <c r="L215" s="1179"/>
      <c r="M215" s="1179"/>
      <c r="N215" s="1209"/>
      <c r="O215" s="1865">
        <f t="shared" si="16"/>
        <v>0</v>
      </c>
      <c r="P215" s="1181"/>
      <c r="Q215" s="1182"/>
      <c r="R215" s="1182"/>
      <c r="S215" s="1171"/>
      <c r="T215" s="1138"/>
      <c r="U215" s="1214"/>
    </row>
    <row r="216" spans="1:21" s="1215" customFormat="1" ht="14.25" collapsed="1" thickBot="1" x14ac:dyDescent="0.3">
      <c r="A216" s="1277" t="s">
        <v>951</v>
      </c>
      <c r="B216" s="1278" t="s">
        <v>931</v>
      </c>
      <c r="C216" s="1279"/>
      <c r="D216" s="1279"/>
      <c r="E216" s="1280"/>
      <c r="F216" s="1280"/>
      <c r="G216" s="1281"/>
      <c r="H216" s="1280"/>
      <c r="I216" s="1282">
        <v>188125</v>
      </c>
      <c r="J216" s="1282">
        <v>0</v>
      </c>
      <c r="K216" s="1282">
        <v>0</v>
      </c>
      <c r="L216" s="1282">
        <v>0</v>
      </c>
      <c r="M216" s="1282">
        <f>SUM(M213:M215)</f>
        <v>0</v>
      </c>
      <c r="N216" s="1283"/>
      <c r="O216" s="1869">
        <f t="shared" si="16"/>
        <v>0</v>
      </c>
      <c r="P216" s="1282">
        <f>SUM(P213:P215)</f>
        <v>0</v>
      </c>
      <c r="Q216" s="1284"/>
      <c r="R216" s="1284"/>
      <c r="S216" s="1285"/>
      <c r="T216" s="1190">
        <f>'Výdaje kapitol celkem'!DC69</f>
        <v>0</v>
      </c>
      <c r="U216" s="1191">
        <f>+T216-M216</f>
        <v>0</v>
      </c>
    </row>
    <row r="217" spans="1:21" s="1264" customFormat="1" ht="12" hidden="1" customHeight="1" outlineLevel="1" x14ac:dyDescent="0.25">
      <c r="A217" s="1210"/>
      <c r="B217" s="1170"/>
      <c r="C217" s="1265"/>
      <c r="D217" s="1265"/>
      <c r="E217" s="1266"/>
      <c r="F217" s="1266"/>
      <c r="G217" s="1267"/>
      <c r="H217" s="1287" t="s">
        <v>761</v>
      </c>
      <c r="I217" s="1171">
        <v>0</v>
      </c>
      <c r="J217" s="1171">
        <v>0</v>
      </c>
      <c r="K217" s="1171">
        <v>0</v>
      </c>
      <c r="L217" s="1171">
        <v>0</v>
      </c>
      <c r="M217" s="1171"/>
      <c r="N217" s="1174"/>
      <c r="O217" s="1866">
        <f t="shared" si="16"/>
        <v>0</v>
      </c>
      <c r="P217" s="1172"/>
      <c r="Q217" s="1173"/>
      <c r="R217" s="1173"/>
      <c r="S217" s="1171"/>
      <c r="T217" s="1138"/>
      <c r="U217" s="1139"/>
    </row>
    <row r="218" spans="1:21" s="1264" customFormat="1" ht="12" hidden="1" customHeight="1" outlineLevel="1" x14ac:dyDescent="0.25">
      <c r="A218" s="1210"/>
      <c r="B218" s="1257"/>
      <c r="C218" s="1270" t="s">
        <v>1886</v>
      </c>
      <c r="D218" s="1270" t="s">
        <v>1263</v>
      </c>
      <c r="E218" s="1271"/>
      <c r="F218" s="1271"/>
      <c r="G218" s="1272"/>
      <c r="H218" s="1271" t="s">
        <v>1263</v>
      </c>
      <c r="I218" s="1258">
        <v>29000</v>
      </c>
      <c r="J218" s="1258">
        <v>0</v>
      </c>
      <c r="K218" s="1258">
        <v>0</v>
      </c>
      <c r="L218" s="1258">
        <v>476604</v>
      </c>
      <c r="M218" s="1258"/>
      <c r="N218" s="1259"/>
      <c r="O218" s="1868">
        <f t="shared" si="16"/>
        <v>0</v>
      </c>
      <c r="P218" s="1258"/>
      <c r="Q218" s="1173"/>
      <c r="R218" s="1173"/>
      <c r="S218" s="1171"/>
      <c r="T218" s="1138"/>
      <c r="U218" s="1139"/>
    </row>
    <row r="219" spans="1:21" s="1215" customFormat="1" ht="12" hidden="1" customHeight="1" outlineLevel="1" thickBot="1" x14ac:dyDescent="0.3">
      <c r="A219" s="1246"/>
      <c r="B219" s="1257"/>
      <c r="C219" s="1270"/>
      <c r="D219" s="1270" t="s">
        <v>1263</v>
      </c>
      <c r="E219" s="1271"/>
      <c r="F219" s="1271"/>
      <c r="G219" s="1272"/>
      <c r="H219" s="1271" t="s">
        <v>1263</v>
      </c>
      <c r="I219" s="1258">
        <v>0</v>
      </c>
      <c r="J219" s="1258">
        <v>0</v>
      </c>
      <c r="K219" s="1258">
        <v>0</v>
      </c>
      <c r="L219" s="1258">
        <v>0</v>
      </c>
      <c r="M219" s="1258"/>
      <c r="N219" s="1259"/>
      <c r="O219" s="1868">
        <f t="shared" si="16"/>
        <v>0</v>
      </c>
      <c r="P219" s="1258"/>
      <c r="Q219" s="1182"/>
      <c r="R219" s="1182"/>
      <c r="S219" s="1171"/>
      <c r="T219" s="1138"/>
      <c r="U219" s="1214"/>
    </row>
    <row r="220" spans="1:21" s="1215" customFormat="1" ht="14.25" collapsed="1" thickBot="1" x14ac:dyDescent="0.3">
      <c r="A220" s="1277" t="s">
        <v>1885</v>
      </c>
      <c r="B220" s="1278" t="s">
        <v>1883</v>
      </c>
      <c r="C220" s="1279"/>
      <c r="D220" s="1279"/>
      <c r="E220" s="1280"/>
      <c r="F220" s="1280"/>
      <c r="G220" s="1281"/>
      <c r="H220" s="1280"/>
      <c r="I220" s="1282">
        <f>SUM(I217:I219)</f>
        <v>29000</v>
      </c>
      <c r="J220" s="1282">
        <v>0</v>
      </c>
      <c r="K220" s="1282">
        <v>0</v>
      </c>
      <c r="L220" s="1282">
        <v>476604</v>
      </c>
      <c r="M220" s="1282">
        <f>SUM(M217:M219)</f>
        <v>0</v>
      </c>
      <c r="N220" s="1283"/>
      <c r="O220" s="1869">
        <f t="shared" si="16"/>
        <v>0</v>
      </c>
      <c r="P220" s="1282">
        <f>SUM(P217:P219)</f>
        <v>0</v>
      </c>
      <c r="Q220" s="1284"/>
      <c r="R220" s="1284"/>
      <c r="S220" s="1285"/>
      <c r="T220" s="1190">
        <f>'Výdaje kapitol celkem'!DF58</f>
        <v>0</v>
      </c>
      <c r="U220" s="1191">
        <f>+T220-M220</f>
        <v>0</v>
      </c>
    </row>
    <row r="221" spans="1:21" s="1264" customFormat="1" ht="12" hidden="1" customHeight="1" outlineLevel="1" x14ac:dyDescent="0.25">
      <c r="A221" s="1210"/>
      <c r="B221" s="1170"/>
      <c r="C221" s="1265"/>
      <c r="D221" s="1265"/>
      <c r="E221" s="1266"/>
      <c r="F221" s="1266"/>
      <c r="G221" s="1267"/>
      <c r="H221" s="1287" t="s">
        <v>761</v>
      </c>
      <c r="I221" s="1171">
        <v>0</v>
      </c>
      <c r="J221" s="1171">
        <v>0</v>
      </c>
      <c r="K221" s="1171">
        <v>0</v>
      </c>
      <c r="L221" s="1171">
        <v>0</v>
      </c>
      <c r="M221" s="1171">
        <v>0</v>
      </c>
      <c r="N221" s="1174"/>
      <c r="O221" s="1866">
        <f t="shared" si="16"/>
        <v>0</v>
      </c>
      <c r="P221" s="1172"/>
      <c r="Q221" s="1173"/>
      <c r="R221" s="1173"/>
      <c r="S221" s="1171"/>
      <c r="T221" s="1138"/>
      <c r="U221" s="1139"/>
    </row>
    <row r="222" spans="1:21" s="1264" customFormat="1" ht="12" hidden="1" customHeight="1" outlineLevel="1" x14ac:dyDescent="0.25">
      <c r="A222" s="1210"/>
      <c r="B222" s="1257"/>
      <c r="C222" s="1270" t="s">
        <v>1673</v>
      </c>
      <c r="D222" s="1270" t="s">
        <v>1263</v>
      </c>
      <c r="E222" s="1271"/>
      <c r="F222" s="1271"/>
      <c r="G222" s="1272"/>
      <c r="H222" s="1271" t="s">
        <v>1263</v>
      </c>
      <c r="I222" s="1258">
        <v>29000</v>
      </c>
      <c r="J222" s="1258">
        <v>0</v>
      </c>
      <c r="K222" s="1258">
        <v>0</v>
      </c>
      <c r="L222" s="1258">
        <v>821469</v>
      </c>
      <c r="M222" s="1258"/>
      <c r="N222" s="1259"/>
      <c r="O222" s="1868">
        <f t="shared" si="16"/>
        <v>0</v>
      </c>
      <c r="P222" s="1258">
        <f>'Souhrn příjmů a výdajů 2021'!I72</f>
        <v>0</v>
      </c>
      <c r="Q222" s="1173"/>
      <c r="R222" s="1173"/>
      <c r="S222" s="1171"/>
      <c r="T222" s="1138"/>
      <c r="U222" s="1139"/>
    </row>
    <row r="223" spans="1:21" s="1215" customFormat="1" ht="12" hidden="1" customHeight="1" outlineLevel="1" thickBot="1" x14ac:dyDescent="0.3">
      <c r="A223" s="1246"/>
      <c r="B223" s="1257"/>
      <c r="C223" s="1270" t="s">
        <v>1674</v>
      </c>
      <c r="D223" s="1270" t="s">
        <v>1263</v>
      </c>
      <c r="E223" s="1271"/>
      <c r="F223" s="1271"/>
      <c r="G223" s="1272"/>
      <c r="H223" s="1271" t="s">
        <v>1263</v>
      </c>
      <c r="I223" s="1258">
        <v>0</v>
      </c>
      <c r="J223" s="1258">
        <v>0</v>
      </c>
      <c r="K223" s="1258">
        <v>0</v>
      </c>
      <c r="L223" s="1258">
        <v>0</v>
      </c>
      <c r="M223" s="1258">
        <v>0</v>
      </c>
      <c r="N223" s="1259"/>
      <c r="O223" s="1868">
        <f t="shared" si="16"/>
        <v>0</v>
      </c>
      <c r="P223" s="1258"/>
      <c r="Q223" s="1182"/>
      <c r="R223" s="1182"/>
      <c r="S223" s="1171"/>
      <c r="T223" s="1138"/>
      <c r="U223" s="1214"/>
    </row>
    <row r="224" spans="1:21" s="1215" customFormat="1" ht="14.25" collapsed="1" thickBot="1" x14ac:dyDescent="0.3">
      <c r="A224" s="1277" t="s">
        <v>951</v>
      </c>
      <c r="B224" s="1278" t="s">
        <v>1262</v>
      </c>
      <c r="C224" s="1279"/>
      <c r="D224" s="1279"/>
      <c r="E224" s="1280"/>
      <c r="F224" s="1280"/>
      <c r="G224" s="1281"/>
      <c r="H224" s="1280"/>
      <c r="I224" s="1282">
        <f>SUM(I221:I223)</f>
        <v>29000</v>
      </c>
      <c r="J224" s="1282">
        <v>0</v>
      </c>
      <c r="K224" s="1282">
        <v>0</v>
      </c>
      <c r="L224" s="1282">
        <v>821469</v>
      </c>
      <c r="M224" s="1282">
        <f>SUM(M221:M223)</f>
        <v>0</v>
      </c>
      <c r="N224" s="1283"/>
      <c r="O224" s="1869">
        <f t="shared" si="16"/>
        <v>0</v>
      </c>
      <c r="P224" s="1282">
        <f>SUM(P221:P223)</f>
        <v>0</v>
      </c>
      <c r="Q224" s="1284"/>
      <c r="R224" s="1284"/>
      <c r="S224" s="1285"/>
      <c r="T224" s="1190">
        <f>'Výdaje kapitol celkem'!DD69</f>
        <v>0</v>
      </c>
      <c r="U224" s="1191">
        <f>+T224-M224</f>
        <v>0</v>
      </c>
    </row>
    <row r="225" spans="1:21" s="1264" customFormat="1" ht="12" hidden="1" customHeight="1" outlineLevel="1" x14ac:dyDescent="0.25">
      <c r="A225" s="1210"/>
      <c r="B225" s="1170" t="s">
        <v>560</v>
      </c>
      <c r="C225" s="1265" t="s">
        <v>878</v>
      </c>
      <c r="D225" s="1265"/>
      <c r="E225" s="1266"/>
      <c r="F225" s="1266"/>
      <c r="G225" s="1267"/>
      <c r="H225" s="1287" t="s">
        <v>761</v>
      </c>
      <c r="I225" s="1171">
        <v>0</v>
      </c>
      <c r="J225" s="1171">
        <v>0</v>
      </c>
      <c r="K225" s="1171">
        <v>0</v>
      </c>
      <c r="L225" s="1171">
        <v>8425000</v>
      </c>
      <c r="M225" s="1171"/>
      <c r="N225" s="1174"/>
      <c r="O225" s="1866">
        <f t="shared" si="16"/>
        <v>0</v>
      </c>
      <c r="P225" s="1171"/>
      <c r="Q225" s="1173"/>
      <c r="R225" s="1173"/>
      <c r="S225" s="1171"/>
      <c r="T225" s="1138"/>
      <c r="U225" s="1139"/>
    </row>
    <row r="226" spans="1:21" s="1264" customFormat="1" ht="15" hidden="1" customHeight="1" outlineLevel="1" x14ac:dyDescent="0.25">
      <c r="A226" s="1302"/>
      <c r="B226" s="1170" t="s">
        <v>560</v>
      </c>
      <c r="C226" s="1265" t="s">
        <v>880</v>
      </c>
      <c r="D226" s="1265"/>
      <c r="E226" s="1266"/>
      <c r="F226" s="1266"/>
      <c r="G226" s="1267"/>
      <c r="H226" s="1231" t="s">
        <v>761</v>
      </c>
      <c r="I226" s="1171">
        <v>10000</v>
      </c>
      <c r="J226" s="1171"/>
      <c r="K226" s="1171"/>
      <c r="L226" s="1171"/>
      <c r="M226" s="1171"/>
      <c r="N226" s="1174"/>
      <c r="O226" s="1866">
        <f t="shared" si="16"/>
        <v>0</v>
      </c>
      <c r="P226" s="1171"/>
      <c r="Q226" s="1303"/>
      <c r="R226" s="1303"/>
      <c r="S226" s="1171"/>
      <c r="T226" s="1138"/>
      <c r="U226" s="1139"/>
    </row>
    <row r="227" spans="1:21" s="1264" customFormat="1" ht="15" hidden="1" customHeight="1" outlineLevel="1" x14ac:dyDescent="0.25">
      <c r="A227" s="1302"/>
      <c r="B227" s="1170" t="s">
        <v>560</v>
      </c>
      <c r="C227" s="1265" t="s">
        <v>1105</v>
      </c>
      <c r="D227" s="1265"/>
      <c r="E227" s="1266"/>
      <c r="F227" s="1266"/>
      <c r="G227" s="1267"/>
      <c r="H227" s="1231" t="s">
        <v>761</v>
      </c>
      <c r="I227" s="1171">
        <v>100000</v>
      </c>
      <c r="J227" s="1171"/>
      <c r="K227" s="1171"/>
      <c r="L227" s="1171"/>
      <c r="M227" s="1171"/>
      <c r="N227" s="1174"/>
      <c r="O227" s="1866">
        <f t="shared" si="16"/>
        <v>0</v>
      </c>
      <c r="P227" s="1171"/>
      <c r="Q227" s="1303"/>
      <c r="R227" s="1303"/>
      <c r="S227" s="1171"/>
      <c r="T227" s="1138"/>
      <c r="U227" s="1139"/>
    </row>
    <row r="228" spans="1:21" s="1264" customFormat="1" ht="12" hidden="1" customHeight="1" outlineLevel="1" x14ac:dyDescent="0.25">
      <c r="A228" s="1210"/>
      <c r="B228" s="1257"/>
      <c r="C228" s="1270" t="s">
        <v>1688</v>
      </c>
      <c r="D228" s="1270"/>
      <c r="E228" s="1271"/>
      <c r="F228" s="1271"/>
      <c r="G228" s="1272"/>
      <c r="H228" s="1271" t="s">
        <v>957</v>
      </c>
      <c r="I228" s="1258">
        <v>481621</v>
      </c>
      <c r="J228" s="1258"/>
      <c r="K228" s="1258"/>
      <c r="L228" s="1258"/>
      <c r="M228" s="1258"/>
      <c r="N228" s="1259"/>
      <c r="O228" s="1868">
        <f t="shared" si="16"/>
        <v>0</v>
      </c>
      <c r="P228" s="1258"/>
      <c r="Q228" s="1173"/>
      <c r="R228" s="1173"/>
      <c r="S228" s="1171"/>
      <c r="T228" s="1138"/>
      <c r="U228" s="1139"/>
    </row>
    <row r="229" spans="1:21" s="1264" customFormat="1" ht="12" hidden="1" customHeight="1" outlineLevel="1" x14ac:dyDescent="0.25">
      <c r="A229" s="1210"/>
      <c r="B229" s="1257"/>
      <c r="C229" s="1270" t="s">
        <v>1689</v>
      </c>
      <c r="D229" s="1270"/>
      <c r="E229" s="1271"/>
      <c r="F229" s="1271"/>
      <c r="G229" s="1272"/>
      <c r="H229" s="1271" t="s">
        <v>957</v>
      </c>
      <c r="I229" s="1258">
        <v>608403</v>
      </c>
      <c r="J229" s="1258"/>
      <c r="K229" s="1258"/>
      <c r="L229" s="1258"/>
      <c r="M229" s="1258"/>
      <c r="N229" s="1259"/>
      <c r="O229" s="1868">
        <f t="shared" si="16"/>
        <v>0</v>
      </c>
      <c r="P229" s="1258"/>
      <c r="Q229" s="1173"/>
      <c r="R229" s="1173"/>
      <c r="S229" s="1171"/>
      <c r="T229" s="1138"/>
      <c r="U229" s="1139"/>
    </row>
    <row r="230" spans="1:21" s="1264" customFormat="1" ht="12" hidden="1" customHeight="1" outlineLevel="1" thickBot="1" x14ac:dyDescent="0.3">
      <c r="A230" s="1210"/>
      <c r="B230" s="1257" t="s">
        <v>560</v>
      </c>
      <c r="C230" s="1270" t="s">
        <v>1690</v>
      </c>
      <c r="D230" s="1270"/>
      <c r="E230" s="1271"/>
      <c r="F230" s="1271"/>
      <c r="G230" s="1272"/>
      <c r="H230" s="1271" t="s">
        <v>957</v>
      </c>
      <c r="I230" s="1258">
        <v>145200</v>
      </c>
      <c r="J230" s="1258"/>
      <c r="K230" s="1258"/>
      <c r="L230" s="1258"/>
      <c r="M230" s="1258"/>
      <c r="N230" s="1259"/>
      <c r="O230" s="1868">
        <f t="shared" si="16"/>
        <v>0</v>
      </c>
      <c r="P230" s="1258"/>
      <c r="Q230" s="1173"/>
      <c r="R230" s="1173"/>
      <c r="S230" s="1171"/>
      <c r="T230" s="1138"/>
      <c r="U230" s="1139"/>
    </row>
    <row r="231" spans="1:21" s="1215" customFormat="1" ht="14.25" collapsed="1" thickBot="1" x14ac:dyDescent="0.3">
      <c r="A231" s="1277" t="s">
        <v>215</v>
      </c>
      <c r="B231" s="1278" t="s">
        <v>193</v>
      </c>
      <c r="C231" s="1279"/>
      <c r="D231" s="1279"/>
      <c r="E231" s="1280"/>
      <c r="F231" s="1280"/>
      <c r="G231" s="1281"/>
      <c r="H231" s="1280"/>
      <c r="I231" s="1282">
        <f>SUM(I225:I230)</f>
        <v>1345224</v>
      </c>
      <c r="J231" s="1282">
        <v>6000000</v>
      </c>
      <c r="K231" s="1282">
        <v>6300000</v>
      </c>
      <c r="L231" s="1282">
        <v>8425000</v>
      </c>
      <c r="M231" s="1282">
        <f>SUM(M225:M230)</f>
        <v>0</v>
      </c>
      <c r="N231" s="1283"/>
      <c r="O231" s="1869">
        <f t="shared" si="16"/>
        <v>0</v>
      </c>
      <c r="P231" s="1282">
        <f>SUM(P225:P230)</f>
        <v>0</v>
      </c>
      <c r="Q231" s="1284"/>
      <c r="R231" s="1284"/>
      <c r="S231" s="1285"/>
      <c r="T231" s="1190">
        <f>'Výdaje kapitol celkem'!DH69</f>
        <v>0</v>
      </c>
      <c r="U231" s="1191">
        <f>+T231-M231</f>
        <v>0</v>
      </c>
    </row>
    <row r="232" spans="1:21" s="1264" customFormat="1" ht="15" customHeight="1" outlineLevel="1" x14ac:dyDescent="0.25">
      <c r="A232" s="1302"/>
      <c r="B232" s="1170" t="s">
        <v>195</v>
      </c>
      <c r="C232" s="1265" t="s">
        <v>740</v>
      </c>
      <c r="D232" s="1265"/>
      <c r="E232" s="1266"/>
      <c r="F232" s="1266"/>
      <c r="G232" s="1267"/>
      <c r="H232" s="1287" t="s">
        <v>761</v>
      </c>
      <c r="I232" s="1171">
        <v>170000</v>
      </c>
      <c r="J232" s="1171">
        <v>0</v>
      </c>
      <c r="K232" s="1171">
        <v>0</v>
      </c>
      <c r="L232" s="1171">
        <v>70000</v>
      </c>
      <c r="M232" s="1171">
        <f>[5]Cyklostezky!$B$7</f>
        <v>0</v>
      </c>
      <c r="N232" s="1174"/>
      <c r="O232" s="1866">
        <f t="shared" si="16"/>
        <v>0</v>
      </c>
      <c r="P232" s="1171"/>
      <c r="Q232" s="1303"/>
      <c r="R232" s="1303"/>
      <c r="S232" s="1171"/>
      <c r="T232" s="1138"/>
      <c r="U232" s="1139"/>
    </row>
    <row r="233" spans="1:21" s="1264" customFormat="1" ht="15" hidden="1" customHeight="1" outlineLevel="1" x14ac:dyDescent="0.25">
      <c r="A233" s="1302"/>
      <c r="B233" s="1170" t="s">
        <v>195</v>
      </c>
      <c r="C233" s="1265" t="s">
        <v>295</v>
      </c>
      <c r="D233" s="1265"/>
      <c r="E233" s="1266"/>
      <c r="F233" s="1266"/>
      <c r="G233" s="1267"/>
      <c r="H233" s="1231" t="s">
        <v>761</v>
      </c>
      <c r="I233" s="1171">
        <v>0</v>
      </c>
      <c r="J233" s="1171">
        <v>0</v>
      </c>
      <c r="K233" s="1171">
        <v>0</v>
      </c>
      <c r="L233" s="1171">
        <v>0</v>
      </c>
      <c r="M233" s="1171"/>
      <c r="N233" s="1174"/>
      <c r="O233" s="1866">
        <f t="shared" si="16"/>
        <v>0</v>
      </c>
      <c r="P233" s="1171"/>
      <c r="Q233" s="1303"/>
      <c r="R233" s="1303"/>
      <c r="S233" s="1171"/>
      <c r="T233" s="1138"/>
      <c r="U233" s="1139"/>
    </row>
    <row r="234" spans="1:21" s="1264" customFormat="1" ht="15" hidden="1" customHeight="1" outlineLevel="1" x14ac:dyDescent="0.25">
      <c r="A234" s="1302"/>
      <c r="B234" s="1170" t="s">
        <v>195</v>
      </c>
      <c r="C234" s="1265" t="s">
        <v>694</v>
      </c>
      <c r="D234" s="1265"/>
      <c r="E234" s="1266"/>
      <c r="F234" s="1266"/>
      <c r="G234" s="1267"/>
      <c r="H234" s="1231" t="s">
        <v>761</v>
      </c>
      <c r="I234" s="1171"/>
      <c r="J234" s="1171">
        <v>0</v>
      </c>
      <c r="K234" s="1171">
        <v>0</v>
      </c>
      <c r="L234" s="1171">
        <v>0</v>
      </c>
      <c r="M234" s="1171"/>
      <c r="N234" s="1174"/>
      <c r="O234" s="1866">
        <f t="shared" si="16"/>
        <v>0</v>
      </c>
      <c r="P234" s="1171"/>
      <c r="Q234" s="1303"/>
      <c r="R234" s="1303"/>
      <c r="S234" s="1171"/>
      <c r="T234" s="1138"/>
      <c r="U234" s="1139"/>
    </row>
    <row r="235" spans="1:21" s="1264" customFormat="1" ht="14.25" outlineLevel="1" thickBot="1" x14ac:dyDescent="0.3">
      <c r="A235" s="1304"/>
      <c r="B235" s="1239" t="s">
        <v>195</v>
      </c>
      <c r="C235" s="1239" t="s">
        <v>693</v>
      </c>
      <c r="D235" s="1239"/>
      <c r="E235" s="1237"/>
      <c r="F235" s="1237"/>
      <c r="G235" s="1238"/>
      <c r="H235" s="1212" t="s">
        <v>761</v>
      </c>
      <c r="I235" s="1179">
        <v>0</v>
      </c>
      <c r="J235" s="1179"/>
      <c r="K235" s="1179"/>
      <c r="L235" s="1179"/>
      <c r="M235" s="1179"/>
      <c r="N235" s="1209"/>
      <c r="O235" s="1865">
        <f t="shared" si="16"/>
        <v>0</v>
      </c>
      <c r="P235" s="1179"/>
      <c r="Q235" s="1305"/>
      <c r="R235" s="1305"/>
      <c r="S235" s="1171"/>
      <c r="T235" s="1138"/>
      <c r="U235" s="1139"/>
    </row>
    <row r="236" spans="1:21" s="1215" customFormat="1" ht="14.25" thickBot="1" x14ac:dyDescent="0.3">
      <c r="A236" s="2314" t="s">
        <v>756</v>
      </c>
      <c r="B236" s="2315"/>
      <c r="C236" s="1183"/>
      <c r="D236" s="1183"/>
      <c r="E236" s="1184"/>
      <c r="F236" s="1184"/>
      <c r="G236" s="1185"/>
      <c r="H236" s="1184"/>
      <c r="I236" s="1186">
        <f t="shared" ref="I236:M236" si="20">SUM(I232:I235)</f>
        <v>170000</v>
      </c>
      <c r="J236" s="1186">
        <v>0</v>
      </c>
      <c r="K236" s="1186">
        <v>0</v>
      </c>
      <c r="L236" s="1186">
        <v>70000</v>
      </c>
      <c r="M236" s="1186">
        <f t="shared" si="20"/>
        <v>0</v>
      </c>
      <c r="N236" s="1187"/>
      <c r="O236" s="1861">
        <f t="shared" si="16"/>
        <v>0</v>
      </c>
      <c r="P236" s="1186">
        <f t="shared" ref="P236" si="21">SUM(P232:P235)</f>
        <v>0</v>
      </c>
      <c r="Q236" s="1188"/>
      <c r="R236" s="1188"/>
      <c r="S236" s="1189"/>
      <c r="T236" s="1190">
        <f>'Výdaje kapitol celkem'!DL69</f>
        <v>0</v>
      </c>
      <c r="U236" s="1191">
        <f>+T236-M236</f>
        <v>0</v>
      </c>
    </row>
    <row r="237" spans="1:21" s="1315" customFormat="1" ht="20.25" customHeight="1" thickBot="1" x14ac:dyDescent="0.3">
      <c r="A237" s="1306"/>
      <c r="B237" s="1307"/>
      <c r="C237" s="1308" t="s">
        <v>2</v>
      </c>
      <c r="D237" s="1308"/>
      <c r="E237" s="1309"/>
      <c r="F237" s="1309"/>
      <c r="G237" s="1310"/>
      <c r="H237" s="1309"/>
      <c r="I237" s="1311">
        <f>+I236+I231+I208+I203+I200+I197+I194+I193+I190+I177+I176+I119+I112+I109+I100+I95+I90+I86+I81+I78+I74+I69+I65+I60+I57+I52+I37+I25+I22+I18+I14+I212+I216+I224</f>
        <v>13521128</v>
      </c>
      <c r="J237" s="1311">
        <v>22416896</v>
      </c>
      <c r="K237" s="1311">
        <v>29636596</v>
      </c>
      <c r="L237" s="1311">
        <v>48621169</v>
      </c>
      <c r="M237" s="1311">
        <f>+M236+M231+M208+M203+M200+M197+M194+M193+M190+M177+M176+M119+M112+M109+M100+M95+M90+M86+M81+M78+M74+M69+M65+M60+M57+M52+M37+M25+M22+M18+M14+M212+M216+M224+M220+M105</f>
        <v>16196108.68</v>
      </c>
      <c r="N237" s="1312"/>
      <c r="O237" s="1871">
        <f t="shared" si="16"/>
        <v>14200332.609999999</v>
      </c>
      <c r="P237" s="1311">
        <f>+P236+P231+P208+P203+P200+P197+P194+P193+P190+P177+P176+P119+P112+P109+P100+P95+P90+P86+P81+P78+P74+P69+P65+P60+P57+P52+P37+P25+P22+P18+P14+P212+P216</f>
        <v>1995776.07</v>
      </c>
      <c r="Q237" s="1313"/>
      <c r="R237" s="1313"/>
      <c r="S237" s="1314"/>
      <c r="T237" s="1138"/>
      <c r="U237" s="1214"/>
    </row>
    <row r="238" spans="1:21" x14ac:dyDescent="0.25">
      <c r="A238" s="1135"/>
      <c r="B238" s="1135"/>
      <c r="C238" s="1135"/>
      <c r="D238" s="1135"/>
      <c r="E238" s="1137"/>
      <c r="F238" s="1137"/>
      <c r="G238" s="1137"/>
      <c r="H238" s="1137"/>
      <c r="I238" s="1316">
        <f>+'Výdaje kapitol celkem'!D57+'Výdaje kapitol celkem'!D58+'Výdaje kapitol celkem'!D59+'Výdaje kapitol celkem'!D60+'Výdaje kapitol celkem'!D61+'Výdaje kapitol celkem'!D62+'Výdaje kapitol celkem'!D63+'Výdaje kapitol celkem'!D64+'Výdaje kapitol celkem'!D66</f>
        <v>85054668</v>
      </c>
      <c r="J238" s="1316">
        <v>22416896</v>
      </c>
      <c r="K238" s="1316">
        <v>29636596</v>
      </c>
      <c r="L238" s="1316">
        <v>48621169</v>
      </c>
      <c r="M238" s="1316">
        <f>+'Výdaje kapitol celkem'!H57+'Výdaje kapitol celkem'!H58+'Výdaje kapitol celkem'!H59+'Výdaje kapitol celkem'!H60+'Výdaje kapitol celkem'!H61+'Výdaje kapitol celkem'!H62+'Výdaje kapitol celkem'!H64+'Výdaje kapitol celkem'!H66</f>
        <v>16196108.68</v>
      </c>
      <c r="N238" s="1317"/>
      <c r="O238" s="1855"/>
      <c r="P238" s="1316"/>
      <c r="Q238" s="1318"/>
      <c r="R238" s="1318"/>
      <c r="S238" s="1316"/>
      <c r="T238" s="1138"/>
      <c r="U238" s="1139"/>
    </row>
    <row r="239" spans="1:21" x14ac:dyDescent="0.25">
      <c r="A239" s="1135"/>
      <c r="B239" s="1135"/>
      <c r="C239" s="1135"/>
      <c r="D239" s="1135"/>
      <c r="E239" s="1137"/>
      <c r="F239" s="1137"/>
      <c r="G239" s="1137"/>
      <c r="H239" s="1137"/>
      <c r="I239" s="1317">
        <f>+I238-I237</f>
        <v>71533540</v>
      </c>
      <c r="J239" s="1317">
        <v>0</v>
      </c>
      <c r="K239" s="1317">
        <v>0</v>
      </c>
      <c r="L239" s="1317">
        <v>0</v>
      </c>
      <c r="M239" s="1317">
        <f>+M238-M237</f>
        <v>0</v>
      </c>
      <c r="N239" s="1317"/>
      <c r="O239" s="1872"/>
      <c r="P239" s="1316"/>
      <c r="Q239" s="1318"/>
      <c r="R239" s="1318"/>
      <c r="S239" s="1316"/>
      <c r="T239" s="1138"/>
      <c r="U239" s="1139"/>
    </row>
    <row r="240" spans="1:21" x14ac:dyDescent="0.25">
      <c r="A240" s="1319" t="s">
        <v>650</v>
      </c>
      <c r="B240" s="1135"/>
      <c r="C240" s="1135"/>
      <c r="D240" s="1135"/>
      <c r="E240" s="1137"/>
      <c r="F240" s="1137"/>
      <c r="G240" s="1137"/>
      <c r="H240" s="1137"/>
      <c r="I240" s="1320"/>
      <c r="J240" s="1320"/>
      <c r="K240" s="1320"/>
      <c r="L240" s="1320"/>
      <c r="M240" s="1320"/>
      <c r="N240" s="1321"/>
      <c r="O240" s="1855"/>
      <c r="P240" s="1135"/>
      <c r="Q240" s="1137"/>
      <c r="R240" s="1137"/>
      <c r="S240" s="1135"/>
      <c r="T240" s="1138"/>
      <c r="U240" s="1139"/>
    </row>
  </sheetData>
  <sheetProtection algorithmName="SHA-512" hashValue="bZ2c7KtTF9qifLEo44YkBrtfUdTJEMmaN9t24MXsMlGIB4n2pD/kNDlk20PB8ADQUU6B49D6kwV2Dtc4JWc1IQ==" saltValue="feIASbkO6QdMFyXvG0IEJA==" spinCount="100000" sheet="1" objects="1" scenarios="1"/>
  <mergeCells count="26">
    <mergeCell ref="A236:B236"/>
    <mergeCell ref="A112:B112"/>
    <mergeCell ref="A193:B193"/>
    <mergeCell ref="A197:B197"/>
    <mergeCell ref="A81:B81"/>
    <mergeCell ref="A86:B86"/>
    <mergeCell ref="A95:B95"/>
    <mergeCell ref="A100:B100"/>
    <mergeCell ref="A109:B109"/>
    <mergeCell ref="A176:B176"/>
    <mergeCell ref="A190:B190"/>
    <mergeCell ref="A105:B105"/>
    <mergeCell ref="A14:B14"/>
    <mergeCell ref="A90:B90"/>
    <mergeCell ref="A119:B119"/>
    <mergeCell ref="A18:B18"/>
    <mergeCell ref="A22:B22"/>
    <mergeCell ref="A25:B25"/>
    <mergeCell ref="A37:B37"/>
    <mergeCell ref="A52:B52"/>
    <mergeCell ref="A57:B57"/>
    <mergeCell ref="A60:B60"/>
    <mergeCell ref="A65:B65"/>
    <mergeCell ref="A69:B69"/>
    <mergeCell ref="A74:B74"/>
    <mergeCell ref="A78:B78"/>
  </mergeCells>
  <pageMargins left="0.23622047244094491" right="0.23622047244094491" top="0.35433070866141736" bottom="0.35433070866141736" header="0.31496062992125984" footer="0.31496062992125984"/>
  <pageSetup paperSize="9" scale="59" fitToHeight="3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="87" zoomScaleNormal="87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21" sqref="H20:H21"/>
    </sheetView>
  </sheetViews>
  <sheetFormatPr defaultColWidth="9.140625" defaultRowHeight="13.5" outlineLevelRow="1" x14ac:dyDescent="0.25"/>
  <cols>
    <col min="1" max="2" width="9.7109375" style="759" customWidth="1"/>
    <col min="3" max="3" width="63.7109375" style="759" customWidth="1"/>
    <col min="4" max="4" width="14.28515625" style="762" hidden="1" customWidth="1"/>
    <col min="5" max="7" width="13.42578125" style="762" hidden="1" customWidth="1"/>
    <col min="8" max="8" width="14.28515625" style="762" bestFit="1" customWidth="1"/>
    <col min="9" max="9" width="12" style="763" hidden="1" customWidth="1"/>
    <col min="10" max="10" width="10.7109375" style="1376" bestFit="1" customWidth="1"/>
    <col min="11" max="11" width="10.7109375" style="993" bestFit="1" customWidth="1"/>
    <col min="12" max="16384" width="9.140625" style="759"/>
  </cols>
  <sheetData>
    <row r="1" spans="1:12" s="780" customFormat="1" ht="24" customHeight="1" x14ac:dyDescent="0.3">
      <c r="A1" s="1326" t="s">
        <v>1955</v>
      </c>
      <c r="B1" s="1326"/>
      <c r="C1" s="1327"/>
      <c r="D1" s="1328"/>
      <c r="E1" s="1328"/>
      <c r="F1" s="1328"/>
      <c r="G1" s="1328"/>
      <c r="H1" s="1328"/>
      <c r="I1" s="1329"/>
      <c r="J1" s="1330"/>
      <c r="K1" s="1331"/>
    </row>
    <row r="2" spans="1:12" s="1336" customFormat="1" ht="20.25" customHeight="1" x14ac:dyDescent="0.3">
      <c r="A2" s="2317" t="s">
        <v>886</v>
      </c>
      <c r="B2" s="2317"/>
      <c r="C2" s="2318"/>
      <c r="D2" s="1332"/>
      <c r="E2" s="1332"/>
      <c r="F2" s="1332"/>
      <c r="G2" s="1332"/>
      <c r="H2" s="1332"/>
      <c r="I2" s="1333"/>
      <c r="J2" s="1334"/>
      <c r="K2" s="1335"/>
    </row>
    <row r="3" spans="1:12" ht="14.25" thickBot="1" x14ac:dyDescent="0.3">
      <c r="A3" s="876"/>
      <c r="B3" s="876"/>
      <c r="C3" s="876"/>
      <c r="D3" s="1337"/>
      <c r="E3" s="1337"/>
      <c r="F3" s="1337"/>
      <c r="G3" s="1337"/>
      <c r="H3" s="885"/>
      <c r="I3" s="1338"/>
      <c r="J3" s="1339"/>
      <c r="K3" s="1340"/>
    </row>
    <row r="4" spans="1:12" ht="27.75" thickBot="1" x14ac:dyDescent="0.3">
      <c r="A4" s="1341" t="s">
        <v>1</v>
      </c>
      <c r="B4" s="1342" t="s">
        <v>90</v>
      </c>
      <c r="C4" s="1343" t="s">
        <v>6</v>
      </c>
      <c r="D4" s="1344" t="s">
        <v>1701</v>
      </c>
      <c r="E4" s="1344" t="s">
        <v>1289</v>
      </c>
      <c r="F4" s="1344" t="s">
        <v>1677</v>
      </c>
      <c r="G4" s="1344" t="s">
        <v>1748</v>
      </c>
      <c r="H4" s="1344" t="s">
        <v>1957</v>
      </c>
      <c r="I4" s="1345" t="s">
        <v>5</v>
      </c>
      <c r="J4" s="1339" t="s">
        <v>1067</v>
      </c>
      <c r="K4" s="1340" t="s">
        <v>883</v>
      </c>
    </row>
    <row r="5" spans="1:12" ht="15.75" hidden="1" customHeight="1" outlineLevel="1" x14ac:dyDescent="0.25">
      <c r="A5" s="1346">
        <v>6409</v>
      </c>
      <c r="B5" s="1347">
        <v>5137</v>
      </c>
      <c r="C5" s="1348" t="s">
        <v>601</v>
      </c>
      <c r="D5" s="1349"/>
      <c r="E5" s="1349"/>
      <c r="F5" s="1349"/>
      <c r="G5" s="1349"/>
      <c r="H5" s="1349"/>
      <c r="I5" s="1350"/>
      <c r="J5" s="1339"/>
      <c r="K5" s="1340"/>
    </row>
    <row r="6" spans="1:12" ht="15.75" hidden="1" customHeight="1" outlineLevel="1" x14ac:dyDescent="0.25">
      <c r="A6" s="1351">
        <v>6409</v>
      </c>
      <c r="B6" s="1352">
        <v>5137</v>
      </c>
      <c r="C6" s="1353" t="s">
        <v>789</v>
      </c>
      <c r="D6" s="1354"/>
      <c r="E6" s="1354"/>
      <c r="F6" s="1354"/>
      <c r="G6" s="1354"/>
      <c r="H6" s="1354"/>
      <c r="I6" s="1355"/>
      <c r="J6" s="1339"/>
      <c r="K6" s="1340"/>
    </row>
    <row r="7" spans="1:12" s="991" customFormat="1" ht="16.5" customHeight="1" collapsed="1" thickBot="1" x14ac:dyDescent="0.3">
      <c r="A7" s="1356"/>
      <c r="B7" s="1357"/>
      <c r="C7" s="1358" t="s">
        <v>589</v>
      </c>
      <c r="D7" s="1359">
        <v>0</v>
      </c>
      <c r="E7" s="1359">
        <v>0</v>
      </c>
      <c r="F7" s="1359">
        <v>0</v>
      </c>
      <c r="G7" s="1359">
        <v>0</v>
      </c>
      <c r="H7" s="1359">
        <f>SUM(H5:H6)</f>
        <v>0</v>
      </c>
      <c r="I7" s="1360"/>
      <c r="J7" s="657">
        <f>'Výdaje kapitol celkem'!L21</f>
        <v>0</v>
      </c>
      <c r="K7" s="720">
        <f>+J7-H7</f>
        <v>0</v>
      </c>
      <c r="L7" s="855"/>
    </row>
    <row r="8" spans="1:12" ht="15.75" customHeight="1" outlineLevel="1" x14ac:dyDescent="0.25">
      <c r="A8" s="1346">
        <v>6112</v>
      </c>
      <c r="B8" s="1347">
        <v>5137</v>
      </c>
      <c r="C8" s="1348">
        <v>0</v>
      </c>
      <c r="D8" s="1349">
        <v>50000</v>
      </c>
      <c r="E8" s="1349">
        <v>50000</v>
      </c>
      <c r="F8" s="1349">
        <v>50000</v>
      </c>
      <c r="G8" s="1349">
        <v>50000</v>
      </c>
      <c r="H8" s="1349">
        <f>[3]Zastupitelé!$B$11</f>
        <v>50000</v>
      </c>
      <c r="I8" s="1350"/>
      <c r="J8" s="1339"/>
      <c r="K8" s="1340"/>
    </row>
    <row r="9" spans="1:12" ht="15.75" customHeight="1" outlineLevel="1" x14ac:dyDescent="0.25">
      <c r="A9" s="1351">
        <v>6112</v>
      </c>
      <c r="B9" s="1352">
        <v>5137</v>
      </c>
      <c r="C9" s="1353" t="s">
        <v>2000</v>
      </c>
      <c r="D9" s="1354">
        <v>0</v>
      </c>
      <c r="E9" s="1354">
        <v>0</v>
      </c>
      <c r="F9" s="1354">
        <v>35000</v>
      </c>
      <c r="G9" s="1354">
        <v>35000</v>
      </c>
      <c r="H9" s="1354">
        <f>[3]Zastupitelé!$B$12</f>
        <v>35000</v>
      </c>
      <c r="I9" s="1355"/>
      <c r="J9" s="1339"/>
      <c r="K9" s="1340"/>
    </row>
    <row r="10" spans="1:12" s="991" customFormat="1" ht="16.5" customHeight="1" thickBot="1" x14ac:dyDescent="0.3">
      <c r="A10" s="1356"/>
      <c r="B10" s="1357"/>
      <c r="C10" s="1358" t="s">
        <v>590</v>
      </c>
      <c r="D10" s="1359">
        <v>50000</v>
      </c>
      <c r="E10" s="1359">
        <v>50000</v>
      </c>
      <c r="F10" s="1359">
        <v>85000</v>
      </c>
      <c r="G10" s="1359">
        <v>85000</v>
      </c>
      <c r="H10" s="1359">
        <f>SUM(H8:H9)</f>
        <v>85000</v>
      </c>
      <c r="I10" s="1360"/>
      <c r="J10" s="657">
        <f>'Výdaje kapitol celkem'!M21</f>
        <v>85000</v>
      </c>
      <c r="K10" s="720">
        <f>+J10-H10</f>
        <v>0</v>
      </c>
      <c r="L10" s="855"/>
    </row>
    <row r="11" spans="1:12" ht="15.75" hidden="1" customHeight="1" outlineLevel="1" x14ac:dyDescent="0.25">
      <c r="A11" s="1346">
        <v>6117</v>
      </c>
      <c r="B11" s="1347">
        <v>5137</v>
      </c>
      <c r="C11" s="1348"/>
      <c r="D11" s="1349">
        <v>26640</v>
      </c>
      <c r="E11" s="1349"/>
      <c r="F11" s="1349"/>
      <c r="G11" s="1349"/>
      <c r="H11" s="1349"/>
      <c r="I11" s="1350"/>
      <c r="J11" s="1339"/>
      <c r="K11" s="1340"/>
    </row>
    <row r="12" spans="1:12" ht="15.75" hidden="1" customHeight="1" outlineLevel="1" x14ac:dyDescent="0.25">
      <c r="A12" s="1351">
        <v>6117</v>
      </c>
      <c r="B12" s="1352">
        <v>5137</v>
      </c>
      <c r="C12" s="1353">
        <v>0</v>
      </c>
      <c r="D12" s="1354">
        <v>0</v>
      </c>
      <c r="E12" s="1354"/>
      <c r="F12" s="1354"/>
      <c r="G12" s="1354"/>
      <c r="H12" s="1354"/>
      <c r="I12" s="1355"/>
      <c r="J12" s="1339"/>
      <c r="K12" s="1340"/>
    </row>
    <row r="13" spans="1:12" s="991" customFormat="1" ht="16.5" customHeight="1" collapsed="1" thickBot="1" x14ac:dyDescent="0.3">
      <c r="A13" s="1356"/>
      <c r="B13" s="1357"/>
      <c r="C13" s="1358" t="s">
        <v>1285</v>
      </c>
      <c r="D13" s="1359">
        <v>26640</v>
      </c>
      <c r="E13" s="1359">
        <v>0</v>
      </c>
      <c r="F13" s="1359">
        <v>0</v>
      </c>
      <c r="G13" s="1359">
        <v>0</v>
      </c>
      <c r="H13" s="1359">
        <f>SUM(H11:H12)</f>
        <v>0</v>
      </c>
      <c r="I13" s="1360"/>
      <c r="J13" s="657">
        <f>'Výdaje kapitol celkem'!N21</f>
        <v>0</v>
      </c>
      <c r="K13" s="720">
        <f>+J13-H13</f>
        <v>0</v>
      </c>
      <c r="L13" s="855"/>
    </row>
    <row r="14" spans="1:12" ht="15.75" customHeight="1" outlineLevel="1" x14ac:dyDescent="0.25">
      <c r="A14" s="1346">
        <v>6171</v>
      </c>
      <c r="B14" s="1347">
        <v>5137</v>
      </c>
      <c r="C14" s="1348" t="s">
        <v>1300</v>
      </c>
      <c r="D14" s="1349">
        <v>500000</v>
      </c>
      <c r="E14" s="1349">
        <v>600000</v>
      </c>
      <c r="F14" s="1349">
        <v>600000</v>
      </c>
      <c r="G14" s="1349">
        <v>450000</v>
      </c>
      <c r="H14" s="1349">
        <f>[3]Správa!$B$12</f>
        <v>600000</v>
      </c>
      <c r="I14" s="1350"/>
      <c r="J14" s="1339"/>
      <c r="K14" s="1340"/>
    </row>
    <row r="15" spans="1:12" ht="15.75" customHeight="1" outlineLevel="1" x14ac:dyDescent="0.25">
      <c r="A15" s="1351">
        <v>6171</v>
      </c>
      <c r="B15" s="1352">
        <v>5137</v>
      </c>
      <c r="C15" s="1353">
        <v>0</v>
      </c>
      <c r="D15" s="1354">
        <v>0</v>
      </c>
      <c r="E15" s="1354"/>
      <c r="F15" s="1354"/>
      <c r="G15" s="1354"/>
      <c r="H15" s="1354">
        <f>[3]Správa!$B$15</f>
        <v>0</v>
      </c>
      <c r="I15" s="1355"/>
      <c r="J15" s="1339"/>
      <c r="K15" s="1340"/>
    </row>
    <row r="16" spans="1:12" ht="15.75" customHeight="1" outlineLevel="1" x14ac:dyDescent="0.25">
      <c r="A16" s="1351">
        <v>6171</v>
      </c>
      <c r="B16" s="1352">
        <v>5137</v>
      </c>
      <c r="C16" s="1353"/>
      <c r="D16" s="1354"/>
      <c r="E16" s="1354"/>
      <c r="F16" s="1354"/>
      <c r="G16" s="1354"/>
      <c r="H16" s="1354"/>
      <c r="I16" s="1355"/>
      <c r="J16" s="1339"/>
      <c r="K16" s="1340"/>
    </row>
    <row r="17" spans="1:12" s="991" customFormat="1" ht="16.5" customHeight="1" thickBot="1" x14ac:dyDescent="0.3">
      <c r="A17" s="1356"/>
      <c r="B17" s="1357"/>
      <c r="C17" s="1358" t="s">
        <v>249</v>
      </c>
      <c r="D17" s="1359">
        <v>500000</v>
      </c>
      <c r="E17" s="1359">
        <v>600000</v>
      </c>
      <c r="F17" s="1359">
        <v>600000</v>
      </c>
      <c r="G17" s="1359">
        <v>450000</v>
      </c>
      <c r="H17" s="1359">
        <f>SUM(H14:H16)</f>
        <v>600000</v>
      </c>
      <c r="I17" s="1360"/>
      <c r="J17" s="657">
        <f>'Výdaje kapitol celkem'!O21</f>
        <v>600000</v>
      </c>
      <c r="K17" s="720">
        <f>+J17-H17</f>
        <v>0</v>
      </c>
      <c r="L17" s="855"/>
    </row>
    <row r="18" spans="1:12" ht="15.75" customHeight="1" outlineLevel="1" x14ac:dyDescent="0.25">
      <c r="A18" s="1346">
        <v>4351</v>
      </c>
      <c r="B18" s="1347">
        <v>5137</v>
      </c>
      <c r="C18" s="1348">
        <v>0</v>
      </c>
      <c r="D18" s="1349">
        <v>0</v>
      </c>
      <c r="E18" s="1349">
        <v>0</v>
      </c>
      <c r="F18" s="1349">
        <v>0</v>
      </c>
      <c r="G18" s="1349">
        <v>0</v>
      </c>
      <c r="H18" s="1349">
        <f>'[3]Pečovatelská služba'!$B$12</f>
        <v>0</v>
      </c>
      <c r="I18" s="1350"/>
      <c r="J18" s="1339"/>
      <c r="K18" s="720"/>
      <c r="L18" s="855"/>
    </row>
    <row r="19" spans="1:12" ht="15.75" customHeight="1" outlineLevel="1" x14ac:dyDescent="0.25">
      <c r="A19" s="1351">
        <v>4351</v>
      </c>
      <c r="B19" s="1352">
        <v>5137</v>
      </c>
      <c r="C19" s="1353" t="s">
        <v>2001</v>
      </c>
      <c r="D19" s="1354">
        <v>60000</v>
      </c>
      <c r="E19" s="1354">
        <v>60000</v>
      </c>
      <c r="F19" s="1354">
        <v>60000</v>
      </c>
      <c r="G19" s="1354">
        <v>60000</v>
      </c>
      <c r="H19" s="1354">
        <f>'[3]Pečovatelská služba'!$B$13</f>
        <v>60000</v>
      </c>
      <c r="I19" s="1361"/>
      <c r="J19" s="1339"/>
      <c r="K19" s="720"/>
      <c r="L19" s="855"/>
    </row>
    <row r="20" spans="1:12" s="991" customFormat="1" ht="16.5" customHeight="1" thickBot="1" x14ac:dyDescent="0.3">
      <c r="A20" s="1356"/>
      <c r="B20" s="1357"/>
      <c r="C20" s="1358" t="s">
        <v>250</v>
      </c>
      <c r="D20" s="1359">
        <f>SUM(D18:D19)</f>
        <v>60000</v>
      </c>
      <c r="E20" s="1359">
        <v>60000</v>
      </c>
      <c r="F20" s="1359">
        <v>60000</v>
      </c>
      <c r="G20" s="1359">
        <v>60000</v>
      </c>
      <c r="H20" s="1359">
        <f>SUM(H18:H19)</f>
        <v>60000</v>
      </c>
      <c r="I20" s="1360"/>
      <c r="J20" s="657">
        <f>'Výdaje kapitol celkem'!T21</f>
        <v>60000</v>
      </c>
      <c r="K20" s="720">
        <f>+J20-H20</f>
        <v>0</v>
      </c>
      <c r="L20" s="855"/>
    </row>
    <row r="21" spans="1:12" ht="15.75" customHeight="1" outlineLevel="1" x14ac:dyDescent="0.25">
      <c r="A21" s="1346">
        <v>2212</v>
      </c>
      <c r="B21" s="1347">
        <v>5137</v>
      </c>
      <c r="C21" s="1348" t="s">
        <v>1712</v>
      </c>
      <c r="D21" s="1349">
        <v>30000</v>
      </c>
      <c r="E21" s="1349"/>
      <c r="F21" s="1349"/>
      <c r="G21" s="1349"/>
      <c r="H21" s="1349">
        <f>[4]Silnice!$B$5</f>
        <v>50000</v>
      </c>
      <c r="I21" s="1350"/>
      <c r="J21" s="1339"/>
      <c r="K21" s="720"/>
      <c r="L21" s="855"/>
    </row>
    <row r="22" spans="1:12" ht="15.75" hidden="1" customHeight="1" outlineLevel="1" x14ac:dyDescent="0.25">
      <c r="A22" s="1351">
        <v>2212</v>
      </c>
      <c r="B22" s="1352">
        <v>5137</v>
      </c>
      <c r="C22" s="1353" t="s">
        <v>1713</v>
      </c>
      <c r="D22" s="1354">
        <v>18000</v>
      </c>
      <c r="E22" s="1354"/>
      <c r="F22" s="1354"/>
      <c r="G22" s="1354"/>
      <c r="H22" s="1354"/>
      <c r="I22" s="1355"/>
      <c r="J22" s="1339"/>
      <c r="K22" s="720"/>
      <c r="L22" s="855"/>
    </row>
    <row r="23" spans="1:12" ht="15.75" customHeight="1" outlineLevel="1" x14ac:dyDescent="0.25">
      <c r="A23" s="1351">
        <v>2212</v>
      </c>
      <c r="B23" s="1352">
        <v>5137</v>
      </c>
      <c r="C23" s="1353"/>
      <c r="D23" s="1354"/>
      <c r="E23" s="1354"/>
      <c r="F23" s="1354"/>
      <c r="G23" s="1354"/>
      <c r="H23" s="1354"/>
      <c r="I23" s="1361"/>
      <c r="J23" s="1339"/>
      <c r="K23" s="720"/>
      <c r="L23" s="855"/>
    </row>
    <row r="24" spans="1:12" s="991" customFormat="1" ht="16.5" customHeight="1" thickBot="1" x14ac:dyDescent="0.3">
      <c r="A24" s="1356"/>
      <c r="B24" s="1357"/>
      <c r="C24" s="1358" t="s">
        <v>184</v>
      </c>
      <c r="D24" s="1359">
        <f>SUM(D21:D23)</f>
        <v>48000</v>
      </c>
      <c r="E24" s="1359">
        <v>0</v>
      </c>
      <c r="F24" s="1359">
        <v>0</v>
      </c>
      <c r="G24" s="1359">
        <v>0</v>
      </c>
      <c r="H24" s="1359">
        <f>SUM(H21:H23)</f>
        <v>50000</v>
      </c>
      <c r="I24" s="1360"/>
      <c r="J24" s="657">
        <f>'Výdaje kapitol celkem'!BS21</f>
        <v>50000</v>
      </c>
      <c r="K24" s="720">
        <f>+J24-H24</f>
        <v>0</v>
      </c>
      <c r="L24" s="855"/>
    </row>
    <row r="25" spans="1:12" ht="15.75" customHeight="1" outlineLevel="1" x14ac:dyDescent="0.25">
      <c r="A25" s="1346" t="s">
        <v>233</v>
      </c>
      <c r="B25" s="1347">
        <v>5137</v>
      </c>
      <c r="C25" s="1348" t="s">
        <v>2002</v>
      </c>
      <c r="D25" s="1349">
        <v>35000</v>
      </c>
      <c r="E25" s="1349">
        <v>35000</v>
      </c>
      <c r="F25" s="1349">
        <v>35000</v>
      </c>
      <c r="G25" s="1349">
        <v>35000</v>
      </c>
      <c r="H25" s="1349">
        <f>'[3]Městská policie'!$B$19</f>
        <v>70000</v>
      </c>
      <c r="I25" s="1350"/>
      <c r="J25" s="1339"/>
      <c r="K25" s="720"/>
      <c r="L25" s="855"/>
    </row>
    <row r="26" spans="1:12" ht="15.75" customHeight="1" outlineLevel="1" x14ac:dyDescent="0.25">
      <c r="A26" s="1351" t="s">
        <v>233</v>
      </c>
      <c r="B26" s="1352">
        <v>5137</v>
      </c>
      <c r="C26" s="1353" t="s">
        <v>2003</v>
      </c>
      <c r="D26" s="1354">
        <v>80000</v>
      </c>
      <c r="E26" s="1354">
        <v>25000</v>
      </c>
      <c r="F26" s="1354">
        <v>25000</v>
      </c>
      <c r="G26" s="1354">
        <v>25000</v>
      </c>
      <c r="H26" s="1354">
        <f>'[3]Městská policie'!$B$20</f>
        <v>25000</v>
      </c>
      <c r="I26" s="1355"/>
      <c r="J26" s="1339"/>
      <c r="K26" s="720"/>
      <c r="L26" s="855"/>
    </row>
    <row r="27" spans="1:12" ht="15.75" customHeight="1" outlineLevel="1" x14ac:dyDescent="0.25">
      <c r="A27" s="1351" t="s">
        <v>233</v>
      </c>
      <c r="B27" s="1352">
        <v>5137</v>
      </c>
      <c r="C27" s="1353" t="s">
        <v>2004</v>
      </c>
      <c r="D27" s="1354">
        <v>25000</v>
      </c>
      <c r="E27" s="1354">
        <v>80000</v>
      </c>
      <c r="F27" s="1354">
        <v>80000</v>
      </c>
      <c r="G27" s="1354">
        <v>80000</v>
      </c>
      <c r="H27" s="1354">
        <f>'[3]Městská policie'!$B$21</f>
        <v>65000</v>
      </c>
      <c r="I27" s="1361"/>
      <c r="J27" s="1339"/>
      <c r="K27" s="720"/>
      <c r="L27" s="855"/>
    </row>
    <row r="28" spans="1:12" s="991" customFormat="1" ht="16.5" customHeight="1" thickBot="1" x14ac:dyDescent="0.3">
      <c r="A28" s="1356"/>
      <c r="B28" s="1357"/>
      <c r="C28" s="1358" t="s">
        <v>296</v>
      </c>
      <c r="D28" s="1359">
        <v>140000</v>
      </c>
      <c r="E28" s="1359">
        <v>140000</v>
      </c>
      <c r="F28" s="1359">
        <v>140000</v>
      </c>
      <c r="G28" s="1359">
        <v>140000</v>
      </c>
      <c r="H28" s="1359">
        <f>SUM(H25:H27)</f>
        <v>160000</v>
      </c>
      <c r="I28" s="1360"/>
      <c r="J28" s="657">
        <f>'Výdaje kapitol celkem'!V21</f>
        <v>160000</v>
      </c>
      <c r="K28" s="720">
        <f>+J28-H28</f>
        <v>0</v>
      </c>
      <c r="L28" s="855"/>
    </row>
    <row r="29" spans="1:12" ht="15.75" hidden="1" customHeight="1" outlineLevel="1" x14ac:dyDescent="0.25">
      <c r="A29" s="1346">
        <v>3319</v>
      </c>
      <c r="B29" s="1347">
        <v>5137</v>
      </c>
      <c r="C29" s="1348" t="s">
        <v>598</v>
      </c>
      <c r="D29" s="1349"/>
      <c r="E29" s="1349"/>
      <c r="F29" s="1349"/>
      <c r="G29" s="1349"/>
      <c r="H29" s="1349"/>
      <c r="I29" s="1350"/>
      <c r="J29" s="1339"/>
      <c r="K29" s="720"/>
      <c r="L29" s="855"/>
    </row>
    <row r="30" spans="1:12" ht="15.75" hidden="1" customHeight="1" outlineLevel="1" x14ac:dyDescent="0.25">
      <c r="A30" s="1351">
        <v>3319</v>
      </c>
      <c r="B30" s="1352">
        <v>5137</v>
      </c>
      <c r="C30" s="1353" t="s">
        <v>599</v>
      </c>
      <c r="D30" s="1362"/>
      <c r="E30" s="1362"/>
      <c r="F30" s="1362"/>
      <c r="G30" s="1362"/>
      <c r="H30" s="1362"/>
      <c r="I30" s="1361"/>
      <c r="J30" s="1339"/>
      <c r="K30" s="720"/>
      <c r="L30" s="855"/>
    </row>
    <row r="31" spans="1:12" s="991" customFormat="1" ht="16.5" customHeight="1" collapsed="1" thickBot="1" x14ac:dyDescent="0.3">
      <c r="A31" s="1356"/>
      <c r="B31" s="1357"/>
      <c r="C31" s="1358" t="s">
        <v>591</v>
      </c>
      <c r="D31" s="1359">
        <v>0</v>
      </c>
      <c r="E31" s="1359">
        <v>0</v>
      </c>
      <c r="F31" s="1359">
        <v>0</v>
      </c>
      <c r="G31" s="1359">
        <v>0</v>
      </c>
      <c r="H31" s="1359">
        <f>SUM(H29:H30)</f>
        <v>0</v>
      </c>
      <c r="I31" s="1360"/>
      <c r="J31" s="657">
        <f>'Výdaje kapitol celkem'!W21</f>
        <v>0</v>
      </c>
      <c r="K31" s="720">
        <f>+J31-H31</f>
        <v>0</v>
      </c>
      <c r="L31" s="855"/>
    </row>
    <row r="32" spans="1:12" ht="15.75" customHeight="1" outlineLevel="1" x14ac:dyDescent="0.25">
      <c r="A32" s="1346">
        <v>3314</v>
      </c>
      <c r="B32" s="1347">
        <v>5137</v>
      </c>
      <c r="C32" s="1348" t="s">
        <v>2006</v>
      </c>
      <c r="D32" s="1349">
        <v>30000</v>
      </c>
      <c r="E32" s="1349">
        <v>50000</v>
      </c>
      <c r="F32" s="1349">
        <v>50000</v>
      </c>
      <c r="G32" s="1349">
        <v>50000</v>
      </c>
      <c r="H32" s="1349">
        <f>[3]Knihovna!$B$12</f>
        <v>40000</v>
      </c>
      <c r="I32" s="1350"/>
      <c r="J32" s="1339"/>
      <c r="K32" s="720"/>
      <c r="L32" s="855"/>
    </row>
    <row r="33" spans="1:12" ht="15.75" customHeight="1" outlineLevel="1" x14ac:dyDescent="0.25">
      <c r="A33" s="1351">
        <v>3314</v>
      </c>
      <c r="B33" s="1352">
        <v>5137</v>
      </c>
      <c r="C33" s="1353">
        <v>0</v>
      </c>
      <c r="D33" s="1354">
        <v>0</v>
      </c>
      <c r="E33" s="1354"/>
      <c r="F33" s="1354"/>
      <c r="G33" s="1354"/>
      <c r="H33" s="1354">
        <f>[3]Knihovna!$B$13</f>
        <v>30000</v>
      </c>
      <c r="I33" s="1361"/>
      <c r="J33" s="1339"/>
      <c r="K33" s="720"/>
      <c r="L33" s="855"/>
    </row>
    <row r="34" spans="1:12" s="991" customFormat="1" ht="16.5" customHeight="1" thickBot="1" x14ac:dyDescent="0.3">
      <c r="A34" s="1356"/>
      <c r="B34" s="1357"/>
      <c r="C34" s="1358" t="s">
        <v>226</v>
      </c>
      <c r="D34" s="1359">
        <v>30000</v>
      </c>
      <c r="E34" s="1359">
        <v>50000</v>
      </c>
      <c r="F34" s="1359">
        <v>50000</v>
      </c>
      <c r="G34" s="1359">
        <v>50000</v>
      </c>
      <c r="H34" s="1359">
        <f>SUM(H32:H33)</f>
        <v>70000</v>
      </c>
      <c r="I34" s="1360"/>
      <c r="J34" s="657">
        <f>'Výdaje kapitol celkem'!X21</f>
        <v>70000</v>
      </c>
      <c r="K34" s="720">
        <f>+J34-H34</f>
        <v>0</v>
      </c>
      <c r="L34" s="855"/>
    </row>
    <row r="35" spans="1:12" ht="15.75" hidden="1" customHeight="1" outlineLevel="1" x14ac:dyDescent="0.25">
      <c r="A35" s="1346">
        <v>3349</v>
      </c>
      <c r="B35" s="1347">
        <v>5137</v>
      </c>
      <c r="C35" s="1348" t="s">
        <v>600</v>
      </c>
      <c r="D35" s="1349"/>
      <c r="E35" s="1349"/>
      <c r="F35" s="1349"/>
      <c r="G35" s="1349"/>
      <c r="H35" s="1349"/>
      <c r="I35" s="1350"/>
      <c r="J35" s="1339"/>
      <c r="K35" s="720"/>
      <c r="L35" s="855"/>
    </row>
    <row r="36" spans="1:12" s="991" customFormat="1" ht="16.5" customHeight="1" collapsed="1" thickBot="1" x14ac:dyDescent="0.3">
      <c r="A36" s="1356"/>
      <c r="B36" s="1357"/>
      <c r="C36" s="1358" t="s">
        <v>167</v>
      </c>
      <c r="D36" s="1359">
        <v>0</v>
      </c>
      <c r="E36" s="1359">
        <v>0</v>
      </c>
      <c r="F36" s="1359">
        <v>0</v>
      </c>
      <c r="G36" s="1359">
        <v>0</v>
      </c>
      <c r="H36" s="1359">
        <f>SUM(H35)</f>
        <v>0</v>
      </c>
      <c r="I36" s="1360"/>
      <c r="J36" s="657">
        <f>'Výdaje kapitol celkem'!Y21</f>
        <v>0</v>
      </c>
      <c r="K36" s="720">
        <f>+J36-H36</f>
        <v>0</v>
      </c>
      <c r="L36" s="855"/>
    </row>
    <row r="37" spans="1:12" ht="15.75" customHeight="1" outlineLevel="1" x14ac:dyDescent="0.25">
      <c r="A37" s="1346">
        <v>3359</v>
      </c>
      <c r="B37" s="1347">
        <v>5137</v>
      </c>
      <c r="C37" s="1348" t="s">
        <v>1307</v>
      </c>
      <c r="D37" s="1349">
        <v>50000</v>
      </c>
      <c r="E37" s="1349">
        <v>50000</v>
      </c>
      <c r="F37" s="1349">
        <v>50000</v>
      </c>
      <c r="G37" s="1349">
        <v>50000</v>
      </c>
      <c r="H37" s="1349">
        <f>[3]Kultura!$B$5</f>
        <v>150000</v>
      </c>
      <c r="I37" s="1350"/>
      <c r="J37" s="1339"/>
      <c r="K37" s="720"/>
      <c r="L37" s="855"/>
    </row>
    <row r="38" spans="1:12" ht="15.75" hidden="1" customHeight="1" outlineLevel="1" x14ac:dyDescent="0.25">
      <c r="A38" s="1351">
        <v>3359</v>
      </c>
      <c r="B38" s="1352">
        <v>5137</v>
      </c>
      <c r="C38" s="1353">
        <v>0</v>
      </c>
      <c r="D38" s="1354">
        <v>0</v>
      </c>
      <c r="E38" s="1354"/>
      <c r="F38" s="1354"/>
      <c r="G38" s="1354"/>
      <c r="H38" s="1354"/>
      <c r="I38" s="1355"/>
      <c r="J38" s="1339"/>
      <c r="K38" s="720"/>
      <c r="L38" s="855"/>
    </row>
    <row r="39" spans="1:12" ht="15.75" hidden="1" customHeight="1" outlineLevel="1" x14ac:dyDescent="0.25">
      <c r="A39" s="1351">
        <v>3359</v>
      </c>
      <c r="B39" s="1352">
        <v>5137</v>
      </c>
      <c r="C39" s="1353">
        <v>0</v>
      </c>
      <c r="D39" s="1354">
        <v>0</v>
      </c>
      <c r="E39" s="1354"/>
      <c r="F39" s="1354"/>
      <c r="G39" s="1354"/>
      <c r="H39" s="1354"/>
      <c r="I39" s="1355"/>
      <c r="J39" s="1339"/>
      <c r="K39" s="720"/>
      <c r="L39" s="855"/>
    </row>
    <row r="40" spans="1:12" ht="18" hidden="1" customHeight="1" outlineLevel="1" x14ac:dyDescent="0.25">
      <c r="A40" s="1363">
        <v>3359</v>
      </c>
      <c r="B40" s="1352">
        <v>5137</v>
      </c>
      <c r="C40" s="1364">
        <v>0</v>
      </c>
      <c r="D40" s="1365">
        <v>0</v>
      </c>
      <c r="E40" s="1365"/>
      <c r="F40" s="1365"/>
      <c r="G40" s="1365"/>
      <c r="H40" s="1365"/>
      <c r="I40" s="1366"/>
      <c r="J40" s="1339"/>
      <c r="K40" s="720"/>
      <c r="L40" s="855"/>
    </row>
    <row r="41" spans="1:12" ht="16.5" customHeight="1" outlineLevel="1" x14ac:dyDescent="0.25">
      <c r="A41" s="1363">
        <v>3359</v>
      </c>
      <c r="B41" s="1352">
        <v>5137</v>
      </c>
      <c r="C41" s="1364"/>
      <c r="D41" s="1365"/>
      <c r="E41" s="1365"/>
      <c r="F41" s="1365"/>
      <c r="G41" s="1365"/>
      <c r="H41" s="1365">
        <f>[3]Kultura!$B$6</f>
        <v>0</v>
      </c>
      <c r="I41" s="1366"/>
      <c r="J41" s="1339"/>
      <c r="K41" s="720"/>
      <c r="L41" s="855"/>
    </row>
    <row r="42" spans="1:12" s="991" customFormat="1" ht="16.5" customHeight="1" thickBot="1" x14ac:dyDescent="0.3">
      <c r="A42" s="1356"/>
      <c r="B42" s="1357"/>
      <c r="C42" s="1358" t="s">
        <v>592</v>
      </c>
      <c r="D42" s="1359">
        <v>50000</v>
      </c>
      <c r="E42" s="1359">
        <v>50000</v>
      </c>
      <c r="F42" s="1359">
        <v>50000</v>
      </c>
      <c r="G42" s="1359">
        <v>50000</v>
      </c>
      <c r="H42" s="1359">
        <f>SUM(H37:H41)</f>
        <v>150000</v>
      </c>
      <c r="I42" s="1360"/>
      <c r="J42" s="657">
        <f>'Výdaje kapitol celkem'!Z21</f>
        <v>150000</v>
      </c>
      <c r="K42" s="720">
        <f>+J42-H42</f>
        <v>0</v>
      </c>
      <c r="L42" s="855"/>
    </row>
    <row r="43" spans="1:12" ht="15.75" customHeight="1" outlineLevel="1" x14ac:dyDescent="0.25">
      <c r="A43" s="1346">
        <v>3612</v>
      </c>
      <c r="B43" s="1347">
        <v>5137</v>
      </c>
      <c r="C43" s="1348" t="s">
        <v>104</v>
      </c>
      <c r="D43" s="1349">
        <v>100000</v>
      </c>
      <c r="E43" s="1349">
        <v>100000</v>
      </c>
      <c r="F43" s="1349">
        <v>100000</v>
      </c>
      <c r="G43" s="1349">
        <v>100000</v>
      </c>
      <c r="H43" s="1349">
        <f>[4]Byty!$B$5</f>
        <v>100000</v>
      </c>
      <c r="I43" s="1350"/>
      <c r="J43" s="1339"/>
      <c r="K43" s="720"/>
      <c r="L43" s="855"/>
    </row>
    <row r="44" spans="1:12" ht="15.75" customHeight="1" outlineLevel="1" x14ac:dyDescent="0.25">
      <c r="A44" s="1351">
        <v>3612</v>
      </c>
      <c r="B44" s="1352">
        <v>5137</v>
      </c>
      <c r="C44" s="1353">
        <v>0</v>
      </c>
      <c r="D44" s="1354">
        <v>0</v>
      </c>
      <c r="E44" s="1354"/>
      <c r="F44" s="1354"/>
      <c r="G44" s="1354">
        <v>0</v>
      </c>
      <c r="H44" s="1354">
        <f>[4]Byty!$B$6</f>
        <v>0</v>
      </c>
      <c r="I44" s="1355"/>
      <c r="J44" s="1339"/>
      <c r="K44" s="720"/>
      <c r="L44" s="855"/>
    </row>
    <row r="45" spans="1:12" s="991" customFormat="1" ht="16.5" customHeight="1" thickBot="1" x14ac:dyDescent="0.3">
      <c r="A45" s="1356"/>
      <c r="B45" s="1357"/>
      <c r="C45" s="1358" t="s">
        <v>236</v>
      </c>
      <c r="D45" s="1359">
        <v>100000</v>
      </c>
      <c r="E45" s="1359">
        <v>100000</v>
      </c>
      <c r="F45" s="1359">
        <v>100000</v>
      </c>
      <c r="G45" s="1359">
        <v>100000</v>
      </c>
      <c r="H45" s="1359">
        <f>SUM(H43:H44)</f>
        <v>100000</v>
      </c>
      <c r="I45" s="1360"/>
      <c r="J45" s="657">
        <f>'Výdaje kapitol celkem'!AA21</f>
        <v>100000</v>
      </c>
      <c r="K45" s="720">
        <f>+J45-H45</f>
        <v>0</v>
      </c>
      <c r="L45" s="855"/>
    </row>
    <row r="46" spans="1:12" ht="16.5" customHeight="1" outlineLevel="1" x14ac:dyDescent="0.25">
      <c r="A46" s="1363" t="s">
        <v>235</v>
      </c>
      <c r="B46" s="1367">
        <v>5137</v>
      </c>
      <c r="C46" s="1364" t="s">
        <v>1292</v>
      </c>
      <c r="D46" s="1365">
        <v>20000</v>
      </c>
      <c r="E46" s="1365">
        <v>20000</v>
      </c>
      <c r="F46" s="1365">
        <v>20000</v>
      </c>
      <c r="G46" s="1365">
        <v>20000</v>
      </c>
      <c r="H46" s="1365">
        <f>[4]DPS!$B$5</f>
        <v>20000</v>
      </c>
      <c r="I46" s="1366"/>
      <c r="J46" s="1339"/>
      <c r="K46" s="720"/>
      <c r="L46" s="855"/>
    </row>
    <row r="47" spans="1:12" ht="16.5" customHeight="1" outlineLevel="1" x14ac:dyDescent="0.25">
      <c r="A47" s="1363" t="s">
        <v>235</v>
      </c>
      <c r="B47" s="1367">
        <v>5137</v>
      </c>
      <c r="C47" s="1364">
        <v>0</v>
      </c>
      <c r="D47" s="1365">
        <v>0</v>
      </c>
      <c r="E47" s="1365">
        <v>0</v>
      </c>
      <c r="F47" s="1365">
        <v>0</v>
      </c>
      <c r="G47" s="1365">
        <v>0</v>
      </c>
      <c r="H47" s="1365">
        <f>[4]DPS!$B$6</f>
        <v>0</v>
      </c>
      <c r="I47" s="1366"/>
      <c r="J47" s="1339"/>
      <c r="K47" s="720"/>
      <c r="L47" s="855"/>
    </row>
    <row r="48" spans="1:12" ht="16.5" customHeight="1" thickBot="1" x14ac:dyDescent="0.3">
      <c r="A48" s="1368"/>
      <c r="B48" s="1369"/>
      <c r="C48" s="1358" t="s">
        <v>237</v>
      </c>
      <c r="D48" s="1359">
        <v>20000</v>
      </c>
      <c r="E48" s="1359">
        <v>20000</v>
      </c>
      <c r="F48" s="1359">
        <v>20000</v>
      </c>
      <c r="G48" s="1359">
        <v>20000</v>
      </c>
      <c r="H48" s="1359">
        <f>SUM(H46:H47)</f>
        <v>20000</v>
      </c>
      <c r="I48" s="1360"/>
      <c r="J48" s="657">
        <f>'Výdaje kapitol celkem'!AD21</f>
        <v>20000</v>
      </c>
      <c r="K48" s="720">
        <f>+J48-H48</f>
        <v>0</v>
      </c>
      <c r="L48" s="855"/>
    </row>
    <row r="49" spans="1:12" ht="16.5" hidden="1" customHeight="1" outlineLevel="1" x14ac:dyDescent="0.25">
      <c r="A49" s="1351">
        <v>3613</v>
      </c>
      <c r="B49" s="1352">
        <v>5137</v>
      </c>
      <c r="C49" s="1353"/>
      <c r="D49" s="1354"/>
      <c r="E49" s="1354"/>
      <c r="F49" s="1354"/>
      <c r="G49" s="1354"/>
      <c r="H49" s="1354"/>
      <c r="I49" s="1361"/>
      <c r="J49" s="1339"/>
      <c r="K49" s="720"/>
      <c r="L49" s="855"/>
    </row>
    <row r="50" spans="1:12" ht="16.5" hidden="1" customHeight="1" outlineLevel="1" x14ac:dyDescent="0.25">
      <c r="A50" s="1363">
        <v>3613</v>
      </c>
      <c r="B50" s="1367">
        <v>5137</v>
      </c>
      <c r="C50" s="1364"/>
      <c r="D50" s="1365"/>
      <c r="E50" s="1365"/>
      <c r="F50" s="1365"/>
      <c r="G50" s="1365"/>
      <c r="H50" s="1365"/>
      <c r="I50" s="1370"/>
      <c r="J50" s="1339"/>
      <c r="K50" s="720"/>
      <c r="L50" s="855"/>
    </row>
    <row r="51" spans="1:12" ht="19.5" customHeight="1" collapsed="1" thickBot="1" x14ac:dyDescent="0.3">
      <c r="A51" s="1368"/>
      <c r="B51" s="1369"/>
      <c r="C51" s="1358" t="s">
        <v>238</v>
      </c>
      <c r="D51" s="1359">
        <v>0</v>
      </c>
      <c r="E51" s="1359">
        <v>0</v>
      </c>
      <c r="F51" s="1359">
        <v>0</v>
      </c>
      <c r="G51" s="1359">
        <v>0</v>
      </c>
      <c r="H51" s="1359">
        <f>SUM(H49:H50)</f>
        <v>0</v>
      </c>
      <c r="I51" s="1360"/>
      <c r="J51" s="657">
        <f>'Výdaje kapitol celkem'!AG21</f>
        <v>0</v>
      </c>
      <c r="K51" s="720">
        <f>+J51-H51</f>
        <v>0</v>
      </c>
      <c r="L51" s="855"/>
    </row>
    <row r="52" spans="1:12" ht="20.25" hidden="1" customHeight="1" outlineLevel="1" x14ac:dyDescent="0.25">
      <c r="A52" s="1351">
        <v>3631</v>
      </c>
      <c r="B52" s="1352">
        <v>5137</v>
      </c>
      <c r="C52" s="1353"/>
      <c r="D52" s="1354">
        <v>50000</v>
      </c>
      <c r="E52" s="1354"/>
      <c r="F52" s="1354"/>
      <c r="G52" s="1354"/>
      <c r="H52" s="1354"/>
      <c r="I52" s="1361"/>
      <c r="J52" s="1339"/>
      <c r="K52" s="720"/>
      <c r="L52" s="855"/>
    </row>
    <row r="53" spans="1:12" ht="20.25" hidden="1" customHeight="1" outlineLevel="1" x14ac:dyDescent="0.25">
      <c r="A53" s="1351">
        <v>3631</v>
      </c>
      <c r="B53" s="1352">
        <v>5137</v>
      </c>
      <c r="C53" s="1353"/>
      <c r="D53" s="1354">
        <v>40000</v>
      </c>
      <c r="E53" s="1354"/>
      <c r="F53" s="1354"/>
      <c r="G53" s="1354"/>
      <c r="H53" s="1354"/>
      <c r="I53" s="1361"/>
      <c r="J53" s="1339"/>
      <c r="K53" s="720"/>
      <c r="L53" s="855"/>
    </row>
    <row r="54" spans="1:12" ht="20.25" hidden="1" customHeight="1" outlineLevel="1" x14ac:dyDescent="0.25">
      <c r="A54" s="1363">
        <v>3631</v>
      </c>
      <c r="B54" s="1367">
        <v>5137</v>
      </c>
      <c r="C54" s="1353" t="s">
        <v>1711</v>
      </c>
      <c r="D54" s="1365">
        <v>150000</v>
      </c>
      <c r="E54" s="1365"/>
      <c r="F54" s="1365"/>
      <c r="G54" s="1365"/>
      <c r="H54" s="1365"/>
      <c r="I54" s="1370"/>
      <c r="J54" s="1339"/>
      <c r="K54" s="720"/>
      <c r="L54" s="855"/>
    </row>
    <row r="55" spans="1:12" ht="20.25" customHeight="1" collapsed="1" thickBot="1" x14ac:dyDescent="0.3">
      <c r="A55" s="1368"/>
      <c r="B55" s="1369"/>
      <c r="C55" s="1358" t="s">
        <v>183</v>
      </c>
      <c r="D55" s="1359">
        <f>SUM(D52:D54)</f>
        <v>240000</v>
      </c>
      <c r="E55" s="1359">
        <v>0</v>
      </c>
      <c r="F55" s="1359">
        <v>0</v>
      </c>
      <c r="G55" s="1359">
        <v>0</v>
      </c>
      <c r="H55" s="1359">
        <f>SUM(H52:H54)</f>
        <v>0</v>
      </c>
      <c r="I55" s="1360"/>
      <c r="J55" s="657">
        <f>'Výdaje kapitol celkem'!AJ11</f>
        <v>0</v>
      </c>
      <c r="K55" s="720">
        <f>+J55-H55</f>
        <v>0</v>
      </c>
      <c r="L55" s="855"/>
    </row>
    <row r="56" spans="1:12" ht="20.25" customHeight="1" outlineLevel="1" x14ac:dyDescent="0.25">
      <c r="A56" s="1351">
        <v>5512</v>
      </c>
      <c r="B56" s="1352">
        <v>5137</v>
      </c>
      <c r="C56" s="1353" t="s">
        <v>2011</v>
      </c>
      <c r="D56" s="1354">
        <v>25000</v>
      </c>
      <c r="E56" s="1354"/>
      <c r="F56" s="1354"/>
      <c r="G56" s="1354"/>
      <c r="H56" s="1354">
        <f>[3]Hasiči!$B$12</f>
        <v>80000</v>
      </c>
      <c r="I56" s="1361"/>
      <c r="J56" s="1339"/>
      <c r="K56" s="720"/>
      <c r="L56" s="855"/>
    </row>
    <row r="57" spans="1:12" ht="20.25" customHeight="1" outlineLevel="1" x14ac:dyDescent="0.25">
      <c r="A57" s="1351">
        <v>5512</v>
      </c>
      <c r="B57" s="1352">
        <v>5137</v>
      </c>
      <c r="C57" s="1353" t="s">
        <v>2012</v>
      </c>
      <c r="D57" s="1354"/>
      <c r="E57" s="1354">
        <v>75000</v>
      </c>
      <c r="F57" s="1354">
        <v>75000</v>
      </c>
      <c r="G57" s="1354">
        <v>75000</v>
      </c>
      <c r="H57" s="1354">
        <f>[3]Hasiči!$B$13</f>
        <v>20000</v>
      </c>
      <c r="I57" s="1361"/>
      <c r="J57" s="1339"/>
      <c r="K57" s="720"/>
      <c r="L57" s="855"/>
    </row>
    <row r="58" spans="1:12" ht="20.25" customHeight="1" outlineLevel="1" x14ac:dyDescent="0.25">
      <c r="A58" s="1351">
        <v>5512</v>
      </c>
      <c r="B58" s="1352">
        <v>5137</v>
      </c>
      <c r="C58" s="1353" t="s">
        <v>389</v>
      </c>
      <c r="D58" s="1354"/>
      <c r="E58" s="1354">
        <v>30000</v>
      </c>
      <c r="F58" s="1354">
        <v>30000</v>
      </c>
      <c r="G58" s="1354">
        <v>30000</v>
      </c>
      <c r="H58" s="1354">
        <f>[3]Hasiči!$B$14</f>
        <v>50000</v>
      </c>
      <c r="I58" s="1361"/>
      <c r="J58" s="1339"/>
      <c r="K58" s="720"/>
      <c r="L58" s="855"/>
    </row>
    <row r="59" spans="1:12" ht="20.25" customHeight="1" outlineLevel="1" x14ac:dyDescent="0.25">
      <c r="A59" s="1363">
        <v>5512</v>
      </c>
      <c r="B59" s="1367">
        <v>5137</v>
      </c>
      <c r="C59" s="1353"/>
      <c r="D59" s="1365">
        <v>30000</v>
      </c>
      <c r="E59" s="1365"/>
      <c r="F59" s="1365"/>
      <c r="G59" s="1365"/>
      <c r="H59" s="1365"/>
      <c r="I59" s="1370"/>
      <c r="J59" s="1339"/>
      <c r="K59" s="720"/>
      <c r="L59" s="855"/>
    </row>
    <row r="60" spans="1:12" ht="20.25" customHeight="1" thickBot="1" x14ac:dyDescent="0.3">
      <c r="A60" s="1368"/>
      <c r="B60" s="1369"/>
      <c r="C60" s="1358" t="s">
        <v>239</v>
      </c>
      <c r="D60" s="1359">
        <f>SUM(D56:D59)</f>
        <v>55000</v>
      </c>
      <c r="E60" s="1359">
        <v>105000</v>
      </c>
      <c r="F60" s="1359">
        <v>105000</v>
      </c>
      <c r="G60" s="1359">
        <v>105000</v>
      </c>
      <c r="H60" s="1359">
        <f>SUM(H56:H59)</f>
        <v>150000</v>
      </c>
      <c r="I60" s="1360"/>
      <c r="J60" s="657">
        <f>'Výdaje kapitol celkem'!AJ21</f>
        <v>150000</v>
      </c>
      <c r="K60" s="720">
        <f>+J60-H60</f>
        <v>0</v>
      </c>
      <c r="L60" s="855"/>
    </row>
    <row r="61" spans="1:12" ht="20.25" customHeight="1" outlineLevel="1" x14ac:dyDescent="0.25">
      <c r="A61" s="1346">
        <v>3114</v>
      </c>
      <c r="B61" s="1347">
        <v>5137</v>
      </c>
      <c r="C61" s="1348" t="s">
        <v>1303</v>
      </c>
      <c r="D61" s="1349">
        <v>0</v>
      </c>
      <c r="E61" s="1349">
        <v>40000</v>
      </c>
      <c r="F61" s="1349">
        <v>40000</v>
      </c>
      <c r="G61" s="1349">
        <v>40000</v>
      </c>
      <c r="H61" s="1349">
        <f>[3]č.p.65!$B$5</f>
        <v>40000</v>
      </c>
      <c r="I61" s="1350"/>
      <c r="J61" s="1339"/>
      <c r="K61" s="720"/>
      <c r="L61" s="855"/>
    </row>
    <row r="62" spans="1:12" ht="20.25" customHeight="1" outlineLevel="1" x14ac:dyDescent="0.25">
      <c r="A62" s="1363">
        <v>3114</v>
      </c>
      <c r="B62" s="1367">
        <v>5137</v>
      </c>
      <c r="C62" s="1364" t="s">
        <v>389</v>
      </c>
      <c r="D62" s="1365">
        <v>7000</v>
      </c>
      <c r="E62" s="1365">
        <v>10000</v>
      </c>
      <c r="F62" s="1365">
        <v>10000</v>
      </c>
      <c r="G62" s="1365">
        <v>10000</v>
      </c>
      <c r="H62" s="1371">
        <f>[3]č.p.65!$B$6</f>
        <v>10000</v>
      </c>
      <c r="I62" s="1370"/>
      <c r="J62" s="1339"/>
      <c r="K62" s="720"/>
      <c r="L62" s="855"/>
    </row>
    <row r="63" spans="1:12" ht="20.25" customHeight="1" outlineLevel="1" x14ac:dyDescent="0.25">
      <c r="A63" s="1363">
        <v>3114</v>
      </c>
      <c r="B63" s="1367">
        <v>5137</v>
      </c>
      <c r="C63" s="1364"/>
      <c r="D63" s="1365"/>
      <c r="E63" s="1365"/>
      <c r="F63" s="1365"/>
      <c r="G63" s="1365"/>
      <c r="H63" s="1371"/>
      <c r="I63" s="1370"/>
      <c r="J63" s="1339"/>
      <c r="K63" s="720"/>
      <c r="L63" s="855"/>
    </row>
    <row r="64" spans="1:12" ht="20.25" customHeight="1" thickBot="1" x14ac:dyDescent="0.3">
      <c r="A64" s="1368"/>
      <c r="B64" s="1369"/>
      <c r="C64" s="1358" t="s">
        <v>248</v>
      </c>
      <c r="D64" s="1359">
        <f>SUM(D61:D63)</f>
        <v>7000</v>
      </c>
      <c r="E64" s="1359">
        <v>50000</v>
      </c>
      <c r="F64" s="1359">
        <v>50000</v>
      </c>
      <c r="G64" s="1359">
        <v>50000</v>
      </c>
      <c r="H64" s="1359">
        <f>SUM(H61:H63)</f>
        <v>50000</v>
      </c>
      <c r="I64" s="1360"/>
      <c r="J64" s="657">
        <f>'Výdaje kapitol celkem'!AV21</f>
        <v>50000</v>
      </c>
      <c r="K64" s="720">
        <f>+J64-H64</f>
        <v>0</v>
      </c>
      <c r="L64" s="855"/>
    </row>
    <row r="65" spans="1:12" s="652" customFormat="1" ht="17.25" thickBot="1" x14ac:dyDescent="0.35">
      <c r="A65" s="2319" t="s">
        <v>965</v>
      </c>
      <c r="B65" s="2320"/>
      <c r="C65" s="2321"/>
      <c r="D65" s="1372" t="e">
        <f>++D60+D48+D45+D42+D36+D34+D31+D28+D20+D17+D10+D7+D64+D13+#REF!+D51+D55+D24</f>
        <v>#REF!</v>
      </c>
      <c r="E65" s="1372">
        <v>1275000</v>
      </c>
      <c r="F65" s="1372">
        <v>1310000</v>
      </c>
      <c r="G65" s="1372">
        <v>1160000</v>
      </c>
      <c r="H65" s="1372">
        <f>++H60+H48+H45+H42+H36+H34+H31+H28+H20+H17+H10+H7+H64+H13+H51+H55+H24</f>
        <v>1495000</v>
      </c>
      <c r="I65" s="1373"/>
      <c r="J65" s="1374"/>
      <c r="K65" s="1375"/>
      <c r="L65" s="855"/>
    </row>
    <row r="66" spans="1:12" x14ac:dyDescent="0.25">
      <c r="A66" s="876"/>
      <c r="B66" s="876"/>
      <c r="C66" s="876"/>
      <c r="D66" s="1337">
        <f>'Výdaje kapitol celkem'!D21</f>
        <v>1326640</v>
      </c>
      <c r="E66" s="1337">
        <v>1275000</v>
      </c>
      <c r="F66" s="1337">
        <v>1310000</v>
      </c>
      <c r="G66" s="1337">
        <v>1160000</v>
      </c>
      <c r="H66" s="1337">
        <f>'Výdaje kapitol celkem'!H21</f>
        <v>1495000</v>
      </c>
      <c r="I66" s="1338"/>
      <c r="J66" s="1339"/>
      <c r="K66" s="1340"/>
    </row>
    <row r="67" spans="1:12" s="768" customFormat="1" x14ac:dyDescent="0.25">
      <c r="A67" s="879"/>
      <c r="B67" s="879"/>
      <c r="C67" s="879" t="s">
        <v>253</v>
      </c>
      <c r="D67" s="1338" t="e">
        <f>+D66-D65</f>
        <v>#REF!</v>
      </c>
      <c r="E67" s="1338">
        <v>0</v>
      </c>
      <c r="F67" s="1338">
        <v>0</v>
      </c>
      <c r="G67" s="1338">
        <v>0</v>
      </c>
      <c r="H67" s="1338">
        <f>+H66-H65</f>
        <v>0</v>
      </c>
      <c r="I67" s="1338"/>
      <c r="J67" s="1339"/>
      <c r="K67" s="1340"/>
    </row>
    <row r="68" spans="1:12" x14ac:dyDescent="0.25">
      <c r="A68" s="1319" t="s">
        <v>650</v>
      </c>
      <c r="B68" s="876"/>
      <c r="C68" s="876"/>
      <c r="D68" s="1337"/>
      <c r="E68" s="1337"/>
      <c r="F68" s="1337"/>
      <c r="G68" s="1337"/>
      <c r="H68" s="1337"/>
      <c r="I68" s="1338"/>
      <c r="J68" s="1339"/>
      <c r="K68" s="1340"/>
    </row>
  </sheetData>
  <sheetProtection algorithmName="SHA-512" hashValue="N7d730IU5f/kVQZifASz2uyVbUxYAXWhSAxA1x8GZKvzzgsmbQDB4X89r3Oz6NkxndutxnijKHqtwEfwxcZe1g==" saltValue="okVFIpRqeo4BtfWCsUyXQg==" spinCount="100000" sheet="1" objects="1" scenarios="1"/>
  <mergeCells count="2">
    <mergeCell ref="A2:C2"/>
    <mergeCell ref="A65:C65"/>
  </mergeCells>
  <pageMargins left="0.51181102362204722" right="0.51181102362204722" top="0.19685039370078741" bottom="0.19685039370078741" header="0.31496062992125984" footer="0.31496062992125984"/>
  <pageSetup paperSize="9" scale="61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zoomScale="84" zoomScaleNormal="84" workbookViewId="0">
      <pane xSplit="7" ySplit="6" topLeftCell="H1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ColWidth="9.140625" defaultRowHeight="13.5" outlineLevelRow="1" x14ac:dyDescent="0.25"/>
  <cols>
    <col min="1" max="2" width="9.7109375" style="759" customWidth="1"/>
    <col min="3" max="3" width="63.7109375" style="759" customWidth="1"/>
    <col min="4" max="5" width="14.28515625" style="762" hidden="1" customWidth="1"/>
    <col min="6" max="7" width="12.7109375" style="762" hidden="1" customWidth="1"/>
    <col min="8" max="8" width="12.7109375" style="762" bestFit="1" customWidth="1"/>
    <col min="9" max="9" width="10.42578125" style="763" customWidth="1"/>
    <col min="10" max="10" width="11.5703125" style="1376" bestFit="1" customWidth="1"/>
    <col min="11" max="11" width="9.140625" style="993" customWidth="1"/>
    <col min="12" max="16384" width="9.140625" style="759"/>
  </cols>
  <sheetData>
    <row r="1" spans="1:12" s="780" customFormat="1" ht="16.5" x14ac:dyDescent="0.3">
      <c r="A1" s="1326" t="s">
        <v>1955</v>
      </c>
      <c r="B1" s="1326"/>
      <c r="C1" s="1327"/>
      <c r="D1" s="1328"/>
      <c r="E1" s="1328"/>
      <c r="F1" s="1328"/>
      <c r="G1" s="1328"/>
      <c r="H1" s="1328"/>
      <c r="I1" s="1329"/>
      <c r="J1" s="1330"/>
      <c r="K1" s="1331"/>
    </row>
    <row r="2" spans="1:12" s="1336" customFormat="1" ht="16.5" x14ac:dyDescent="0.3">
      <c r="A2" s="2317" t="s">
        <v>888</v>
      </c>
      <c r="B2" s="2317"/>
      <c r="C2" s="2318"/>
      <c r="D2" s="1332"/>
      <c r="E2" s="1332"/>
      <c r="F2" s="1332"/>
      <c r="G2" s="1332"/>
      <c r="H2" s="1332"/>
      <c r="I2" s="1333"/>
      <c r="J2" s="1334"/>
      <c r="K2" s="1335"/>
    </row>
    <row r="3" spans="1:12" ht="14.25" thickBot="1" x14ac:dyDescent="0.3">
      <c r="A3" s="876"/>
      <c r="B3" s="876"/>
      <c r="C3" s="876"/>
      <c r="D3" s="1337"/>
      <c r="E3" s="1337"/>
      <c r="F3" s="1337"/>
      <c r="G3" s="1337"/>
      <c r="H3" s="885"/>
      <c r="I3" s="1338"/>
      <c r="J3" s="1339"/>
      <c r="K3" s="1340"/>
    </row>
    <row r="4" spans="1:12" ht="27.75" thickBot="1" x14ac:dyDescent="0.3">
      <c r="A4" s="1341" t="s">
        <v>1</v>
      </c>
      <c r="B4" s="1342" t="s">
        <v>90</v>
      </c>
      <c r="C4" s="1343" t="s">
        <v>6</v>
      </c>
      <c r="D4" s="1344" t="s">
        <v>1701</v>
      </c>
      <c r="E4" s="1344" t="s">
        <v>1289</v>
      </c>
      <c r="F4" s="1344" t="s">
        <v>1677</v>
      </c>
      <c r="G4" s="1344" t="s">
        <v>1748</v>
      </c>
      <c r="H4" s="1344" t="s">
        <v>1957</v>
      </c>
      <c r="I4" s="1345" t="s">
        <v>5</v>
      </c>
      <c r="J4" s="1339" t="s">
        <v>1067</v>
      </c>
      <c r="K4" s="1340" t="s">
        <v>883</v>
      </c>
    </row>
    <row r="5" spans="1:12" hidden="1" outlineLevel="1" x14ac:dyDescent="0.25">
      <c r="A5" s="1346">
        <v>6409</v>
      </c>
      <c r="B5" s="1347">
        <v>5139</v>
      </c>
      <c r="C5" s="1348"/>
      <c r="D5" s="1349"/>
      <c r="E5" s="1349"/>
      <c r="F5" s="1349"/>
      <c r="G5" s="1349"/>
      <c r="H5" s="1349"/>
      <c r="I5" s="1350">
        <f>+F5-H5</f>
        <v>0</v>
      </c>
      <c r="J5" s="1339"/>
      <c r="K5" s="1340"/>
    </row>
    <row r="6" spans="1:12" hidden="1" outlineLevel="1" x14ac:dyDescent="0.25">
      <c r="A6" s="1351">
        <v>6409</v>
      </c>
      <c r="B6" s="1352">
        <v>5139</v>
      </c>
      <c r="C6" s="1353"/>
      <c r="D6" s="1354"/>
      <c r="E6" s="1354"/>
      <c r="F6" s="1354"/>
      <c r="G6" s="1354"/>
      <c r="H6" s="1354"/>
      <c r="I6" s="1355">
        <f t="shared" ref="I6" si="0">+F6-H6</f>
        <v>0</v>
      </c>
      <c r="J6" s="1339"/>
      <c r="K6" s="1340"/>
    </row>
    <row r="7" spans="1:12" s="991" customFormat="1" ht="18" customHeight="1" collapsed="1" thickBot="1" x14ac:dyDescent="0.3">
      <c r="A7" s="1356"/>
      <c r="B7" s="1357"/>
      <c r="C7" s="1358" t="s">
        <v>589</v>
      </c>
      <c r="D7" s="1359">
        <v>0</v>
      </c>
      <c r="E7" s="1359">
        <v>0</v>
      </c>
      <c r="F7" s="1359">
        <v>0</v>
      </c>
      <c r="G7" s="1359">
        <v>0</v>
      </c>
      <c r="H7" s="1359">
        <f>SUM(H5:H6)</f>
        <v>0</v>
      </c>
      <c r="I7" s="1360"/>
      <c r="J7" s="657">
        <f>'Výdaje kapitol celkem'!L22</f>
        <v>0</v>
      </c>
      <c r="K7" s="720">
        <f>+J7-H7</f>
        <v>0</v>
      </c>
      <c r="L7" s="855"/>
    </row>
    <row r="8" spans="1:12" ht="18" customHeight="1" outlineLevel="1" x14ac:dyDescent="0.25">
      <c r="A8" s="1346">
        <v>6112</v>
      </c>
      <c r="B8" s="1347">
        <v>5139</v>
      </c>
      <c r="C8" s="1348" t="s">
        <v>1305</v>
      </c>
      <c r="D8" s="1349">
        <v>45000</v>
      </c>
      <c r="E8" s="1349">
        <v>45000</v>
      </c>
      <c r="F8" s="1349">
        <v>45000</v>
      </c>
      <c r="G8" s="1349">
        <v>45000</v>
      </c>
      <c r="H8" s="1349">
        <f>[3]Zastupitelé!$B$18</f>
        <v>45000</v>
      </c>
      <c r="I8" s="1350"/>
      <c r="J8" s="1339"/>
      <c r="K8" s="1340"/>
    </row>
    <row r="9" spans="1:12" ht="18" customHeight="1" outlineLevel="1" x14ac:dyDescent="0.25">
      <c r="A9" s="1351">
        <v>6112</v>
      </c>
      <c r="B9" s="1352">
        <v>5139</v>
      </c>
      <c r="C9" s="1353" t="s">
        <v>597</v>
      </c>
      <c r="D9" s="1354">
        <v>0</v>
      </c>
      <c r="E9" s="1354">
        <v>0</v>
      </c>
      <c r="F9" s="1354">
        <v>0</v>
      </c>
      <c r="G9" s="1354">
        <v>0</v>
      </c>
      <c r="H9" s="1354">
        <f>[3]Zastupitelé!$B$19</f>
        <v>0</v>
      </c>
      <c r="I9" s="1355"/>
      <c r="J9" s="1339"/>
      <c r="K9" s="1340"/>
    </row>
    <row r="10" spans="1:12" s="991" customFormat="1" ht="18" customHeight="1" thickBot="1" x14ac:dyDescent="0.3">
      <c r="A10" s="1356"/>
      <c r="B10" s="1357"/>
      <c r="C10" s="1358" t="s">
        <v>590</v>
      </c>
      <c r="D10" s="1359">
        <f>SUM(D8:D9)</f>
        <v>45000</v>
      </c>
      <c r="E10" s="1359">
        <v>45000</v>
      </c>
      <c r="F10" s="1359">
        <v>45000</v>
      </c>
      <c r="G10" s="1359">
        <v>45000</v>
      </c>
      <c r="H10" s="1359">
        <f>SUM(H8:H9)</f>
        <v>45000</v>
      </c>
      <c r="I10" s="1360"/>
      <c r="J10" s="657">
        <f>'Výdaje kapitol celkem'!M22</f>
        <v>45000</v>
      </c>
      <c r="K10" s="720">
        <f>+J10-H10</f>
        <v>0</v>
      </c>
      <c r="L10" s="855"/>
    </row>
    <row r="11" spans="1:12" ht="18" hidden="1" customHeight="1" outlineLevel="1" x14ac:dyDescent="0.25">
      <c r="A11" s="1346">
        <v>6117</v>
      </c>
      <c r="B11" s="1347">
        <v>5139</v>
      </c>
      <c r="C11" s="1348"/>
      <c r="D11" s="1349">
        <v>10380</v>
      </c>
      <c r="E11" s="1349"/>
      <c r="F11" s="1349"/>
      <c r="G11" s="1349"/>
      <c r="H11" s="1349"/>
      <c r="I11" s="1350"/>
      <c r="J11" s="1339"/>
      <c r="K11" s="1340"/>
    </row>
    <row r="12" spans="1:12" ht="18" hidden="1" customHeight="1" outlineLevel="1" x14ac:dyDescent="0.25">
      <c r="A12" s="1351">
        <v>6171</v>
      </c>
      <c r="B12" s="1352">
        <v>5139</v>
      </c>
      <c r="C12" s="1353">
        <v>0</v>
      </c>
      <c r="D12" s="1354">
        <v>0</v>
      </c>
      <c r="E12" s="1354">
        <v>0</v>
      </c>
      <c r="F12" s="1354">
        <v>0</v>
      </c>
      <c r="G12" s="1354">
        <v>0</v>
      </c>
      <c r="H12" s="1354"/>
      <c r="I12" s="1355"/>
      <c r="J12" s="1339"/>
      <c r="K12" s="1340"/>
    </row>
    <row r="13" spans="1:12" ht="18" hidden="1" customHeight="1" outlineLevel="1" x14ac:dyDescent="0.25">
      <c r="A13" s="1351">
        <v>6117</v>
      </c>
      <c r="B13" s="1352">
        <v>5139</v>
      </c>
      <c r="C13" s="1353"/>
      <c r="D13" s="1354"/>
      <c r="E13" s="1354"/>
      <c r="F13" s="1354"/>
      <c r="G13" s="1354"/>
      <c r="H13" s="1354"/>
      <c r="I13" s="1355"/>
      <c r="J13" s="1339"/>
      <c r="K13" s="1340"/>
    </row>
    <row r="14" spans="1:12" s="991" customFormat="1" ht="18" customHeight="1" collapsed="1" thickBot="1" x14ac:dyDescent="0.3">
      <c r="A14" s="1356"/>
      <c r="B14" s="1357"/>
      <c r="C14" s="1358" t="s">
        <v>1285</v>
      </c>
      <c r="D14" s="1359">
        <f>SUM(D11:D13)</f>
        <v>10380</v>
      </c>
      <c r="E14" s="1359">
        <v>0</v>
      </c>
      <c r="F14" s="1359">
        <v>0</v>
      </c>
      <c r="G14" s="1359">
        <v>0</v>
      </c>
      <c r="H14" s="1359">
        <f>SUM(H11:H13)</f>
        <v>0</v>
      </c>
      <c r="I14" s="1360"/>
      <c r="J14" s="657">
        <f>'Výdaje kapitol celkem'!N22</f>
        <v>0</v>
      </c>
      <c r="K14" s="720">
        <f>+J14-H14</f>
        <v>0</v>
      </c>
      <c r="L14" s="855"/>
    </row>
    <row r="15" spans="1:12" ht="18" customHeight="1" outlineLevel="1" x14ac:dyDescent="0.25">
      <c r="A15" s="1346">
        <v>6171</v>
      </c>
      <c r="B15" s="1347">
        <v>5139</v>
      </c>
      <c r="C15" s="1348" t="s">
        <v>1301</v>
      </c>
      <c r="D15" s="1349">
        <v>550000</v>
      </c>
      <c r="E15" s="1349">
        <v>550000</v>
      </c>
      <c r="F15" s="1349">
        <v>550000</v>
      </c>
      <c r="G15" s="1349">
        <v>550000</v>
      </c>
      <c r="H15" s="1349">
        <f>[3]Správa!$B$21</f>
        <v>650000</v>
      </c>
      <c r="I15" s="1350"/>
      <c r="J15" s="1339"/>
      <c r="K15" s="1340"/>
    </row>
    <row r="16" spans="1:12" ht="18" customHeight="1" outlineLevel="1" x14ac:dyDescent="0.25">
      <c r="A16" s="1351">
        <v>6171</v>
      </c>
      <c r="B16" s="1352">
        <v>5139</v>
      </c>
      <c r="C16" s="1353">
        <v>0</v>
      </c>
      <c r="D16" s="1354">
        <v>0</v>
      </c>
      <c r="E16" s="1354">
        <v>0</v>
      </c>
      <c r="F16" s="1354">
        <v>0</v>
      </c>
      <c r="G16" s="1354">
        <v>0</v>
      </c>
      <c r="H16" s="1354">
        <f>[3]Správa!$B$22</f>
        <v>0</v>
      </c>
      <c r="I16" s="1355"/>
      <c r="J16" s="1339"/>
      <c r="K16" s="1340"/>
    </row>
    <row r="17" spans="1:12" ht="18" customHeight="1" outlineLevel="1" x14ac:dyDescent="0.25">
      <c r="A17" s="1351">
        <v>6171</v>
      </c>
      <c r="B17" s="1352">
        <v>5139</v>
      </c>
      <c r="C17" s="1353"/>
      <c r="D17" s="1354"/>
      <c r="E17" s="1354"/>
      <c r="F17" s="1354"/>
      <c r="G17" s="1354"/>
      <c r="H17" s="1354"/>
      <c r="I17" s="1355"/>
      <c r="J17" s="1339"/>
      <c r="K17" s="1340"/>
    </row>
    <row r="18" spans="1:12" s="991" customFormat="1" ht="18" customHeight="1" thickBot="1" x14ac:dyDescent="0.3">
      <c r="A18" s="1356"/>
      <c r="B18" s="1357"/>
      <c r="C18" s="1358" t="s">
        <v>249</v>
      </c>
      <c r="D18" s="1359">
        <f>SUM(D15:D17)</f>
        <v>550000</v>
      </c>
      <c r="E18" s="1359">
        <v>550000</v>
      </c>
      <c r="F18" s="1359">
        <v>550000</v>
      </c>
      <c r="G18" s="1359">
        <v>550000</v>
      </c>
      <c r="H18" s="1359">
        <f>SUM(H15:H17)</f>
        <v>650000</v>
      </c>
      <c r="I18" s="1360"/>
      <c r="J18" s="657">
        <f>'Výdaje kapitol celkem'!O22</f>
        <v>650000</v>
      </c>
      <c r="K18" s="720">
        <f>+J18-H18</f>
        <v>0</v>
      </c>
      <c r="L18" s="855"/>
    </row>
    <row r="19" spans="1:12" ht="18" customHeight="1" outlineLevel="1" x14ac:dyDescent="0.25">
      <c r="A19" s="1346">
        <v>4351</v>
      </c>
      <c r="B19" s="1347">
        <v>5139</v>
      </c>
      <c r="C19" s="1348" t="s">
        <v>2001</v>
      </c>
      <c r="D19" s="1349">
        <v>70000</v>
      </c>
      <c r="E19" s="1349">
        <v>70000</v>
      </c>
      <c r="F19" s="1349">
        <v>70000</v>
      </c>
      <c r="G19" s="1349">
        <v>70000</v>
      </c>
      <c r="H19" s="1349">
        <f>'[3]Pečovatelská služba'!$B$19</f>
        <v>70000</v>
      </c>
      <c r="I19" s="1350"/>
      <c r="J19" s="1339"/>
      <c r="K19" s="720"/>
      <c r="L19" s="855"/>
    </row>
    <row r="20" spans="1:12" ht="18" customHeight="1" outlineLevel="1" x14ac:dyDescent="0.25">
      <c r="A20" s="1351">
        <v>4351</v>
      </c>
      <c r="B20" s="1352">
        <v>5139</v>
      </c>
      <c r="C20" s="1353">
        <v>0</v>
      </c>
      <c r="D20" s="1362">
        <v>0</v>
      </c>
      <c r="E20" s="1362">
        <v>0</v>
      </c>
      <c r="F20" s="1362">
        <v>0</v>
      </c>
      <c r="G20" s="1362">
        <v>0</v>
      </c>
      <c r="H20" s="1362">
        <f>'[3]Pečovatelská služba'!$B$20</f>
        <v>0</v>
      </c>
      <c r="I20" s="1361"/>
      <c r="J20" s="1339"/>
      <c r="K20" s="720"/>
      <c r="L20" s="855"/>
    </row>
    <row r="21" spans="1:12" s="991" customFormat="1" ht="18" customHeight="1" thickBot="1" x14ac:dyDescent="0.3">
      <c r="A21" s="1356"/>
      <c r="B21" s="1357"/>
      <c r="C21" s="1358" t="s">
        <v>250</v>
      </c>
      <c r="D21" s="1359">
        <f>SUM(D19:D20)</f>
        <v>70000</v>
      </c>
      <c r="E21" s="1359">
        <v>70000</v>
      </c>
      <c r="F21" s="1359">
        <v>70000</v>
      </c>
      <c r="G21" s="1359">
        <v>70000</v>
      </c>
      <c r="H21" s="1359">
        <f>SUM(H19:H20)</f>
        <v>70000</v>
      </c>
      <c r="I21" s="1360"/>
      <c r="J21" s="657">
        <f>'Výdaje kapitol celkem'!T22</f>
        <v>70000</v>
      </c>
      <c r="K21" s="720">
        <f>+J21-H21</f>
        <v>0</v>
      </c>
      <c r="L21" s="855"/>
    </row>
    <row r="22" spans="1:12" ht="18" hidden="1" customHeight="1" outlineLevel="1" x14ac:dyDescent="0.25">
      <c r="A22" s="1346">
        <v>5311</v>
      </c>
      <c r="B22" s="1347">
        <v>5139</v>
      </c>
      <c r="C22" s="1348"/>
      <c r="D22" s="1349"/>
      <c r="E22" s="1349"/>
      <c r="F22" s="1349"/>
      <c r="G22" s="1349"/>
      <c r="H22" s="1349"/>
      <c r="I22" s="1350"/>
      <c r="J22" s="1339"/>
      <c r="K22" s="720"/>
      <c r="L22" s="855"/>
    </row>
    <row r="23" spans="1:12" ht="18" hidden="1" customHeight="1" outlineLevel="1" x14ac:dyDescent="0.25">
      <c r="A23" s="1351">
        <v>5311</v>
      </c>
      <c r="B23" s="1352">
        <v>5139</v>
      </c>
      <c r="C23" s="1353"/>
      <c r="D23" s="1362"/>
      <c r="E23" s="1362"/>
      <c r="F23" s="1362"/>
      <c r="G23" s="1362"/>
      <c r="H23" s="1362"/>
      <c r="I23" s="1361"/>
      <c r="J23" s="1339"/>
      <c r="K23" s="720"/>
      <c r="L23" s="855"/>
    </row>
    <row r="24" spans="1:12" s="991" customFormat="1" ht="18" customHeight="1" collapsed="1" thickBot="1" x14ac:dyDescent="0.3">
      <c r="A24" s="1356"/>
      <c r="B24" s="1357"/>
      <c r="C24" s="1358" t="s">
        <v>164</v>
      </c>
      <c r="D24" s="1359">
        <v>0</v>
      </c>
      <c r="E24" s="1359">
        <v>0</v>
      </c>
      <c r="F24" s="1359">
        <v>0</v>
      </c>
      <c r="G24" s="1359">
        <v>0</v>
      </c>
      <c r="H24" s="1359">
        <f>SUM(H22:H23)</f>
        <v>0</v>
      </c>
      <c r="I24" s="1360"/>
      <c r="J24" s="657">
        <f>'Výdaje kapitol celkem'!U22</f>
        <v>0</v>
      </c>
      <c r="K24" s="720">
        <f>+J24-H24</f>
        <v>0</v>
      </c>
      <c r="L24" s="855"/>
    </row>
    <row r="25" spans="1:12" ht="18" customHeight="1" outlineLevel="1" x14ac:dyDescent="0.25">
      <c r="A25" s="1346" t="s">
        <v>233</v>
      </c>
      <c r="B25" s="1347">
        <v>5139</v>
      </c>
      <c r="C25" s="1348" t="s">
        <v>1302</v>
      </c>
      <c r="D25" s="1349">
        <v>10000</v>
      </c>
      <c r="E25" s="1349">
        <v>20000</v>
      </c>
      <c r="F25" s="1349">
        <v>20000</v>
      </c>
      <c r="G25" s="1349">
        <v>20000</v>
      </c>
      <c r="H25" s="1349">
        <f>'[3]Městská policie'!$B$29</f>
        <v>20000</v>
      </c>
      <c r="I25" s="1350"/>
      <c r="J25" s="1339"/>
      <c r="K25" s="720"/>
      <c r="L25" s="855"/>
    </row>
    <row r="26" spans="1:12" ht="18" customHeight="1" outlineLevel="1" x14ac:dyDescent="0.25">
      <c r="A26" s="1351" t="s">
        <v>233</v>
      </c>
      <c r="B26" s="1352">
        <v>5139</v>
      </c>
      <c r="C26" s="1353" t="s">
        <v>2005</v>
      </c>
      <c r="D26" s="1354">
        <v>10000</v>
      </c>
      <c r="E26" s="1354">
        <v>10000</v>
      </c>
      <c r="F26" s="1354">
        <v>10000</v>
      </c>
      <c r="G26" s="1354">
        <v>10000</v>
      </c>
      <c r="H26" s="1354">
        <f>'[3]Městská policie'!$B$30</f>
        <v>10000</v>
      </c>
      <c r="I26" s="1361"/>
      <c r="J26" s="1339"/>
      <c r="K26" s="720"/>
      <c r="L26" s="855"/>
    </row>
    <row r="27" spans="1:12" s="991" customFormat="1" ht="18" customHeight="1" thickBot="1" x14ac:dyDescent="0.3">
      <c r="A27" s="1356"/>
      <c r="B27" s="1357"/>
      <c r="C27" s="1358" t="s">
        <v>296</v>
      </c>
      <c r="D27" s="1359">
        <f>SUM(D25:D26)</f>
        <v>20000</v>
      </c>
      <c r="E27" s="1359">
        <v>30000</v>
      </c>
      <c r="F27" s="1359">
        <v>30000</v>
      </c>
      <c r="G27" s="1359">
        <v>30000</v>
      </c>
      <c r="H27" s="1359">
        <f>SUM(H25:H26)</f>
        <v>30000</v>
      </c>
      <c r="I27" s="1360"/>
      <c r="J27" s="657">
        <f>'Výdaje kapitol celkem'!V22</f>
        <v>30000</v>
      </c>
      <c r="K27" s="720">
        <f>+J27-H27</f>
        <v>0</v>
      </c>
      <c r="L27" s="855"/>
    </row>
    <row r="28" spans="1:12" ht="18" customHeight="1" outlineLevel="1" x14ac:dyDescent="0.25">
      <c r="A28" s="1346">
        <v>3319</v>
      </c>
      <c r="B28" s="1347">
        <v>5139</v>
      </c>
      <c r="C28" s="1348" t="s">
        <v>1310</v>
      </c>
      <c r="D28" s="1349">
        <v>4000</v>
      </c>
      <c r="E28" s="1349">
        <v>4000</v>
      </c>
      <c r="F28" s="1349">
        <v>4000</v>
      </c>
      <c r="G28" s="1349">
        <v>4000</v>
      </c>
      <c r="H28" s="1349">
        <f>[3]Kronika!$B$12</f>
        <v>4000</v>
      </c>
      <c r="I28" s="1350"/>
      <c r="J28" s="1339"/>
      <c r="K28" s="720"/>
      <c r="L28" s="855"/>
    </row>
    <row r="29" spans="1:12" ht="18" customHeight="1" outlineLevel="1" x14ac:dyDescent="0.25">
      <c r="A29" s="1351">
        <v>3319</v>
      </c>
      <c r="B29" s="1352">
        <v>5139</v>
      </c>
      <c r="C29" s="1353">
        <v>0</v>
      </c>
      <c r="D29" s="1354">
        <v>0</v>
      </c>
      <c r="E29" s="1354"/>
      <c r="F29" s="1354"/>
      <c r="G29" s="1354"/>
      <c r="H29" s="1354">
        <f>[3]Kronika!$B$13</f>
        <v>0</v>
      </c>
      <c r="I29" s="1361"/>
      <c r="J29" s="1339"/>
      <c r="K29" s="720"/>
      <c r="L29" s="855"/>
    </row>
    <row r="30" spans="1:12" s="991" customFormat="1" ht="18" customHeight="1" thickBot="1" x14ac:dyDescent="0.3">
      <c r="A30" s="1356"/>
      <c r="B30" s="1357"/>
      <c r="C30" s="1358" t="s">
        <v>591</v>
      </c>
      <c r="D30" s="1359">
        <v>4000</v>
      </c>
      <c r="E30" s="1359">
        <v>4000</v>
      </c>
      <c r="F30" s="1359">
        <v>4000</v>
      </c>
      <c r="G30" s="1359">
        <v>4000</v>
      </c>
      <c r="H30" s="1359">
        <f>SUM(H28:H29)</f>
        <v>4000</v>
      </c>
      <c r="I30" s="1360"/>
      <c r="J30" s="657">
        <f>'Výdaje kapitol celkem'!W22</f>
        <v>4000</v>
      </c>
      <c r="K30" s="720">
        <f>+J30-H30</f>
        <v>0</v>
      </c>
      <c r="L30" s="855"/>
    </row>
    <row r="31" spans="1:12" ht="18" customHeight="1" outlineLevel="1" x14ac:dyDescent="0.25">
      <c r="A31" s="1346">
        <v>3314</v>
      </c>
      <c r="B31" s="1347">
        <v>5139</v>
      </c>
      <c r="C31" s="1348">
        <v>0</v>
      </c>
      <c r="D31" s="1349">
        <v>25000</v>
      </c>
      <c r="E31" s="1349">
        <v>25000</v>
      </c>
      <c r="F31" s="1349">
        <v>25000</v>
      </c>
      <c r="G31" s="1349">
        <v>25000</v>
      </c>
      <c r="H31" s="1349">
        <f>[3]Knihovna!$B$20</f>
        <v>40000</v>
      </c>
      <c r="I31" s="1350"/>
      <c r="J31" s="1339"/>
      <c r="K31" s="720"/>
      <c r="L31" s="855"/>
    </row>
    <row r="32" spans="1:12" ht="18" customHeight="1" outlineLevel="1" x14ac:dyDescent="0.25">
      <c r="A32" s="1351">
        <v>3314</v>
      </c>
      <c r="B32" s="1352">
        <v>5139</v>
      </c>
      <c r="C32" s="1353">
        <v>0</v>
      </c>
      <c r="D32" s="1354">
        <v>15000</v>
      </c>
      <c r="E32" s="1354"/>
      <c r="F32" s="1354"/>
      <c r="G32" s="1354"/>
      <c r="H32" s="1354">
        <f>[3]Knihovna!$B$21</f>
        <v>0</v>
      </c>
      <c r="I32" s="1361"/>
      <c r="J32" s="1339"/>
      <c r="K32" s="720"/>
      <c r="L32" s="855"/>
    </row>
    <row r="33" spans="1:12" s="991" customFormat="1" ht="18" customHeight="1" thickBot="1" x14ac:dyDescent="0.3">
      <c r="A33" s="1356"/>
      <c r="B33" s="1357"/>
      <c r="C33" s="1358" t="s">
        <v>226</v>
      </c>
      <c r="D33" s="1359">
        <v>40000</v>
      </c>
      <c r="E33" s="1359">
        <v>25000</v>
      </c>
      <c r="F33" s="1359">
        <v>25000</v>
      </c>
      <c r="G33" s="1359">
        <v>25000</v>
      </c>
      <c r="H33" s="1359">
        <f>SUM(H31:H32)</f>
        <v>40000</v>
      </c>
      <c r="I33" s="1360"/>
      <c r="J33" s="657">
        <f>'Výdaje kapitol celkem'!X22</f>
        <v>40000</v>
      </c>
      <c r="K33" s="720">
        <f>+J33-H33</f>
        <v>0</v>
      </c>
      <c r="L33" s="855"/>
    </row>
    <row r="34" spans="1:12" ht="18" hidden="1" customHeight="1" outlineLevel="1" x14ac:dyDescent="0.25">
      <c r="A34" s="1346">
        <v>3349</v>
      </c>
      <c r="B34" s="1347">
        <v>5139</v>
      </c>
      <c r="C34" s="1348" t="s">
        <v>600</v>
      </c>
      <c r="D34" s="1349"/>
      <c r="E34" s="1349"/>
      <c r="F34" s="1349"/>
      <c r="G34" s="1349"/>
      <c r="H34" s="1349"/>
      <c r="I34" s="1350"/>
      <c r="J34" s="1339"/>
      <c r="K34" s="720"/>
      <c r="L34" s="855"/>
    </row>
    <row r="35" spans="1:12" s="991" customFormat="1" ht="18" customHeight="1" collapsed="1" thickBot="1" x14ac:dyDescent="0.3">
      <c r="A35" s="1356"/>
      <c r="B35" s="1357"/>
      <c r="C35" s="1358" t="s">
        <v>167</v>
      </c>
      <c r="D35" s="1359">
        <v>0</v>
      </c>
      <c r="E35" s="1359">
        <v>0</v>
      </c>
      <c r="F35" s="1359">
        <v>0</v>
      </c>
      <c r="G35" s="1359">
        <v>0</v>
      </c>
      <c r="H35" s="1359">
        <f>SUM(H34)</f>
        <v>0</v>
      </c>
      <c r="I35" s="1360"/>
      <c r="J35" s="657">
        <f>'Výdaje kapitol celkem'!Y22</f>
        <v>0</v>
      </c>
      <c r="K35" s="720">
        <f>+J35-H35</f>
        <v>0</v>
      </c>
      <c r="L35" s="855"/>
    </row>
    <row r="36" spans="1:12" ht="18" customHeight="1" outlineLevel="1" x14ac:dyDescent="0.25">
      <c r="A36" s="1346">
        <v>3359</v>
      </c>
      <c r="B36" s="1347">
        <v>5139</v>
      </c>
      <c r="C36" s="1348" t="s">
        <v>1148</v>
      </c>
      <c r="D36" s="1349">
        <v>40000</v>
      </c>
      <c r="E36" s="1349">
        <v>20000</v>
      </c>
      <c r="F36" s="1349">
        <v>20000</v>
      </c>
      <c r="G36" s="1349">
        <v>20000</v>
      </c>
      <c r="H36" s="1349">
        <f>[3]Kultura!$B$14</f>
        <v>40000</v>
      </c>
      <c r="I36" s="1350"/>
      <c r="J36" s="1339"/>
      <c r="K36" s="720"/>
      <c r="L36" s="855"/>
    </row>
    <row r="37" spans="1:12" ht="18" hidden="1" customHeight="1" outlineLevel="1" x14ac:dyDescent="0.25">
      <c r="A37" s="1351">
        <v>3359</v>
      </c>
      <c r="B37" s="1352">
        <v>5139</v>
      </c>
      <c r="C37" s="1353">
        <v>0</v>
      </c>
      <c r="D37" s="1354">
        <v>0</v>
      </c>
      <c r="E37" s="1354"/>
      <c r="F37" s="1354"/>
      <c r="G37" s="1354"/>
      <c r="H37" s="1354"/>
      <c r="I37" s="1355"/>
      <c r="J37" s="1339"/>
      <c r="K37" s="720"/>
      <c r="L37" s="855"/>
    </row>
    <row r="38" spans="1:12" ht="18" customHeight="1" outlineLevel="1" x14ac:dyDescent="0.25">
      <c r="A38" s="1351">
        <v>3359</v>
      </c>
      <c r="B38" s="1352">
        <v>5139</v>
      </c>
      <c r="C38" s="1353" t="s">
        <v>389</v>
      </c>
      <c r="D38" s="1354">
        <v>20000</v>
      </c>
      <c r="E38" s="1354">
        <v>40000</v>
      </c>
      <c r="F38" s="1354">
        <v>40000</v>
      </c>
      <c r="G38" s="1354">
        <v>40000</v>
      </c>
      <c r="H38" s="1354">
        <f>[3]Kultura!$B$15</f>
        <v>20000</v>
      </c>
      <c r="I38" s="1355"/>
      <c r="J38" s="1339"/>
      <c r="K38" s="720"/>
      <c r="L38" s="855"/>
    </row>
    <row r="39" spans="1:12" ht="18" hidden="1" customHeight="1" outlineLevel="1" x14ac:dyDescent="0.25">
      <c r="A39" s="1363">
        <v>3359</v>
      </c>
      <c r="B39" s="1367">
        <v>5139</v>
      </c>
      <c r="C39" s="1364"/>
      <c r="D39" s="1365"/>
      <c r="E39" s="1365"/>
      <c r="F39" s="1365"/>
      <c r="G39" s="1365"/>
      <c r="H39" s="1365"/>
      <c r="I39" s="1366"/>
      <c r="J39" s="1339"/>
      <c r="K39" s="720"/>
      <c r="L39" s="855"/>
    </row>
    <row r="40" spans="1:12" ht="18" customHeight="1" outlineLevel="1" x14ac:dyDescent="0.25">
      <c r="A40" s="1363">
        <v>3359</v>
      </c>
      <c r="B40" s="1367">
        <v>5139</v>
      </c>
      <c r="C40" s="1364"/>
      <c r="D40" s="1365"/>
      <c r="E40" s="1365"/>
      <c r="F40" s="1365"/>
      <c r="G40" s="1365"/>
      <c r="H40" s="1365">
        <f>[3]Kultura!$B$16</f>
        <v>0</v>
      </c>
      <c r="I40" s="1366"/>
      <c r="J40" s="1339"/>
      <c r="K40" s="720"/>
      <c r="L40" s="855"/>
    </row>
    <row r="41" spans="1:12" s="991" customFormat="1" ht="18" customHeight="1" thickBot="1" x14ac:dyDescent="0.3">
      <c r="A41" s="1356"/>
      <c r="B41" s="1357"/>
      <c r="C41" s="1358" t="s">
        <v>592</v>
      </c>
      <c r="D41" s="1359">
        <v>60000</v>
      </c>
      <c r="E41" s="1359">
        <v>60000</v>
      </c>
      <c r="F41" s="1359">
        <v>60000</v>
      </c>
      <c r="G41" s="1359">
        <v>60000</v>
      </c>
      <c r="H41" s="1359">
        <f>SUM(H36:H40)</f>
        <v>60000</v>
      </c>
      <c r="I41" s="1360"/>
      <c r="J41" s="657">
        <f>'Výdaje kapitol celkem'!Z22</f>
        <v>60000</v>
      </c>
      <c r="K41" s="720">
        <f>+J41-H41</f>
        <v>0</v>
      </c>
      <c r="L41" s="855"/>
    </row>
    <row r="42" spans="1:12" ht="18" customHeight="1" outlineLevel="1" x14ac:dyDescent="0.25">
      <c r="A42" s="1346">
        <v>3612</v>
      </c>
      <c r="B42" s="1347">
        <v>5139</v>
      </c>
      <c r="C42" s="1348" t="s">
        <v>1297</v>
      </c>
      <c r="D42" s="1349">
        <v>20000</v>
      </c>
      <c r="E42" s="1349">
        <v>20000</v>
      </c>
      <c r="F42" s="1349">
        <v>20000</v>
      </c>
      <c r="G42" s="1349">
        <v>20000</v>
      </c>
      <c r="H42" s="1349">
        <f>[4]Byty!$B$12</f>
        <v>20000</v>
      </c>
      <c r="I42" s="1350"/>
      <c r="J42" s="1339"/>
      <c r="K42" s="720"/>
      <c r="L42" s="855"/>
    </row>
    <row r="43" spans="1:12" ht="18" customHeight="1" outlineLevel="1" x14ac:dyDescent="0.25">
      <c r="A43" s="1351">
        <v>3612</v>
      </c>
      <c r="B43" s="1352">
        <v>5139</v>
      </c>
      <c r="C43" s="1353">
        <v>0</v>
      </c>
      <c r="D43" s="1354">
        <v>0</v>
      </c>
      <c r="E43" s="1354"/>
      <c r="F43" s="1354"/>
      <c r="G43" s="1354">
        <v>0</v>
      </c>
      <c r="H43" s="1354">
        <f>[4]Byty!$B$13</f>
        <v>0</v>
      </c>
      <c r="I43" s="1355"/>
      <c r="J43" s="1339"/>
      <c r="K43" s="720"/>
      <c r="L43" s="855"/>
    </row>
    <row r="44" spans="1:12" s="991" customFormat="1" ht="18" customHeight="1" thickBot="1" x14ac:dyDescent="0.3">
      <c r="A44" s="1356"/>
      <c r="B44" s="1357"/>
      <c r="C44" s="1358" t="s">
        <v>236</v>
      </c>
      <c r="D44" s="1359">
        <v>20000</v>
      </c>
      <c r="E44" s="1359">
        <v>20000</v>
      </c>
      <c r="F44" s="1359">
        <v>20000</v>
      </c>
      <c r="G44" s="1359">
        <v>20000</v>
      </c>
      <c r="H44" s="1359">
        <f>SUM(H42:H43)</f>
        <v>20000</v>
      </c>
      <c r="I44" s="1360"/>
      <c r="J44" s="657">
        <f>'Výdaje kapitol celkem'!AA22</f>
        <v>20000</v>
      </c>
      <c r="K44" s="720">
        <f>+J44-H44</f>
        <v>0</v>
      </c>
      <c r="L44" s="855"/>
    </row>
    <row r="45" spans="1:12" ht="18" customHeight="1" outlineLevel="1" x14ac:dyDescent="0.25">
      <c r="A45" s="1363" t="s">
        <v>235</v>
      </c>
      <c r="B45" s="1367">
        <v>5139</v>
      </c>
      <c r="C45" s="1364" t="s">
        <v>1293</v>
      </c>
      <c r="D45" s="1365">
        <v>30000</v>
      </c>
      <c r="E45" s="1365">
        <v>30000</v>
      </c>
      <c r="F45" s="1365">
        <v>30000</v>
      </c>
      <c r="G45" s="1365">
        <v>30000</v>
      </c>
      <c r="H45" s="1365">
        <f>[4]DPS!$B$13</f>
        <v>30000</v>
      </c>
      <c r="I45" s="1366"/>
      <c r="J45" s="1339"/>
      <c r="K45" s="720"/>
      <c r="L45" s="855"/>
    </row>
    <row r="46" spans="1:12" ht="18" customHeight="1" outlineLevel="1" x14ac:dyDescent="0.25">
      <c r="A46" s="1363" t="s">
        <v>235</v>
      </c>
      <c r="B46" s="1367">
        <v>5139</v>
      </c>
      <c r="C46" s="1364" t="s">
        <v>1294</v>
      </c>
      <c r="D46" s="1365">
        <v>20000</v>
      </c>
      <c r="E46" s="1365">
        <v>20000</v>
      </c>
      <c r="F46" s="1365">
        <v>20000</v>
      </c>
      <c r="G46" s="1365">
        <v>20000</v>
      </c>
      <c r="H46" s="1365">
        <f>[4]DPS!$B$14</f>
        <v>20000</v>
      </c>
      <c r="I46" s="1366"/>
      <c r="J46" s="1339"/>
      <c r="K46" s="720"/>
      <c r="L46" s="855"/>
    </row>
    <row r="47" spans="1:12" ht="18" customHeight="1" thickBot="1" x14ac:dyDescent="0.3">
      <c r="A47" s="1368"/>
      <c r="B47" s="1369"/>
      <c r="C47" s="1358" t="s">
        <v>237</v>
      </c>
      <c r="D47" s="1359">
        <v>50000</v>
      </c>
      <c r="E47" s="1359">
        <v>50000</v>
      </c>
      <c r="F47" s="1359">
        <v>50000</v>
      </c>
      <c r="G47" s="1359">
        <v>50000</v>
      </c>
      <c r="H47" s="1359">
        <f>SUM(H45:H46)</f>
        <v>50000</v>
      </c>
      <c r="I47" s="1360"/>
      <c r="J47" s="657">
        <f>'Výdaje kapitol celkem'!AD22</f>
        <v>50000</v>
      </c>
      <c r="K47" s="720">
        <f>+J47-H47</f>
        <v>0</v>
      </c>
      <c r="L47" s="855"/>
    </row>
    <row r="48" spans="1:12" ht="18" hidden="1" customHeight="1" outlineLevel="1" x14ac:dyDescent="0.25">
      <c r="A48" s="1351">
        <v>3613</v>
      </c>
      <c r="B48" s="1352">
        <v>5139</v>
      </c>
      <c r="C48" s="1353"/>
      <c r="D48" s="1354"/>
      <c r="E48" s="1354"/>
      <c r="F48" s="1354"/>
      <c r="G48" s="1354"/>
      <c r="H48" s="1354"/>
      <c r="I48" s="1361"/>
      <c r="J48" s="1339"/>
      <c r="K48" s="720"/>
      <c r="L48" s="855"/>
    </row>
    <row r="49" spans="1:12" ht="18" hidden="1" customHeight="1" outlineLevel="1" x14ac:dyDescent="0.25">
      <c r="A49" s="1363">
        <v>3613</v>
      </c>
      <c r="B49" s="1367">
        <v>5139</v>
      </c>
      <c r="C49" s="1364"/>
      <c r="D49" s="1365"/>
      <c r="E49" s="1365"/>
      <c r="F49" s="1365"/>
      <c r="G49" s="1365"/>
      <c r="H49" s="1365"/>
      <c r="I49" s="1370"/>
      <c r="J49" s="1339"/>
      <c r="K49" s="720"/>
      <c r="L49" s="855"/>
    </row>
    <row r="50" spans="1:12" ht="18" customHeight="1" collapsed="1" thickBot="1" x14ac:dyDescent="0.3">
      <c r="A50" s="1368"/>
      <c r="B50" s="1369"/>
      <c r="C50" s="1358" t="s">
        <v>238</v>
      </c>
      <c r="D50" s="1359">
        <v>0</v>
      </c>
      <c r="E50" s="1359">
        <v>0</v>
      </c>
      <c r="F50" s="1359">
        <v>0</v>
      </c>
      <c r="G50" s="1359">
        <v>0</v>
      </c>
      <c r="H50" s="1359">
        <f>SUM(H48:H49)</f>
        <v>0</v>
      </c>
      <c r="I50" s="1360"/>
      <c r="J50" s="657">
        <f>'Výdaje kapitol celkem'!AG22</f>
        <v>0</v>
      </c>
      <c r="K50" s="720">
        <f>+J50-H50</f>
        <v>0</v>
      </c>
      <c r="L50" s="855"/>
    </row>
    <row r="51" spans="1:12" ht="18" customHeight="1" outlineLevel="1" x14ac:dyDescent="0.25">
      <c r="A51" s="1351">
        <v>5512</v>
      </c>
      <c r="B51" s="1352">
        <v>5139</v>
      </c>
      <c r="C51" s="1353">
        <v>0</v>
      </c>
      <c r="D51" s="1354">
        <v>0</v>
      </c>
      <c r="E51" s="1354">
        <v>50000</v>
      </c>
      <c r="F51" s="1354">
        <v>50000</v>
      </c>
      <c r="G51" s="1354">
        <v>50000</v>
      </c>
      <c r="H51" s="1354">
        <f>[4]Hasiči!$B$5</f>
        <v>20000</v>
      </c>
      <c r="I51" s="1361"/>
      <c r="J51" s="1339"/>
      <c r="K51" s="720"/>
      <c r="L51" s="855"/>
    </row>
    <row r="52" spans="1:12" ht="18" customHeight="1" outlineLevel="1" x14ac:dyDescent="0.25">
      <c r="A52" s="1363">
        <v>5512</v>
      </c>
      <c r="B52" s="1367">
        <v>5139</v>
      </c>
      <c r="C52" s="1364"/>
      <c r="D52" s="1365">
        <v>40000</v>
      </c>
      <c r="E52" s="1365"/>
      <c r="F52" s="1365"/>
      <c r="G52" s="1365"/>
      <c r="H52" s="1365">
        <f>[4]Hasiči!$B$6</f>
        <v>0</v>
      </c>
      <c r="I52" s="1370"/>
      <c r="J52" s="1339"/>
      <c r="K52" s="720"/>
      <c r="L52" s="855"/>
    </row>
    <row r="53" spans="1:12" ht="18" customHeight="1" outlineLevel="1" x14ac:dyDescent="0.25">
      <c r="A53" s="1363">
        <v>5512</v>
      </c>
      <c r="B53" s="1367">
        <v>5139</v>
      </c>
      <c r="C53" s="1364" t="s">
        <v>389</v>
      </c>
      <c r="D53" s="1365"/>
      <c r="E53" s="1365"/>
      <c r="F53" s="1365"/>
      <c r="G53" s="1365"/>
      <c r="H53" s="1365">
        <f>[3]Hasiči!$B$20</f>
        <v>50000</v>
      </c>
      <c r="I53" s="1370"/>
      <c r="J53" s="1339"/>
      <c r="K53" s="720"/>
      <c r="L53" s="855"/>
    </row>
    <row r="54" spans="1:12" ht="18" customHeight="1" outlineLevel="1" x14ac:dyDescent="0.25">
      <c r="A54" s="1363">
        <v>5512</v>
      </c>
      <c r="B54" s="1367">
        <v>5139</v>
      </c>
      <c r="C54" s="1364" t="s">
        <v>2013</v>
      </c>
      <c r="D54" s="1365">
        <v>20000</v>
      </c>
      <c r="E54" s="1365">
        <v>20000</v>
      </c>
      <c r="F54" s="1365">
        <v>20000</v>
      </c>
      <c r="G54" s="1365">
        <v>20000</v>
      </c>
      <c r="H54" s="1365">
        <f>[3]Hasiči!$B$21</f>
        <v>15000</v>
      </c>
      <c r="I54" s="1370"/>
      <c r="J54" s="1339"/>
      <c r="K54" s="720"/>
      <c r="L54" s="855"/>
    </row>
    <row r="55" spans="1:12" ht="18" customHeight="1" outlineLevel="1" x14ac:dyDescent="0.25">
      <c r="A55" s="1351">
        <v>5512</v>
      </c>
      <c r="B55" s="1352">
        <v>5139</v>
      </c>
      <c r="C55" s="1377">
        <v>0</v>
      </c>
      <c r="D55" s="1378">
        <v>0</v>
      </c>
      <c r="E55" s="1378">
        <v>0</v>
      </c>
      <c r="F55" s="1378">
        <v>0</v>
      </c>
      <c r="G55" s="1378">
        <v>0</v>
      </c>
      <c r="H55" s="1378">
        <f>[3]Hasiči!$B$22</f>
        <v>0</v>
      </c>
      <c r="I55" s="1370"/>
      <c r="J55" s="1339"/>
      <c r="K55" s="720"/>
      <c r="L55" s="855"/>
    </row>
    <row r="56" spans="1:12" ht="18" customHeight="1" thickBot="1" x14ac:dyDescent="0.3">
      <c r="A56" s="1368"/>
      <c r="B56" s="1369"/>
      <c r="C56" s="1358" t="s">
        <v>239</v>
      </c>
      <c r="D56" s="1359">
        <f>SUM(D51:D55)</f>
        <v>60000</v>
      </c>
      <c r="E56" s="1359">
        <v>70000</v>
      </c>
      <c r="F56" s="1359">
        <v>70000</v>
      </c>
      <c r="G56" s="1359">
        <v>70000</v>
      </c>
      <c r="H56" s="1359">
        <f>SUM(H51:H55)</f>
        <v>85000</v>
      </c>
      <c r="I56" s="1360"/>
      <c r="J56" s="657">
        <f>'Výdaje kapitol celkem'!AJ22</f>
        <v>85000</v>
      </c>
      <c r="K56" s="720">
        <f>+J56-H56</f>
        <v>0</v>
      </c>
      <c r="L56" s="855"/>
    </row>
    <row r="57" spans="1:12" ht="18" hidden="1" customHeight="1" outlineLevel="1" x14ac:dyDescent="0.25">
      <c r="A57" s="1351">
        <v>3519</v>
      </c>
      <c r="B57" s="1352">
        <v>5139</v>
      </c>
      <c r="C57" s="1353"/>
      <c r="D57" s="1354"/>
      <c r="E57" s="1354"/>
      <c r="F57" s="1354"/>
      <c r="G57" s="1354"/>
      <c r="H57" s="1354"/>
      <c r="I57" s="1361"/>
      <c r="J57" s="1339"/>
      <c r="K57" s="720"/>
      <c r="L57" s="855"/>
    </row>
    <row r="58" spans="1:12" ht="18" hidden="1" customHeight="1" outlineLevel="1" x14ac:dyDescent="0.25">
      <c r="A58" s="1363">
        <v>3519</v>
      </c>
      <c r="B58" s="1367">
        <v>5139</v>
      </c>
      <c r="C58" s="1364"/>
      <c r="D58" s="1365"/>
      <c r="E58" s="1365"/>
      <c r="F58" s="1365"/>
      <c r="G58" s="1365"/>
      <c r="H58" s="1365"/>
      <c r="I58" s="1370"/>
      <c r="J58" s="1339"/>
      <c r="K58" s="720"/>
      <c r="L58" s="855"/>
    </row>
    <row r="59" spans="1:12" ht="18" customHeight="1" collapsed="1" thickBot="1" x14ac:dyDescent="0.3">
      <c r="A59" s="1368"/>
      <c r="B59" s="1369"/>
      <c r="C59" s="1358" t="s">
        <v>240</v>
      </c>
      <c r="D59" s="1359">
        <v>0</v>
      </c>
      <c r="E59" s="1359">
        <v>0</v>
      </c>
      <c r="F59" s="1359">
        <v>0</v>
      </c>
      <c r="G59" s="1359">
        <v>0</v>
      </c>
      <c r="H59" s="1359">
        <f>SUM(H57:H58)</f>
        <v>0</v>
      </c>
      <c r="I59" s="1360"/>
      <c r="J59" s="657">
        <f>'Výdaje kapitol celkem'!AK22</f>
        <v>0</v>
      </c>
      <c r="K59" s="720">
        <f>+J59-H59</f>
        <v>0</v>
      </c>
      <c r="L59" s="855"/>
    </row>
    <row r="60" spans="1:12" ht="18" customHeight="1" outlineLevel="1" x14ac:dyDescent="0.25">
      <c r="A60" s="1351">
        <v>3631</v>
      </c>
      <c r="B60" s="1352">
        <v>5139</v>
      </c>
      <c r="C60" s="1353" t="s">
        <v>1660</v>
      </c>
      <c r="D60" s="1354"/>
      <c r="E60" s="1354">
        <v>20000</v>
      </c>
      <c r="F60" s="1354">
        <v>20000</v>
      </c>
      <c r="G60" s="1354">
        <v>20000</v>
      </c>
      <c r="H60" s="1354">
        <f>[4]VO!$B$5</f>
        <v>20000</v>
      </c>
      <c r="I60" s="1361"/>
      <c r="J60" s="1339"/>
      <c r="K60" s="720"/>
      <c r="L60" s="855"/>
    </row>
    <row r="61" spans="1:12" ht="18" customHeight="1" outlineLevel="1" x14ac:dyDescent="0.25">
      <c r="A61" s="1351"/>
      <c r="B61" s="1352"/>
      <c r="C61" s="1353" t="s">
        <v>1661</v>
      </c>
      <c r="D61" s="1354">
        <v>1525</v>
      </c>
      <c r="E61" s="1354"/>
      <c r="F61" s="1354"/>
      <c r="G61" s="1354"/>
      <c r="H61" s="1354">
        <f>[4]VO!$B$6</f>
        <v>60000</v>
      </c>
      <c r="I61" s="1361"/>
      <c r="J61" s="1339"/>
      <c r="K61" s="720"/>
      <c r="L61" s="855"/>
    </row>
    <row r="62" spans="1:12" ht="18" customHeight="1" outlineLevel="1" x14ac:dyDescent="0.25">
      <c r="A62" s="1363">
        <v>3631</v>
      </c>
      <c r="B62" s="1367">
        <v>5139</v>
      </c>
      <c r="C62" s="1353" t="s">
        <v>1662</v>
      </c>
      <c r="D62" s="1354"/>
      <c r="E62" s="1354">
        <v>60000</v>
      </c>
      <c r="F62" s="1354">
        <v>60000</v>
      </c>
      <c r="G62" s="1354">
        <v>60000</v>
      </c>
      <c r="H62" s="1354">
        <f>[4]VO!$B$7</f>
        <v>70000</v>
      </c>
      <c r="I62" s="1361"/>
      <c r="J62" s="1339"/>
      <c r="K62" s="720"/>
      <c r="L62" s="855"/>
    </row>
    <row r="63" spans="1:12" ht="18" customHeight="1" outlineLevel="1" x14ac:dyDescent="0.25">
      <c r="A63" s="1363">
        <v>3631</v>
      </c>
      <c r="B63" s="1367">
        <v>5139</v>
      </c>
      <c r="C63" s="1364"/>
      <c r="D63" s="1371"/>
      <c r="E63" s="1365">
        <v>70000</v>
      </c>
      <c r="F63" s="1365">
        <v>70000</v>
      </c>
      <c r="G63" s="1365">
        <v>70000</v>
      </c>
      <c r="H63" s="1365"/>
      <c r="I63" s="1370"/>
      <c r="J63" s="1339"/>
      <c r="K63" s="720"/>
      <c r="L63" s="855"/>
    </row>
    <row r="64" spans="1:12" ht="18" customHeight="1" thickBot="1" x14ac:dyDescent="0.3">
      <c r="A64" s="1368"/>
      <c r="B64" s="1369"/>
      <c r="C64" s="1358" t="s">
        <v>183</v>
      </c>
      <c r="D64" s="1359">
        <v>1525</v>
      </c>
      <c r="E64" s="1359">
        <v>150000</v>
      </c>
      <c r="F64" s="1359">
        <v>150000</v>
      </c>
      <c r="G64" s="1359">
        <v>150000</v>
      </c>
      <c r="H64" s="1359">
        <f>SUM(H60:H63)</f>
        <v>150000</v>
      </c>
      <c r="I64" s="1360"/>
      <c r="J64" s="657">
        <f>'Výdaje kapitol celkem'!BP22</f>
        <v>150000</v>
      </c>
      <c r="K64" s="720">
        <f>+J64-H64</f>
        <v>0</v>
      </c>
      <c r="L64" s="855"/>
    </row>
    <row r="65" spans="1:12" ht="18" hidden="1" customHeight="1" outlineLevel="1" x14ac:dyDescent="0.25">
      <c r="A65" s="1351">
        <v>3429</v>
      </c>
      <c r="B65" s="1352">
        <v>5139</v>
      </c>
      <c r="C65" s="1353" t="s">
        <v>602</v>
      </c>
      <c r="D65" s="1354"/>
      <c r="E65" s="1354"/>
      <c r="F65" s="1354"/>
      <c r="G65" s="1354"/>
      <c r="H65" s="1354"/>
      <c r="I65" s="1361"/>
      <c r="J65" s="1339"/>
      <c r="K65" s="720"/>
      <c r="L65" s="855"/>
    </row>
    <row r="66" spans="1:12" ht="18" hidden="1" customHeight="1" outlineLevel="1" x14ac:dyDescent="0.25">
      <c r="A66" s="1363">
        <v>3429</v>
      </c>
      <c r="B66" s="1367">
        <v>5139</v>
      </c>
      <c r="C66" s="1353" t="s">
        <v>232</v>
      </c>
      <c r="D66" s="1354"/>
      <c r="E66" s="1354"/>
      <c r="F66" s="1354"/>
      <c r="G66" s="1354"/>
      <c r="H66" s="1354"/>
      <c r="I66" s="1361"/>
      <c r="J66" s="1339"/>
      <c r="K66" s="720"/>
      <c r="L66" s="855"/>
    </row>
    <row r="67" spans="1:12" ht="18" hidden="1" customHeight="1" outlineLevel="1" x14ac:dyDescent="0.25">
      <c r="A67" s="1363">
        <v>3429</v>
      </c>
      <c r="B67" s="1367">
        <v>5139</v>
      </c>
      <c r="C67" s="1364"/>
      <c r="D67" s="1371"/>
      <c r="E67" s="1371"/>
      <c r="F67" s="1371"/>
      <c r="G67" s="1371"/>
      <c r="H67" s="1371"/>
      <c r="I67" s="1370"/>
      <c r="J67" s="1339"/>
      <c r="K67" s="720"/>
      <c r="L67" s="855"/>
    </row>
    <row r="68" spans="1:12" ht="18" customHeight="1" collapsed="1" thickBot="1" x14ac:dyDescent="0.3">
      <c r="A68" s="1368"/>
      <c r="B68" s="1369"/>
      <c r="C68" s="1358" t="s">
        <v>174</v>
      </c>
      <c r="D68" s="1359">
        <v>0</v>
      </c>
      <c r="E68" s="1359">
        <v>0</v>
      </c>
      <c r="F68" s="1359">
        <v>0</v>
      </c>
      <c r="G68" s="1359">
        <v>0</v>
      </c>
      <c r="H68" s="1359">
        <f>SUM(H65:H67)</f>
        <v>0</v>
      </c>
      <c r="I68" s="1360"/>
      <c r="J68" s="657">
        <f>'Výdaje kapitol celkem'!AL22</f>
        <v>0</v>
      </c>
      <c r="K68" s="720">
        <f>+J68-H68</f>
        <v>0</v>
      </c>
      <c r="L68" s="855"/>
    </row>
    <row r="69" spans="1:12" ht="18" customHeight="1" outlineLevel="1" x14ac:dyDescent="0.25">
      <c r="A69" s="1351">
        <v>3632</v>
      </c>
      <c r="B69" s="1352">
        <v>5139</v>
      </c>
      <c r="C69" s="1353" t="s">
        <v>1653</v>
      </c>
      <c r="D69" s="1354">
        <v>30000</v>
      </c>
      <c r="E69" s="1354">
        <v>30000</v>
      </c>
      <c r="F69" s="1354">
        <v>30000</v>
      </c>
      <c r="G69" s="1354">
        <v>30000</v>
      </c>
      <c r="H69" s="1354">
        <f>[4]Hřbitov!$B$5</f>
        <v>30000</v>
      </c>
      <c r="I69" s="1361"/>
      <c r="J69" s="1339"/>
      <c r="K69" s="720"/>
      <c r="L69" s="855"/>
    </row>
    <row r="70" spans="1:12" ht="18" customHeight="1" outlineLevel="1" x14ac:dyDescent="0.25">
      <c r="A70" s="1363">
        <v>3632</v>
      </c>
      <c r="B70" s="1367">
        <v>5139</v>
      </c>
      <c r="C70" s="1353" t="s">
        <v>1295</v>
      </c>
      <c r="D70" s="1354">
        <v>23000</v>
      </c>
      <c r="E70" s="1354">
        <v>20000</v>
      </c>
      <c r="F70" s="1354">
        <v>20000</v>
      </c>
      <c r="G70" s="1354">
        <v>20000</v>
      </c>
      <c r="H70" s="1354">
        <f>[4]Hřbitov!$B$6</f>
        <v>20000</v>
      </c>
      <c r="I70" s="1361"/>
      <c r="J70" s="1339"/>
      <c r="K70" s="720"/>
      <c r="L70" s="855"/>
    </row>
    <row r="71" spans="1:12" ht="18" customHeight="1" outlineLevel="1" x14ac:dyDescent="0.25">
      <c r="A71" s="1363">
        <v>3632</v>
      </c>
      <c r="B71" s="1367">
        <v>5139</v>
      </c>
      <c r="C71" s="1364"/>
      <c r="D71" s="1371"/>
      <c r="E71" s="1371"/>
      <c r="F71" s="1371"/>
      <c r="G71" s="1371"/>
      <c r="H71" s="1371"/>
      <c r="I71" s="1370"/>
      <c r="J71" s="1339"/>
      <c r="K71" s="720"/>
      <c r="L71" s="855"/>
    </row>
    <row r="72" spans="1:12" ht="18" customHeight="1" thickBot="1" x14ac:dyDescent="0.3">
      <c r="A72" s="1368"/>
      <c r="B72" s="1369"/>
      <c r="C72" s="1358" t="s">
        <v>297</v>
      </c>
      <c r="D72" s="1359">
        <v>53000</v>
      </c>
      <c r="E72" s="1359">
        <v>50000</v>
      </c>
      <c r="F72" s="1359">
        <v>50000</v>
      </c>
      <c r="G72" s="1359">
        <v>50000</v>
      </c>
      <c r="H72" s="1359">
        <f>SUM(H69:H71)</f>
        <v>50000</v>
      </c>
      <c r="I72" s="1360"/>
      <c r="J72" s="657">
        <f>'Výdaje kapitol celkem'!AM22</f>
        <v>50000</v>
      </c>
      <c r="K72" s="720">
        <f>+J72-H72</f>
        <v>0</v>
      </c>
      <c r="L72" s="855"/>
    </row>
    <row r="73" spans="1:12" ht="18" hidden="1" customHeight="1" outlineLevel="1" x14ac:dyDescent="0.25">
      <c r="A73" s="1351">
        <v>3412</v>
      </c>
      <c r="B73" s="1352">
        <v>5139</v>
      </c>
      <c r="C73" s="1353"/>
      <c r="D73" s="1354"/>
      <c r="E73" s="1354"/>
      <c r="F73" s="1354"/>
      <c r="G73" s="1354"/>
      <c r="H73" s="1354"/>
      <c r="I73" s="1361"/>
      <c r="J73" s="1339"/>
      <c r="K73" s="720"/>
      <c r="L73" s="855"/>
    </row>
    <row r="74" spans="1:12" ht="18" hidden="1" customHeight="1" outlineLevel="1" x14ac:dyDescent="0.25">
      <c r="A74" s="1363">
        <v>3412</v>
      </c>
      <c r="B74" s="1367">
        <v>5139</v>
      </c>
      <c r="C74" s="1353"/>
      <c r="D74" s="1354"/>
      <c r="E74" s="1354"/>
      <c r="F74" s="1354"/>
      <c r="G74" s="1354"/>
      <c r="H74" s="1354"/>
      <c r="I74" s="1361"/>
      <c r="J74" s="1339"/>
      <c r="K74" s="720"/>
      <c r="L74" s="855"/>
    </row>
    <row r="75" spans="1:12" ht="18" customHeight="1" collapsed="1" thickBot="1" x14ac:dyDescent="0.3">
      <c r="A75" s="1368"/>
      <c r="B75" s="1369"/>
      <c r="C75" s="1358" t="s">
        <v>613</v>
      </c>
      <c r="D75" s="1359">
        <v>0</v>
      </c>
      <c r="E75" s="1359">
        <v>0</v>
      </c>
      <c r="F75" s="1359">
        <v>0</v>
      </c>
      <c r="G75" s="1359">
        <v>0</v>
      </c>
      <c r="H75" s="1359">
        <f>SUM(H73:H74)</f>
        <v>0</v>
      </c>
      <c r="I75" s="1360"/>
      <c r="J75" s="657">
        <f>'Výdaje kapitol celkem'!AP22</f>
        <v>0</v>
      </c>
      <c r="K75" s="720">
        <f>+J75-H75</f>
        <v>0</v>
      </c>
      <c r="L75" s="855"/>
    </row>
    <row r="76" spans="1:12" ht="18" hidden="1" customHeight="1" outlineLevel="1" x14ac:dyDescent="0.25">
      <c r="A76" s="1379">
        <v>3113</v>
      </c>
      <c r="B76" s="1380">
        <v>5139</v>
      </c>
      <c r="C76" s="1377"/>
      <c r="D76" s="1378"/>
      <c r="E76" s="1378"/>
      <c r="F76" s="1378"/>
      <c r="G76" s="1378"/>
      <c r="H76" s="1378"/>
      <c r="I76" s="1381"/>
      <c r="J76" s="1339"/>
      <c r="K76" s="720"/>
      <c r="L76" s="855"/>
    </row>
    <row r="77" spans="1:12" ht="18" hidden="1" customHeight="1" outlineLevel="1" x14ac:dyDescent="0.25">
      <c r="A77" s="1382">
        <v>3113</v>
      </c>
      <c r="B77" s="1383">
        <v>5139</v>
      </c>
      <c r="C77" s="1364"/>
      <c r="D77" s="1365"/>
      <c r="E77" s="1365"/>
      <c r="F77" s="1365"/>
      <c r="G77" s="1365"/>
      <c r="H77" s="1365"/>
      <c r="I77" s="1370"/>
      <c r="J77" s="1339"/>
      <c r="K77" s="720"/>
      <c r="L77" s="855"/>
    </row>
    <row r="78" spans="1:12" ht="18" hidden="1" customHeight="1" outlineLevel="1" x14ac:dyDescent="0.25">
      <c r="A78" s="1382">
        <v>3113</v>
      </c>
      <c r="B78" s="1383">
        <v>5139</v>
      </c>
      <c r="C78" s="1364"/>
      <c r="D78" s="1365"/>
      <c r="E78" s="1365"/>
      <c r="F78" s="1365"/>
      <c r="G78" s="1365"/>
      <c r="H78" s="1365"/>
      <c r="I78" s="1370"/>
      <c r="J78" s="1339"/>
      <c r="K78" s="720"/>
      <c r="L78" s="855"/>
    </row>
    <row r="79" spans="1:12" ht="18" hidden="1" customHeight="1" outlineLevel="1" x14ac:dyDescent="0.25">
      <c r="A79" s="1382">
        <v>3113</v>
      </c>
      <c r="B79" s="1383">
        <v>5139</v>
      </c>
      <c r="C79" s="1377"/>
      <c r="D79" s="1378"/>
      <c r="E79" s="1378"/>
      <c r="F79" s="1378"/>
      <c r="G79" s="1378"/>
      <c r="H79" s="1378"/>
      <c r="I79" s="1361"/>
      <c r="J79" s="1339"/>
      <c r="K79" s="720"/>
      <c r="L79" s="855"/>
    </row>
    <row r="80" spans="1:12" ht="18" customHeight="1" collapsed="1" thickBot="1" x14ac:dyDescent="0.3">
      <c r="A80" s="1368"/>
      <c r="B80" s="1369"/>
      <c r="C80" s="1358" t="s">
        <v>241</v>
      </c>
      <c r="D80" s="1359">
        <v>0</v>
      </c>
      <c r="E80" s="1359">
        <v>0</v>
      </c>
      <c r="F80" s="1359">
        <v>0</v>
      </c>
      <c r="G80" s="1359">
        <v>0</v>
      </c>
      <c r="H80" s="1359">
        <f>SUM(H76:H79)</f>
        <v>0</v>
      </c>
      <c r="I80" s="1360"/>
      <c r="J80" s="657">
        <f>'Výdaje kapitol celkem'!AS22</f>
        <v>0</v>
      </c>
      <c r="K80" s="720">
        <f>+J80-H80</f>
        <v>0</v>
      </c>
      <c r="L80" s="855"/>
    </row>
    <row r="81" spans="1:12" ht="18" hidden="1" customHeight="1" outlineLevel="1" x14ac:dyDescent="0.25">
      <c r="A81" s="1379">
        <v>3114</v>
      </c>
      <c r="B81" s="1380">
        <v>5139</v>
      </c>
      <c r="C81" s="1377"/>
      <c r="D81" s="1378"/>
      <c r="E81" s="1378"/>
      <c r="F81" s="1378"/>
      <c r="G81" s="1378"/>
      <c r="H81" s="1378"/>
      <c r="I81" s="1361"/>
      <c r="J81" s="1339"/>
      <c r="K81" s="720"/>
      <c r="L81" s="855"/>
    </row>
    <row r="82" spans="1:12" ht="18" hidden="1" customHeight="1" outlineLevel="1" x14ac:dyDescent="0.25">
      <c r="A82" s="1382">
        <v>3114</v>
      </c>
      <c r="B82" s="1383">
        <v>5139</v>
      </c>
      <c r="C82" s="1384"/>
      <c r="D82" s="1385"/>
      <c r="E82" s="1385"/>
      <c r="F82" s="1385"/>
      <c r="G82" s="1385"/>
      <c r="H82" s="1385"/>
      <c r="I82" s="1361"/>
      <c r="J82" s="1339"/>
      <c r="K82" s="720"/>
      <c r="L82" s="855"/>
    </row>
    <row r="83" spans="1:12" ht="18" customHeight="1" collapsed="1" thickBot="1" x14ac:dyDescent="0.3">
      <c r="A83" s="1368"/>
      <c r="B83" s="1369"/>
      <c r="C83" s="1358" t="s">
        <v>242</v>
      </c>
      <c r="D83" s="1359">
        <v>0</v>
      </c>
      <c r="E83" s="1359">
        <v>0</v>
      </c>
      <c r="F83" s="1359">
        <v>0</v>
      </c>
      <c r="G83" s="1359">
        <v>0</v>
      </c>
      <c r="H83" s="1359">
        <f>SUM(H81:H82)</f>
        <v>0</v>
      </c>
      <c r="I83" s="1360"/>
      <c r="J83" s="657">
        <f>'Výdaje kapitol celkem'!AY22</f>
        <v>0</v>
      </c>
      <c r="K83" s="720">
        <f>+J83-H83</f>
        <v>0</v>
      </c>
      <c r="L83" s="855"/>
    </row>
    <row r="84" spans="1:12" ht="18" hidden="1" customHeight="1" outlineLevel="1" x14ac:dyDescent="0.25">
      <c r="A84" s="1379" t="s">
        <v>227</v>
      </c>
      <c r="B84" s="1380">
        <v>5139</v>
      </c>
      <c r="C84" s="1377"/>
      <c r="D84" s="1378"/>
      <c r="E84" s="1378"/>
      <c r="F84" s="1378"/>
      <c r="G84" s="1378"/>
      <c r="H84" s="1378"/>
      <c r="I84" s="1361"/>
      <c r="J84" s="1339"/>
      <c r="K84" s="720"/>
      <c r="L84" s="855"/>
    </row>
    <row r="85" spans="1:12" ht="18" hidden="1" customHeight="1" outlineLevel="1" x14ac:dyDescent="0.25">
      <c r="A85" s="1382" t="s">
        <v>227</v>
      </c>
      <c r="B85" s="1383">
        <v>5139</v>
      </c>
      <c r="C85" s="1384"/>
      <c r="D85" s="1387"/>
      <c r="E85" s="1387"/>
      <c r="F85" s="1387"/>
      <c r="G85" s="1387"/>
      <c r="H85" s="1387"/>
      <c r="I85" s="1370"/>
      <c r="J85" s="1339"/>
      <c r="K85" s="720"/>
      <c r="L85" s="855"/>
    </row>
    <row r="86" spans="1:12" ht="18" customHeight="1" collapsed="1" thickBot="1" x14ac:dyDescent="0.3">
      <c r="A86" s="1368"/>
      <c r="B86" s="1369"/>
      <c r="C86" s="1358" t="s">
        <v>243</v>
      </c>
      <c r="D86" s="1359">
        <v>0</v>
      </c>
      <c r="E86" s="1359">
        <v>0</v>
      </c>
      <c r="F86" s="1359">
        <v>0</v>
      </c>
      <c r="G86" s="1359">
        <v>0</v>
      </c>
      <c r="H86" s="1359">
        <f>SUM(H84:H85)</f>
        <v>0</v>
      </c>
      <c r="I86" s="1360"/>
      <c r="J86" s="657">
        <f>'Výdaje kapitol celkem'!BE22</f>
        <v>0</v>
      </c>
      <c r="K86" s="720">
        <f>+J86-H86</f>
        <v>0</v>
      </c>
      <c r="L86" s="855"/>
    </row>
    <row r="87" spans="1:12" ht="18" hidden="1" customHeight="1" outlineLevel="1" x14ac:dyDescent="0.25">
      <c r="A87" s="1379" t="s">
        <v>228</v>
      </c>
      <c r="B87" s="1380">
        <v>5139</v>
      </c>
      <c r="C87" s="1377"/>
      <c r="D87" s="1378"/>
      <c r="E87" s="1378"/>
      <c r="F87" s="1378"/>
      <c r="G87" s="1378"/>
      <c r="H87" s="1378"/>
      <c r="I87" s="1361"/>
      <c r="J87" s="1339"/>
      <c r="K87" s="720"/>
      <c r="L87" s="855"/>
    </row>
    <row r="88" spans="1:12" ht="18" hidden="1" customHeight="1" outlineLevel="1" x14ac:dyDescent="0.25">
      <c r="A88" s="1382" t="s">
        <v>228</v>
      </c>
      <c r="B88" s="1383">
        <v>5139</v>
      </c>
      <c r="C88" s="1384"/>
      <c r="D88" s="1385"/>
      <c r="E88" s="1385"/>
      <c r="F88" s="1385"/>
      <c r="G88" s="1385"/>
      <c r="H88" s="1385"/>
      <c r="I88" s="1370"/>
      <c r="J88" s="1339"/>
      <c r="K88" s="720"/>
      <c r="L88" s="855"/>
    </row>
    <row r="89" spans="1:12" ht="18" customHeight="1" collapsed="1" thickBot="1" x14ac:dyDescent="0.3">
      <c r="A89" s="1368"/>
      <c r="B89" s="1369"/>
      <c r="C89" s="1358" t="s">
        <v>244</v>
      </c>
      <c r="D89" s="1359">
        <v>0</v>
      </c>
      <c r="E89" s="1359">
        <v>0</v>
      </c>
      <c r="F89" s="1359">
        <v>0</v>
      </c>
      <c r="G89" s="1359">
        <v>0</v>
      </c>
      <c r="H89" s="1359">
        <f>SUM(H87:H88)</f>
        <v>0</v>
      </c>
      <c r="I89" s="1360"/>
      <c r="J89" s="657">
        <f>'Výdaje kapitol celkem'!BB22</f>
        <v>0</v>
      </c>
      <c r="K89" s="720">
        <f>+J89-H89</f>
        <v>0</v>
      </c>
      <c r="L89" s="855"/>
    </row>
    <row r="90" spans="1:12" ht="18" hidden="1" customHeight="1" outlineLevel="1" x14ac:dyDescent="0.25">
      <c r="A90" s="1379" t="s">
        <v>255</v>
      </c>
      <c r="B90" s="1380">
        <v>5139</v>
      </c>
      <c r="C90" s="1377"/>
      <c r="D90" s="1349"/>
      <c r="E90" s="1349"/>
      <c r="F90" s="1349"/>
      <c r="G90" s="1349"/>
      <c r="H90" s="1349"/>
      <c r="I90" s="1361"/>
      <c r="J90" s="1339"/>
      <c r="K90" s="720"/>
      <c r="L90" s="855"/>
    </row>
    <row r="91" spans="1:12" ht="18" hidden="1" customHeight="1" outlineLevel="1" x14ac:dyDescent="0.25">
      <c r="A91" s="1382" t="s">
        <v>255</v>
      </c>
      <c r="B91" s="1383">
        <v>5139</v>
      </c>
      <c r="C91" s="1384"/>
      <c r="D91" s="1365"/>
      <c r="E91" s="1365"/>
      <c r="F91" s="1365"/>
      <c r="G91" s="1365"/>
      <c r="H91" s="1365"/>
      <c r="I91" s="1370"/>
      <c r="J91" s="1339"/>
      <c r="K91" s="720"/>
      <c r="L91" s="855"/>
    </row>
    <row r="92" spans="1:12" ht="18" hidden="1" customHeight="1" outlineLevel="1" x14ac:dyDescent="0.25">
      <c r="A92" s="1382" t="s">
        <v>255</v>
      </c>
      <c r="B92" s="1383">
        <v>5139</v>
      </c>
      <c r="C92" s="1384"/>
      <c r="D92" s="1378"/>
      <c r="E92" s="1378"/>
      <c r="F92" s="1378"/>
      <c r="G92" s="1378"/>
      <c r="H92" s="1378"/>
      <c r="I92" s="1370"/>
      <c r="J92" s="1339"/>
      <c r="K92" s="720"/>
      <c r="L92" s="855"/>
    </row>
    <row r="93" spans="1:12" ht="18" customHeight="1" collapsed="1" thickBot="1" x14ac:dyDescent="0.3">
      <c r="A93" s="1368"/>
      <c r="B93" s="1369"/>
      <c r="C93" s="1358" t="s">
        <v>292</v>
      </c>
      <c r="D93" s="1359">
        <v>0</v>
      </c>
      <c r="E93" s="1359">
        <v>0</v>
      </c>
      <c r="F93" s="1359">
        <v>0</v>
      </c>
      <c r="G93" s="1359">
        <v>0</v>
      </c>
      <c r="H93" s="1359">
        <f>SUM(H90:H92)</f>
        <v>0</v>
      </c>
      <c r="I93" s="1360"/>
      <c r="J93" s="657">
        <f>'Výdaje kapitol celkem'!BL22</f>
        <v>0</v>
      </c>
      <c r="K93" s="720">
        <f>+J93-H93</f>
        <v>0</v>
      </c>
      <c r="L93" s="855"/>
    </row>
    <row r="94" spans="1:12" ht="18" customHeight="1" outlineLevel="1" x14ac:dyDescent="0.25">
      <c r="A94" s="1379">
        <v>3635</v>
      </c>
      <c r="B94" s="1380">
        <v>5139</v>
      </c>
      <c r="C94" s="1377"/>
      <c r="D94" s="1378"/>
      <c r="E94" s="1378"/>
      <c r="F94" s="1378"/>
      <c r="G94" s="1378"/>
      <c r="H94" s="1378"/>
      <c r="I94" s="1355"/>
      <c r="J94" s="1339"/>
      <c r="K94" s="720"/>
      <c r="L94" s="855"/>
    </row>
    <row r="95" spans="1:12" ht="18" customHeight="1" outlineLevel="1" x14ac:dyDescent="0.25">
      <c r="A95" s="1382">
        <v>3635</v>
      </c>
      <c r="B95" s="1383">
        <v>5139</v>
      </c>
      <c r="C95" s="1384"/>
      <c r="D95" s="1387"/>
      <c r="E95" s="1387"/>
      <c r="F95" s="1387"/>
      <c r="G95" s="1387"/>
      <c r="H95" s="1387"/>
      <c r="I95" s="1366"/>
      <c r="J95" s="1339"/>
      <c r="K95" s="720"/>
      <c r="L95" s="855"/>
    </row>
    <row r="96" spans="1:12" ht="18" customHeight="1" thickBot="1" x14ac:dyDescent="0.3">
      <c r="A96" s="1368"/>
      <c r="B96" s="1369"/>
      <c r="C96" s="1358" t="s">
        <v>182</v>
      </c>
      <c r="D96" s="1359">
        <v>0</v>
      </c>
      <c r="E96" s="1359">
        <v>0</v>
      </c>
      <c r="F96" s="1359">
        <v>0</v>
      </c>
      <c r="G96" s="1359">
        <v>0</v>
      </c>
      <c r="H96" s="1359">
        <f>SUM(H94:H95)</f>
        <v>0</v>
      </c>
      <c r="I96" s="1360"/>
      <c r="J96" s="657">
        <f>'Výdaje kapitol celkem'!BO22</f>
        <v>0</v>
      </c>
      <c r="K96" s="720">
        <f>+J96-H96</f>
        <v>0</v>
      </c>
      <c r="L96" s="855"/>
    </row>
    <row r="97" spans="1:12" ht="18" hidden="1" customHeight="1" outlineLevel="1" x14ac:dyDescent="0.25">
      <c r="A97" s="1379" t="s">
        <v>229</v>
      </c>
      <c r="B97" s="1380">
        <v>5139</v>
      </c>
      <c r="C97" s="1377"/>
      <c r="D97" s="1378"/>
      <c r="E97" s="1378"/>
      <c r="F97" s="1378"/>
      <c r="G97" s="1378"/>
      <c r="H97" s="1378"/>
      <c r="I97" s="1355"/>
      <c r="J97" s="1339"/>
      <c r="K97" s="720"/>
      <c r="L97" s="855"/>
    </row>
    <row r="98" spans="1:12" ht="18" hidden="1" customHeight="1" outlineLevel="1" x14ac:dyDescent="0.25">
      <c r="A98" s="1382" t="s">
        <v>229</v>
      </c>
      <c r="B98" s="1383">
        <v>5139</v>
      </c>
      <c r="C98" s="1384"/>
      <c r="D98" s="1387"/>
      <c r="E98" s="1387"/>
      <c r="F98" s="1387"/>
      <c r="G98" s="1387"/>
      <c r="H98" s="1387"/>
      <c r="I98" s="1366"/>
      <c r="J98" s="1339"/>
      <c r="K98" s="720"/>
      <c r="L98" s="855"/>
    </row>
    <row r="99" spans="1:12" ht="18" customHeight="1" collapsed="1" thickBot="1" x14ac:dyDescent="0.3">
      <c r="A99" s="1368"/>
      <c r="B99" s="1369"/>
      <c r="C99" s="1358" t="s">
        <v>245</v>
      </c>
      <c r="D99" s="1359">
        <v>0</v>
      </c>
      <c r="E99" s="1359">
        <v>0</v>
      </c>
      <c r="F99" s="1359">
        <v>0</v>
      </c>
      <c r="G99" s="1359">
        <v>0</v>
      </c>
      <c r="H99" s="1359">
        <f>SUM(H97:H98)</f>
        <v>0</v>
      </c>
      <c r="I99" s="1360"/>
      <c r="J99" s="657">
        <f>'Výdaje kapitol celkem'!BH22</f>
        <v>0</v>
      </c>
      <c r="K99" s="720">
        <f>+J99-H99</f>
        <v>0</v>
      </c>
      <c r="L99" s="855"/>
    </row>
    <row r="100" spans="1:12" ht="18" hidden="1" customHeight="1" outlineLevel="1" x14ac:dyDescent="0.25">
      <c r="A100" s="1379" t="s">
        <v>230</v>
      </c>
      <c r="B100" s="1380">
        <v>5139</v>
      </c>
      <c r="C100" s="1377"/>
      <c r="D100" s="1378"/>
      <c r="E100" s="1378"/>
      <c r="F100" s="1378"/>
      <c r="G100" s="1378"/>
      <c r="H100" s="1378"/>
      <c r="I100" s="1355"/>
      <c r="J100" s="1339"/>
      <c r="K100" s="720"/>
      <c r="L100" s="855"/>
    </row>
    <row r="101" spans="1:12" ht="18" hidden="1" customHeight="1" outlineLevel="1" x14ac:dyDescent="0.25">
      <c r="A101" s="1382" t="s">
        <v>230</v>
      </c>
      <c r="B101" s="1383">
        <v>5139</v>
      </c>
      <c r="C101" s="1384"/>
      <c r="D101" s="1385"/>
      <c r="E101" s="1385"/>
      <c r="F101" s="1385"/>
      <c r="G101" s="1385"/>
      <c r="H101" s="1385"/>
      <c r="I101" s="1370"/>
      <c r="J101" s="1339"/>
      <c r="K101" s="720"/>
      <c r="L101" s="855"/>
    </row>
    <row r="102" spans="1:12" ht="18" customHeight="1" collapsed="1" thickBot="1" x14ac:dyDescent="0.3">
      <c r="A102" s="1368"/>
      <c r="B102" s="1369"/>
      <c r="C102" s="1358" t="s">
        <v>246</v>
      </c>
      <c r="D102" s="1359">
        <v>0</v>
      </c>
      <c r="E102" s="1359">
        <v>0</v>
      </c>
      <c r="F102" s="1359">
        <v>0</v>
      </c>
      <c r="G102" s="1359">
        <v>0</v>
      </c>
      <c r="H102" s="1359">
        <f>SUM(H100:H101)</f>
        <v>0</v>
      </c>
      <c r="I102" s="1360"/>
      <c r="J102" s="657">
        <f>'Výdaje kapitol celkem'!BK22</f>
        <v>0</v>
      </c>
      <c r="K102" s="720">
        <f>+J102-H102</f>
        <v>0</v>
      </c>
      <c r="L102" s="855"/>
    </row>
    <row r="103" spans="1:12" ht="18" customHeight="1" outlineLevel="1" x14ac:dyDescent="0.25">
      <c r="A103" s="1346">
        <v>2212</v>
      </c>
      <c r="B103" s="1347">
        <v>5139</v>
      </c>
      <c r="C103" s="1348" t="s">
        <v>1072</v>
      </c>
      <c r="D103" s="1349">
        <v>0</v>
      </c>
      <c r="E103" s="1349">
        <v>250000</v>
      </c>
      <c r="F103" s="1349">
        <v>150000</v>
      </c>
      <c r="G103" s="1349">
        <v>150000</v>
      </c>
      <c r="H103" s="1349">
        <f>'[5]Silnice nákup materiálu'!$B$4</f>
        <v>100000</v>
      </c>
      <c r="I103" s="1350"/>
      <c r="J103" s="1339"/>
      <c r="K103" s="720"/>
      <c r="L103" s="855"/>
    </row>
    <row r="104" spans="1:12" ht="18" customHeight="1" outlineLevel="1" x14ac:dyDescent="0.25">
      <c r="A104" s="1363">
        <v>2212</v>
      </c>
      <c r="B104" s="1367">
        <v>5139</v>
      </c>
      <c r="C104" s="1364" t="s">
        <v>1634</v>
      </c>
      <c r="D104" s="1365"/>
      <c r="E104" s="1365">
        <v>100000</v>
      </c>
      <c r="F104" s="1365">
        <v>100000</v>
      </c>
      <c r="G104" s="1365">
        <v>100000</v>
      </c>
      <c r="H104" s="1365">
        <f>'[5]Silnice nákup materiálu'!$B$5</f>
        <v>100000</v>
      </c>
      <c r="I104" s="1370"/>
      <c r="J104" s="1339"/>
      <c r="K104" s="720"/>
      <c r="L104" s="855"/>
    </row>
    <row r="105" spans="1:12" ht="18" customHeight="1" outlineLevel="1" x14ac:dyDescent="0.25">
      <c r="A105" s="1379">
        <v>2212</v>
      </c>
      <c r="B105" s="1380">
        <v>5139</v>
      </c>
      <c r="C105" s="1377"/>
      <c r="D105" s="1378">
        <v>50000</v>
      </c>
      <c r="E105" s="1378">
        <v>100000</v>
      </c>
      <c r="F105" s="1378">
        <v>100000</v>
      </c>
      <c r="G105" s="1378">
        <v>100000</v>
      </c>
      <c r="H105" s="1378"/>
      <c r="I105" s="1355"/>
      <c r="J105" s="1339"/>
      <c r="K105" s="720"/>
      <c r="L105" s="855"/>
    </row>
    <row r="106" spans="1:12" ht="18" customHeight="1" thickBot="1" x14ac:dyDescent="0.3">
      <c r="A106" s="1368"/>
      <c r="B106" s="1369"/>
      <c r="C106" s="1358" t="s">
        <v>298</v>
      </c>
      <c r="D106" s="1359">
        <v>54000</v>
      </c>
      <c r="E106" s="1359">
        <v>450000</v>
      </c>
      <c r="F106" s="1359">
        <v>350000</v>
      </c>
      <c r="G106" s="1359">
        <v>350000</v>
      </c>
      <c r="H106" s="1359">
        <f>SUM(H103:H105)</f>
        <v>200000</v>
      </c>
      <c r="I106" s="1360"/>
      <c r="J106" s="657">
        <f>'Výdaje kapitol celkem'!BS22</f>
        <v>200000</v>
      </c>
      <c r="K106" s="720">
        <f>+J106-H106</f>
        <v>0</v>
      </c>
      <c r="L106" s="855"/>
    </row>
    <row r="107" spans="1:12" ht="18" hidden="1" customHeight="1" outlineLevel="1" x14ac:dyDescent="0.25">
      <c r="A107" s="1346">
        <v>2310</v>
      </c>
      <c r="B107" s="1347">
        <v>5139</v>
      </c>
      <c r="C107" s="1348"/>
      <c r="D107" s="1349"/>
      <c r="E107" s="1349"/>
      <c r="F107" s="1349"/>
      <c r="G107" s="1349"/>
      <c r="H107" s="1349"/>
      <c r="I107" s="1350"/>
      <c r="J107" s="1339"/>
      <c r="K107" s="720"/>
      <c r="L107" s="855"/>
    </row>
    <row r="108" spans="1:12" ht="18" hidden="1" customHeight="1" outlineLevel="1" x14ac:dyDescent="0.25">
      <c r="A108" s="1382">
        <v>2310</v>
      </c>
      <c r="B108" s="1383">
        <v>5139</v>
      </c>
      <c r="C108" s="1384"/>
      <c r="D108" s="1387"/>
      <c r="E108" s="1387"/>
      <c r="F108" s="1387"/>
      <c r="G108" s="1387"/>
      <c r="H108" s="1387"/>
      <c r="I108" s="1366"/>
      <c r="J108" s="1339"/>
      <c r="K108" s="720"/>
      <c r="L108" s="855"/>
    </row>
    <row r="109" spans="1:12" ht="18" customHeight="1" collapsed="1" thickBot="1" x14ac:dyDescent="0.3">
      <c r="A109" s="1368"/>
      <c r="B109" s="1369"/>
      <c r="C109" s="1358" t="s">
        <v>247</v>
      </c>
      <c r="D109" s="1359">
        <v>0</v>
      </c>
      <c r="E109" s="1359">
        <v>0</v>
      </c>
      <c r="F109" s="1359">
        <v>0</v>
      </c>
      <c r="G109" s="1359">
        <v>0</v>
      </c>
      <c r="H109" s="1359">
        <f>SUM(H107:H108)</f>
        <v>0</v>
      </c>
      <c r="I109" s="1360"/>
      <c r="J109" s="657">
        <f>'Výdaje kapitol celkem'!BW22</f>
        <v>0</v>
      </c>
      <c r="K109" s="720">
        <f>+J109-H109</f>
        <v>0</v>
      </c>
      <c r="L109" s="855"/>
    </row>
    <row r="110" spans="1:12" ht="18" hidden="1" customHeight="1" outlineLevel="1" x14ac:dyDescent="0.25">
      <c r="A110" s="1379">
        <v>3633</v>
      </c>
      <c r="B110" s="1380">
        <v>5139</v>
      </c>
      <c r="C110" s="1377"/>
      <c r="D110" s="1349"/>
      <c r="E110" s="1349"/>
      <c r="F110" s="1349"/>
      <c r="G110" s="1349"/>
      <c r="H110" s="1349"/>
      <c r="I110" s="1361"/>
      <c r="J110" s="1339"/>
      <c r="K110" s="720"/>
      <c r="L110" s="855"/>
    </row>
    <row r="111" spans="1:12" ht="18" hidden="1" customHeight="1" outlineLevel="1" x14ac:dyDescent="0.25">
      <c r="A111" s="1382">
        <v>3633</v>
      </c>
      <c r="B111" s="1383">
        <v>5139</v>
      </c>
      <c r="C111" s="1384"/>
      <c r="D111" s="1365"/>
      <c r="E111" s="1365"/>
      <c r="F111" s="1365"/>
      <c r="G111" s="1365"/>
      <c r="H111" s="1365"/>
      <c r="I111" s="1361"/>
      <c r="J111" s="1339"/>
      <c r="K111" s="720"/>
      <c r="L111" s="855"/>
    </row>
    <row r="112" spans="1:12" ht="18" customHeight="1" collapsed="1" thickBot="1" x14ac:dyDescent="0.3">
      <c r="A112" s="1368"/>
      <c r="B112" s="1369"/>
      <c r="C112" s="1358" t="s">
        <v>294</v>
      </c>
      <c r="D112" s="1359">
        <v>0</v>
      </c>
      <c r="E112" s="1359">
        <v>0</v>
      </c>
      <c r="F112" s="1359">
        <v>0</v>
      </c>
      <c r="G112" s="1359">
        <v>0</v>
      </c>
      <c r="H112" s="1359">
        <f>SUM(H110:H111)</f>
        <v>0</v>
      </c>
      <c r="I112" s="1360"/>
      <c r="J112" s="657">
        <f>'Výdaje kapitol celkem'!CI22</f>
        <v>0</v>
      </c>
      <c r="K112" s="720">
        <f>+J112-H112</f>
        <v>0</v>
      </c>
      <c r="L112" s="855"/>
    </row>
    <row r="113" spans="1:12" ht="40.5" outlineLevel="1" x14ac:dyDescent="0.25">
      <c r="A113" s="1346">
        <v>3749</v>
      </c>
      <c r="B113" s="1347">
        <v>5139</v>
      </c>
      <c r="C113" s="1388" t="s">
        <v>2016</v>
      </c>
      <c r="D113" s="1349">
        <v>180000</v>
      </c>
      <c r="E113" s="1349"/>
      <c r="F113" s="1349"/>
      <c r="G113" s="1349"/>
      <c r="H113" s="1349">
        <f>'[6]Příroda 3749'!$B$6</f>
        <v>220000</v>
      </c>
      <c r="I113" s="1350"/>
      <c r="J113" s="657">
        <f>'Výdaje kapitol celkem'!CI23</f>
        <v>0</v>
      </c>
      <c r="K113" s="720"/>
      <c r="L113" s="855"/>
    </row>
    <row r="114" spans="1:12" outlineLevel="1" x14ac:dyDescent="0.25">
      <c r="A114" s="1351">
        <v>3749</v>
      </c>
      <c r="B114" s="1352">
        <v>5139</v>
      </c>
      <c r="C114" s="1377" t="s">
        <v>2017</v>
      </c>
      <c r="D114" s="1378"/>
      <c r="E114" s="1378">
        <v>220000</v>
      </c>
      <c r="F114" s="1378">
        <v>220000</v>
      </c>
      <c r="G114" s="1378">
        <v>220000</v>
      </c>
      <c r="H114" s="1378">
        <f>'[6]Příroda 3749'!$B$7</f>
        <v>0</v>
      </c>
      <c r="I114" s="1355"/>
      <c r="J114" s="657"/>
      <c r="K114" s="720"/>
      <c r="L114" s="855"/>
    </row>
    <row r="115" spans="1:12" ht="18" customHeight="1" outlineLevel="1" x14ac:dyDescent="0.25">
      <c r="A115" s="1382">
        <v>3749</v>
      </c>
      <c r="B115" s="1383">
        <v>5139</v>
      </c>
      <c r="C115" s="1384" t="s">
        <v>1108</v>
      </c>
      <c r="D115" s="1387">
        <v>300000</v>
      </c>
      <c r="E115" s="1387">
        <v>0</v>
      </c>
      <c r="F115" s="1387">
        <v>0</v>
      </c>
      <c r="G115" s="1387">
        <v>0</v>
      </c>
      <c r="H115" s="1387">
        <f>'[6]Příroda 3749'!$B$8</f>
        <v>0</v>
      </c>
      <c r="I115" s="1366"/>
      <c r="J115" s="657">
        <f>'Výdaje kapitol celkem'!CI24</f>
        <v>0</v>
      </c>
      <c r="K115" s="720"/>
      <c r="L115" s="855"/>
    </row>
    <row r="116" spans="1:12" ht="18" customHeight="1" outlineLevel="1" x14ac:dyDescent="0.25">
      <c r="A116" s="1382">
        <v>3749</v>
      </c>
      <c r="B116" s="1383">
        <v>5139</v>
      </c>
      <c r="C116" s="1384"/>
      <c r="D116" s="1387">
        <v>0</v>
      </c>
      <c r="E116" s="1387">
        <v>0</v>
      </c>
      <c r="F116" s="1387">
        <v>0</v>
      </c>
      <c r="G116" s="1387">
        <v>0</v>
      </c>
      <c r="H116" s="1387">
        <v>0</v>
      </c>
      <c r="I116" s="1366"/>
      <c r="J116" s="657">
        <f>'Výdaje kapitol celkem'!CI25</f>
        <v>0</v>
      </c>
      <c r="K116" s="720"/>
      <c r="L116" s="855"/>
    </row>
    <row r="117" spans="1:12" ht="18" customHeight="1" thickBot="1" x14ac:dyDescent="0.3">
      <c r="A117" s="1368"/>
      <c r="B117" s="1369"/>
      <c r="C117" s="1358" t="s">
        <v>192</v>
      </c>
      <c r="D117" s="1359">
        <v>480000</v>
      </c>
      <c r="E117" s="1359">
        <v>220000</v>
      </c>
      <c r="F117" s="1359">
        <v>220000</v>
      </c>
      <c r="G117" s="1359">
        <v>220000</v>
      </c>
      <c r="H117" s="1359">
        <f>SUM(H113:H116)</f>
        <v>220000</v>
      </c>
      <c r="I117" s="1360"/>
      <c r="J117" s="657">
        <f>'Výdaje kapitol celkem'!CW22</f>
        <v>220000</v>
      </c>
      <c r="K117" s="720">
        <f>+J117-H117</f>
        <v>0</v>
      </c>
      <c r="L117" s="855"/>
    </row>
    <row r="118" spans="1:12" ht="18" hidden="1" customHeight="1" outlineLevel="1" x14ac:dyDescent="0.25">
      <c r="A118" s="1379">
        <v>1036</v>
      </c>
      <c r="B118" s="1380">
        <v>5139</v>
      </c>
      <c r="C118" s="1377"/>
      <c r="D118" s="1378"/>
      <c r="E118" s="1378"/>
      <c r="F118" s="1378"/>
      <c r="G118" s="1378"/>
      <c r="H118" s="1378"/>
      <c r="I118" s="1355"/>
      <c r="J118" s="1339"/>
      <c r="K118" s="720"/>
      <c r="L118" s="855"/>
    </row>
    <row r="119" spans="1:12" ht="18" hidden="1" customHeight="1" outlineLevel="1" x14ac:dyDescent="0.25">
      <c r="A119" s="1382">
        <v>1036</v>
      </c>
      <c r="B119" s="1383">
        <v>5139</v>
      </c>
      <c r="C119" s="1384"/>
      <c r="D119" s="1387"/>
      <c r="E119" s="1387"/>
      <c r="F119" s="1387"/>
      <c r="G119" s="1387"/>
      <c r="H119" s="1387"/>
      <c r="I119" s="1366"/>
      <c r="J119" s="1339"/>
      <c r="K119" s="720"/>
      <c r="L119" s="855"/>
    </row>
    <row r="120" spans="1:12" ht="18" hidden="1" customHeight="1" outlineLevel="1" x14ac:dyDescent="0.25">
      <c r="A120" s="1382">
        <v>1036</v>
      </c>
      <c r="B120" s="1383">
        <v>5139</v>
      </c>
      <c r="C120" s="1364"/>
      <c r="D120" s="1387"/>
      <c r="E120" s="1387"/>
      <c r="F120" s="1387"/>
      <c r="G120" s="1387"/>
      <c r="H120" s="1387"/>
      <c r="I120" s="1370"/>
      <c r="J120" s="1339"/>
      <c r="K120" s="720"/>
      <c r="L120" s="855"/>
    </row>
    <row r="121" spans="1:12" ht="18" customHeight="1" collapsed="1" thickBot="1" x14ac:dyDescent="0.3">
      <c r="A121" s="1368"/>
      <c r="B121" s="1369"/>
      <c r="C121" s="1358" t="s">
        <v>188</v>
      </c>
      <c r="D121" s="1359">
        <v>0</v>
      </c>
      <c r="E121" s="1359">
        <v>0</v>
      </c>
      <c r="F121" s="1359">
        <v>0</v>
      </c>
      <c r="G121" s="1359">
        <v>0</v>
      </c>
      <c r="H121" s="1359">
        <f>SUM(H118:H120)</f>
        <v>0</v>
      </c>
      <c r="I121" s="1360"/>
      <c r="J121" s="657">
        <f>'Výdaje kapitol celkem'!CL22</f>
        <v>0</v>
      </c>
      <c r="K121" s="720">
        <f>+J121-H121</f>
        <v>0</v>
      </c>
      <c r="L121" s="855"/>
    </row>
    <row r="122" spans="1:12" ht="18" hidden="1" customHeight="1" outlineLevel="1" x14ac:dyDescent="0.25">
      <c r="A122" s="1379" t="s">
        <v>257</v>
      </c>
      <c r="B122" s="1380">
        <v>5139</v>
      </c>
      <c r="C122" s="1377"/>
      <c r="D122" s="1378"/>
      <c r="E122" s="1378"/>
      <c r="F122" s="1378"/>
      <c r="G122" s="1378"/>
      <c r="H122" s="1378"/>
      <c r="I122" s="1355"/>
      <c r="J122" s="1339"/>
      <c r="K122" s="720"/>
      <c r="L122" s="855"/>
    </row>
    <row r="123" spans="1:12" ht="18" hidden="1" customHeight="1" outlineLevel="1" x14ac:dyDescent="0.25">
      <c r="A123" s="1382" t="s">
        <v>257</v>
      </c>
      <c r="B123" s="1383">
        <v>5139</v>
      </c>
      <c r="C123" s="1384"/>
      <c r="D123" s="1387"/>
      <c r="E123" s="1387"/>
      <c r="F123" s="1387"/>
      <c r="G123" s="1387"/>
      <c r="H123" s="1387"/>
      <c r="I123" s="1366"/>
      <c r="J123" s="1339"/>
      <c r="K123" s="720"/>
      <c r="L123" s="855"/>
    </row>
    <row r="124" spans="1:12" ht="18" hidden="1" customHeight="1" outlineLevel="1" x14ac:dyDescent="0.25">
      <c r="A124" s="1382" t="s">
        <v>257</v>
      </c>
      <c r="B124" s="1383">
        <v>5139</v>
      </c>
      <c r="C124" s="1364"/>
      <c r="D124" s="1387"/>
      <c r="E124" s="1387"/>
      <c r="F124" s="1387"/>
      <c r="G124" s="1387"/>
      <c r="H124" s="1387"/>
      <c r="I124" s="1370"/>
      <c r="J124" s="1339"/>
      <c r="K124" s="720"/>
      <c r="L124" s="855"/>
    </row>
    <row r="125" spans="1:12" ht="18" customHeight="1" collapsed="1" thickBot="1" x14ac:dyDescent="0.3">
      <c r="A125" s="1368"/>
      <c r="B125" s="1369"/>
      <c r="C125" s="1358" t="s">
        <v>293</v>
      </c>
      <c r="D125" s="1359">
        <v>0</v>
      </c>
      <c r="E125" s="1359">
        <v>0</v>
      </c>
      <c r="F125" s="1359">
        <v>0</v>
      </c>
      <c r="G125" s="1359">
        <v>0</v>
      </c>
      <c r="H125" s="1359">
        <f>SUM(H122:H124)</f>
        <v>0</v>
      </c>
      <c r="I125" s="1360"/>
      <c r="J125" s="657">
        <f>'Výdaje kapitol celkem'!CF22</f>
        <v>0</v>
      </c>
      <c r="K125" s="720">
        <f>+J125-H125</f>
        <v>0</v>
      </c>
      <c r="L125" s="855"/>
    </row>
    <row r="126" spans="1:12" ht="18" hidden="1" customHeight="1" outlineLevel="1" x14ac:dyDescent="0.25">
      <c r="A126" s="1379" t="s">
        <v>231</v>
      </c>
      <c r="B126" s="1380">
        <v>5139</v>
      </c>
      <c r="C126" s="1377"/>
      <c r="D126" s="1378"/>
      <c r="E126" s="1378"/>
      <c r="F126" s="1378"/>
      <c r="G126" s="1378"/>
      <c r="H126" s="1378"/>
      <c r="I126" s="1355"/>
      <c r="J126" s="1339"/>
      <c r="K126" s="720"/>
      <c r="L126" s="855"/>
    </row>
    <row r="127" spans="1:12" ht="18" hidden="1" customHeight="1" outlineLevel="1" x14ac:dyDescent="0.25">
      <c r="A127" s="1382" t="s">
        <v>231</v>
      </c>
      <c r="B127" s="1383">
        <v>5139</v>
      </c>
      <c r="C127" s="1364"/>
      <c r="D127" s="1387"/>
      <c r="E127" s="1387"/>
      <c r="F127" s="1387"/>
      <c r="G127" s="1387"/>
      <c r="H127" s="1387"/>
      <c r="I127" s="1370"/>
      <c r="J127" s="1339"/>
      <c r="K127" s="720"/>
      <c r="L127" s="855"/>
    </row>
    <row r="128" spans="1:12" ht="18" customHeight="1" collapsed="1" thickBot="1" x14ac:dyDescent="0.3">
      <c r="A128" s="1368"/>
      <c r="B128" s="1369"/>
      <c r="C128" s="1358" t="s">
        <v>842</v>
      </c>
      <c r="D128" s="1359">
        <v>0</v>
      </c>
      <c r="E128" s="1359">
        <v>0</v>
      </c>
      <c r="F128" s="1359">
        <v>0</v>
      </c>
      <c r="G128" s="1359">
        <v>0</v>
      </c>
      <c r="H128" s="1359">
        <f>SUM(H126:H127)</f>
        <v>0</v>
      </c>
      <c r="I128" s="1360"/>
      <c r="J128" s="657">
        <f>'Výdaje kapitol celkem'!CC22</f>
        <v>0</v>
      </c>
      <c r="K128" s="720">
        <f>+J128-H128</f>
        <v>0</v>
      </c>
      <c r="L128" s="855"/>
    </row>
    <row r="129" spans="1:12" ht="18" hidden="1" customHeight="1" outlineLevel="1" x14ac:dyDescent="0.25">
      <c r="A129" s="1346" t="s">
        <v>593</v>
      </c>
      <c r="B129" s="1347">
        <v>5139</v>
      </c>
      <c r="C129" s="1348"/>
      <c r="D129" s="1349"/>
      <c r="E129" s="1349"/>
      <c r="F129" s="1349"/>
      <c r="G129" s="1349"/>
      <c r="H129" s="1349"/>
      <c r="I129" s="1350"/>
      <c r="J129" s="1339"/>
      <c r="K129" s="720"/>
      <c r="L129" s="855"/>
    </row>
    <row r="130" spans="1:12" ht="18" hidden="1" customHeight="1" outlineLevel="1" x14ac:dyDescent="0.25">
      <c r="A130" s="1379" t="s">
        <v>593</v>
      </c>
      <c r="B130" s="1380">
        <v>5139</v>
      </c>
      <c r="C130" s="1377"/>
      <c r="D130" s="1386"/>
      <c r="E130" s="1386"/>
      <c r="F130" s="1386"/>
      <c r="G130" s="1386"/>
      <c r="H130" s="1386"/>
      <c r="I130" s="1361"/>
      <c r="J130" s="1339"/>
      <c r="K130" s="720"/>
      <c r="L130" s="855"/>
    </row>
    <row r="131" spans="1:12" ht="18" customHeight="1" collapsed="1" thickBot="1" x14ac:dyDescent="0.3">
      <c r="A131" s="1368"/>
      <c r="B131" s="1369"/>
      <c r="C131" s="1358" t="s">
        <v>189</v>
      </c>
      <c r="D131" s="1359">
        <v>0</v>
      </c>
      <c r="E131" s="1359">
        <v>0</v>
      </c>
      <c r="F131" s="1359">
        <v>0</v>
      </c>
      <c r="G131" s="1359">
        <v>0</v>
      </c>
      <c r="H131" s="1359">
        <f>SUM(H129:H130)</f>
        <v>0</v>
      </c>
      <c r="I131" s="1360"/>
      <c r="J131" s="657">
        <f>'Výdaje kapitol celkem'!CM22</f>
        <v>0</v>
      </c>
      <c r="K131" s="720">
        <f>+J131-H131</f>
        <v>0</v>
      </c>
      <c r="L131" s="855"/>
    </row>
    <row r="132" spans="1:12" ht="18" hidden="1" customHeight="1" outlineLevel="1" x14ac:dyDescent="0.25">
      <c r="A132" s="1346" t="s">
        <v>214</v>
      </c>
      <c r="B132" s="1347">
        <v>5139</v>
      </c>
      <c r="C132" s="1348"/>
      <c r="D132" s="1349"/>
      <c r="E132" s="1349"/>
      <c r="F132" s="1349"/>
      <c r="G132" s="1349"/>
      <c r="H132" s="1349"/>
      <c r="I132" s="1350"/>
      <c r="J132" s="1339"/>
      <c r="K132" s="720"/>
      <c r="L132" s="855"/>
    </row>
    <row r="133" spans="1:12" ht="18" hidden="1" customHeight="1" outlineLevel="1" x14ac:dyDescent="0.25">
      <c r="A133" s="1363" t="s">
        <v>214</v>
      </c>
      <c r="B133" s="1367">
        <v>5139</v>
      </c>
      <c r="C133" s="1364"/>
      <c r="D133" s="1371"/>
      <c r="E133" s="1371"/>
      <c r="F133" s="1371"/>
      <c r="G133" s="1371"/>
      <c r="H133" s="1371"/>
      <c r="I133" s="1370"/>
      <c r="J133" s="1339"/>
      <c r="K133" s="720"/>
      <c r="L133" s="855"/>
    </row>
    <row r="134" spans="1:12" ht="18" hidden="1" customHeight="1" outlineLevel="1" x14ac:dyDescent="0.25">
      <c r="A134" s="1379" t="s">
        <v>214</v>
      </c>
      <c r="B134" s="1380">
        <v>5139</v>
      </c>
      <c r="C134" s="1377"/>
      <c r="D134" s="1386"/>
      <c r="E134" s="1386"/>
      <c r="F134" s="1386"/>
      <c r="G134" s="1386"/>
      <c r="H134" s="1386"/>
      <c r="I134" s="1361"/>
      <c r="J134" s="1339"/>
      <c r="K134" s="720"/>
      <c r="L134" s="855"/>
    </row>
    <row r="135" spans="1:12" ht="18" customHeight="1" collapsed="1" thickBot="1" x14ac:dyDescent="0.3">
      <c r="A135" s="1368"/>
      <c r="B135" s="1369"/>
      <c r="C135" s="1358" t="s">
        <v>190</v>
      </c>
      <c r="D135" s="1359">
        <v>0</v>
      </c>
      <c r="E135" s="1359">
        <v>0</v>
      </c>
      <c r="F135" s="1359">
        <v>0</v>
      </c>
      <c r="G135" s="1359">
        <v>0</v>
      </c>
      <c r="H135" s="1359">
        <f>SUM(H132:H134)</f>
        <v>0</v>
      </c>
      <c r="I135" s="1360"/>
      <c r="J135" s="657">
        <f>'Výdaje kapitol celkem'!CP22</f>
        <v>0</v>
      </c>
      <c r="K135" s="720">
        <f>+J135-H135</f>
        <v>0</v>
      </c>
      <c r="L135" s="855"/>
    </row>
    <row r="136" spans="1:12" ht="18" hidden="1" customHeight="1" outlineLevel="1" x14ac:dyDescent="0.25">
      <c r="A136" s="1346">
        <v>3729</v>
      </c>
      <c r="B136" s="1347">
        <v>5139</v>
      </c>
      <c r="C136" s="1348"/>
      <c r="D136" s="1349"/>
      <c r="E136" s="1349"/>
      <c r="F136" s="1349"/>
      <c r="G136" s="1349"/>
      <c r="H136" s="1349"/>
      <c r="I136" s="1350"/>
      <c r="J136" s="1339"/>
      <c r="K136" s="720"/>
      <c r="L136" s="855"/>
    </row>
    <row r="137" spans="1:12" ht="18" hidden="1" customHeight="1" outlineLevel="1" x14ac:dyDescent="0.25">
      <c r="A137" s="1379">
        <v>3729</v>
      </c>
      <c r="B137" s="1380">
        <v>5139</v>
      </c>
      <c r="C137" s="1377"/>
      <c r="D137" s="1386"/>
      <c r="E137" s="1386"/>
      <c r="F137" s="1386"/>
      <c r="G137" s="1386"/>
      <c r="H137" s="1386"/>
      <c r="I137" s="1361"/>
      <c r="J137" s="1339"/>
      <c r="K137" s="720"/>
      <c r="L137" s="855"/>
    </row>
    <row r="138" spans="1:12" ht="18" customHeight="1" collapsed="1" thickBot="1" x14ac:dyDescent="0.3">
      <c r="A138" s="1368"/>
      <c r="B138" s="1369"/>
      <c r="C138" s="1358" t="s">
        <v>594</v>
      </c>
      <c r="D138" s="1359">
        <v>0</v>
      </c>
      <c r="E138" s="1359">
        <v>0</v>
      </c>
      <c r="F138" s="1359">
        <v>0</v>
      </c>
      <c r="G138" s="1359">
        <v>0</v>
      </c>
      <c r="H138" s="1359">
        <f>SUM(H136:H137)</f>
        <v>0</v>
      </c>
      <c r="I138" s="1360"/>
      <c r="J138" s="657">
        <f>'Výdaje kapitol celkem'!CS22</f>
        <v>0</v>
      </c>
      <c r="K138" s="720">
        <f>+J138-H138</f>
        <v>0</v>
      </c>
      <c r="L138" s="855"/>
    </row>
    <row r="139" spans="1:12" ht="18" hidden="1" customHeight="1" outlineLevel="1" x14ac:dyDescent="0.25">
      <c r="A139" s="1346">
        <v>3744</v>
      </c>
      <c r="B139" s="1347">
        <v>5139</v>
      </c>
      <c r="C139" s="1348"/>
      <c r="D139" s="1349"/>
      <c r="E139" s="1349"/>
      <c r="F139" s="1349"/>
      <c r="G139" s="1349"/>
      <c r="H139" s="1349"/>
      <c r="I139" s="1350"/>
      <c r="J139" s="1339"/>
      <c r="K139" s="720"/>
      <c r="L139" s="855"/>
    </row>
    <row r="140" spans="1:12" ht="18" hidden="1" customHeight="1" outlineLevel="1" x14ac:dyDescent="0.25">
      <c r="A140" s="1363">
        <v>3744</v>
      </c>
      <c r="B140" s="1367">
        <v>5139</v>
      </c>
      <c r="C140" s="1364"/>
      <c r="D140" s="1365"/>
      <c r="E140" s="1365"/>
      <c r="F140" s="1365"/>
      <c r="G140" s="1365"/>
      <c r="H140" s="1365"/>
      <c r="I140" s="1366"/>
      <c r="J140" s="1339"/>
      <c r="K140" s="720"/>
      <c r="L140" s="855"/>
    </row>
    <row r="141" spans="1:12" ht="18" hidden="1" customHeight="1" outlineLevel="1" x14ac:dyDescent="0.25">
      <c r="A141" s="1379">
        <v>3744</v>
      </c>
      <c r="B141" s="1380">
        <v>5139</v>
      </c>
      <c r="C141" s="1377"/>
      <c r="D141" s="1386"/>
      <c r="E141" s="1386"/>
      <c r="F141" s="1386"/>
      <c r="G141" s="1386"/>
      <c r="H141" s="1386"/>
      <c r="I141" s="1361"/>
      <c r="J141" s="1339"/>
      <c r="K141" s="720"/>
      <c r="L141" s="855"/>
    </row>
    <row r="142" spans="1:12" ht="18" customHeight="1" collapsed="1" thickBot="1" x14ac:dyDescent="0.3">
      <c r="A142" s="1368"/>
      <c r="B142" s="1369"/>
      <c r="C142" s="1358" t="s">
        <v>191</v>
      </c>
      <c r="D142" s="1359">
        <v>0</v>
      </c>
      <c r="E142" s="1359">
        <v>0</v>
      </c>
      <c r="F142" s="1359">
        <v>0</v>
      </c>
      <c r="G142" s="1359">
        <v>0</v>
      </c>
      <c r="H142" s="1359">
        <f>SUM(H139:H141)</f>
        <v>0</v>
      </c>
      <c r="I142" s="1360"/>
      <c r="J142" s="657">
        <f>'Výdaje kapitol celkem'!CV22</f>
        <v>0</v>
      </c>
      <c r="K142" s="720">
        <f>+J142-H142</f>
        <v>0</v>
      </c>
      <c r="L142" s="855"/>
    </row>
    <row r="143" spans="1:12" ht="18" hidden="1" customHeight="1" outlineLevel="1" x14ac:dyDescent="0.25">
      <c r="A143" s="1346" t="s">
        <v>348</v>
      </c>
      <c r="B143" s="1347">
        <v>5139</v>
      </c>
      <c r="C143" s="1348"/>
      <c r="D143" s="1349"/>
      <c r="E143" s="1349"/>
      <c r="F143" s="1349"/>
      <c r="G143" s="1349"/>
      <c r="H143" s="1349"/>
      <c r="I143" s="1350"/>
      <c r="J143" s="1339"/>
      <c r="K143" s="720"/>
      <c r="L143" s="855"/>
    </row>
    <row r="144" spans="1:12" ht="18" hidden="1" customHeight="1" outlineLevel="1" x14ac:dyDescent="0.25">
      <c r="A144" s="1379" t="s">
        <v>348</v>
      </c>
      <c r="B144" s="1380">
        <v>5139</v>
      </c>
      <c r="C144" s="1353"/>
      <c r="D144" s="1378"/>
      <c r="E144" s="1378"/>
      <c r="F144" s="1378"/>
      <c r="G144" s="1378"/>
      <c r="H144" s="1378"/>
      <c r="I144" s="1361"/>
      <c r="J144" s="1339"/>
      <c r="K144" s="720"/>
      <c r="L144" s="855"/>
    </row>
    <row r="145" spans="1:12" ht="18" customHeight="1" collapsed="1" thickBot="1" x14ac:dyDescent="0.3">
      <c r="A145" s="1368"/>
      <c r="B145" s="1369"/>
      <c r="C145" s="1358" t="s">
        <v>349</v>
      </c>
      <c r="D145" s="1359">
        <v>0</v>
      </c>
      <c r="E145" s="1359">
        <v>0</v>
      </c>
      <c r="F145" s="1359">
        <v>0</v>
      </c>
      <c r="G145" s="1359">
        <v>0</v>
      </c>
      <c r="H145" s="1359">
        <f>SUM(H143:H144)</f>
        <v>0</v>
      </c>
      <c r="I145" s="1360"/>
      <c r="J145" s="657">
        <f>'Výdaje kapitol celkem'!DA22</f>
        <v>0</v>
      </c>
      <c r="K145" s="720">
        <f>+J145-H145</f>
        <v>0</v>
      </c>
      <c r="L145" s="855"/>
    </row>
    <row r="146" spans="1:12" ht="18" hidden="1" customHeight="1" outlineLevel="1" x14ac:dyDescent="0.25">
      <c r="A146" s="1346" t="s">
        <v>215</v>
      </c>
      <c r="B146" s="1347">
        <v>5139</v>
      </c>
      <c r="C146" s="1348"/>
      <c r="D146" s="1349"/>
      <c r="E146" s="1349"/>
      <c r="F146" s="1349"/>
      <c r="G146" s="1349"/>
      <c r="H146" s="1349"/>
      <c r="I146" s="1350"/>
      <c r="J146" s="1339"/>
      <c r="K146" s="720"/>
      <c r="L146" s="855"/>
    </row>
    <row r="147" spans="1:12" ht="18" hidden="1" customHeight="1" outlineLevel="1" x14ac:dyDescent="0.25">
      <c r="A147" s="1379" t="s">
        <v>215</v>
      </c>
      <c r="B147" s="1380">
        <v>5139</v>
      </c>
      <c r="C147" s="1377"/>
      <c r="D147" s="1386"/>
      <c r="E147" s="1386"/>
      <c r="F147" s="1386"/>
      <c r="G147" s="1386"/>
      <c r="H147" s="1386"/>
      <c r="I147" s="1361"/>
      <c r="J147" s="1339"/>
      <c r="K147" s="720"/>
      <c r="L147" s="855"/>
    </row>
    <row r="148" spans="1:12" ht="18" customHeight="1" collapsed="1" thickBot="1" x14ac:dyDescent="0.3">
      <c r="A148" s="1368"/>
      <c r="B148" s="1369"/>
      <c r="C148" s="1358" t="s">
        <v>595</v>
      </c>
      <c r="D148" s="1359">
        <v>0</v>
      </c>
      <c r="E148" s="1359">
        <v>0</v>
      </c>
      <c r="F148" s="1359">
        <v>0</v>
      </c>
      <c r="G148" s="1359">
        <v>0</v>
      </c>
      <c r="H148" s="1359">
        <f>SUM(H146:H147)</f>
        <v>0</v>
      </c>
      <c r="I148" s="1360"/>
      <c r="J148" s="657">
        <f>'Výdaje kapitol celkem'!DH22</f>
        <v>0</v>
      </c>
      <c r="K148" s="720">
        <f>+J148-H148</f>
        <v>0</v>
      </c>
      <c r="L148" s="855"/>
    </row>
    <row r="149" spans="1:12" ht="18" customHeight="1" outlineLevel="1" x14ac:dyDescent="0.25">
      <c r="A149" s="1346">
        <v>3114</v>
      </c>
      <c r="B149" s="1347">
        <v>5139</v>
      </c>
      <c r="C149" s="1348" t="s">
        <v>1304</v>
      </c>
      <c r="D149" s="1349">
        <v>15000</v>
      </c>
      <c r="E149" s="1349">
        <v>30000</v>
      </c>
      <c r="F149" s="1349">
        <v>30000</v>
      </c>
      <c r="G149" s="1349">
        <v>30000</v>
      </c>
      <c r="H149" s="1349">
        <f>[3]č.p.65!$B$12</f>
        <v>30000</v>
      </c>
      <c r="I149" s="1350"/>
      <c r="J149" s="1339"/>
      <c r="K149" s="720"/>
      <c r="L149" s="855"/>
    </row>
    <row r="150" spans="1:12" ht="18" hidden="1" customHeight="1" outlineLevel="1" x14ac:dyDescent="0.25">
      <c r="A150" s="1363">
        <v>3114</v>
      </c>
      <c r="B150" s="1367">
        <v>5139</v>
      </c>
      <c r="C150" s="1364"/>
      <c r="D150" s="1365"/>
      <c r="E150" s="1365"/>
      <c r="F150" s="1365"/>
      <c r="G150" s="1365"/>
      <c r="H150" s="1365"/>
      <c r="I150" s="1370"/>
      <c r="J150" s="1339"/>
      <c r="K150" s="720"/>
      <c r="L150" s="855"/>
    </row>
    <row r="151" spans="1:12" ht="18" customHeight="1" outlineLevel="1" x14ac:dyDescent="0.25">
      <c r="A151" s="1379">
        <v>3114</v>
      </c>
      <c r="B151" s="1380">
        <v>5139</v>
      </c>
      <c r="C151" s="1377"/>
      <c r="D151" s="1378"/>
      <c r="E151" s="1378"/>
      <c r="F151" s="1378"/>
      <c r="G151" s="1378"/>
      <c r="H151" s="1378">
        <f>[3]č.p.65!$B$13</f>
        <v>0</v>
      </c>
      <c r="I151" s="1370"/>
      <c r="J151" s="1339"/>
      <c r="K151" s="720"/>
      <c r="L151" s="855"/>
    </row>
    <row r="152" spans="1:12" ht="18" customHeight="1" thickBot="1" x14ac:dyDescent="0.3">
      <c r="A152" s="1368"/>
      <c r="B152" s="1369"/>
      <c r="C152" s="1358" t="s">
        <v>248</v>
      </c>
      <c r="D152" s="1359">
        <f>SUM(D149:D151)</f>
        <v>15000</v>
      </c>
      <c r="E152" s="1359">
        <v>30000</v>
      </c>
      <c r="F152" s="1359">
        <v>30000</v>
      </c>
      <c r="G152" s="1359">
        <v>30000</v>
      </c>
      <c r="H152" s="1359">
        <f>SUM(H149:H151)</f>
        <v>30000</v>
      </c>
      <c r="I152" s="1360"/>
      <c r="J152" s="657">
        <f>'Výdaje kapitol celkem'!AV22</f>
        <v>30000</v>
      </c>
      <c r="K152" s="720">
        <f>+J152-H152</f>
        <v>0</v>
      </c>
      <c r="L152" s="855"/>
    </row>
    <row r="153" spans="1:12" ht="18" hidden="1" customHeight="1" outlineLevel="1" x14ac:dyDescent="0.25">
      <c r="A153" s="1346" t="s">
        <v>234</v>
      </c>
      <c r="B153" s="1347">
        <v>5139</v>
      </c>
      <c r="C153" s="1348"/>
      <c r="D153" s="1349"/>
      <c r="E153" s="1349"/>
      <c r="F153" s="1349"/>
      <c r="G153" s="1349"/>
      <c r="H153" s="1349"/>
      <c r="I153" s="1350"/>
      <c r="J153" s="1339"/>
      <c r="K153" s="720"/>
      <c r="L153" s="855"/>
    </row>
    <row r="154" spans="1:12" ht="18" hidden="1" customHeight="1" outlineLevel="1" x14ac:dyDescent="0.25">
      <c r="A154" s="1363" t="s">
        <v>234</v>
      </c>
      <c r="B154" s="1367">
        <v>5139</v>
      </c>
      <c r="C154" s="1364"/>
      <c r="D154" s="1365"/>
      <c r="E154" s="1365"/>
      <c r="F154" s="1365"/>
      <c r="G154" s="1365"/>
      <c r="H154" s="1365"/>
      <c r="I154" s="1366"/>
      <c r="J154" s="1339"/>
      <c r="K154" s="720"/>
      <c r="L154" s="855"/>
    </row>
    <row r="155" spans="1:12" ht="18" hidden="1" customHeight="1" outlineLevel="1" x14ac:dyDescent="0.25">
      <c r="A155" s="1351" t="s">
        <v>234</v>
      </c>
      <c r="B155" s="1352">
        <v>5139</v>
      </c>
      <c r="C155" s="1353"/>
      <c r="D155" s="1362"/>
      <c r="E155" s="1362"/>
      <c r="F155" s="1362"/>
      <c r="G155" s="1362"/>
      <c r="H155" s="1362"/>
      <c r="I155" s="1361"/>
      <c r="J155" s="1339"/>
      <c r="K155" s="720"/>
      <c r="L155" s="855"/>
    </row>
    <row r="156" spans="1:12" ht="18" customHeight="1" collapsed="1" thickBot="1" x14ac:dyDescent="0.3">
      <c r="A156" s="1382"/>
      <c r="B156" s="1383"/>
      <c r="C156" s="1389" t="s">
        <v>251</v>
      </c>
      <c r="D156" s="1385">
        <v>0</v>
      </c>
      <c r="E156" s="1385">
        <v>0</v>
      </c>
      <c r="F156" s="1385">
        <v>0</v>
      </c>
      <c r="G156" s="1385">
        <v>0</v>
      </c>
      <c r="H156" s="1385">
        <f>SUM(H153:H155)</f>
        <v>0</v>
      </c>
      <c r="I156" s="1370"/>
      <c r="J156" s="657">
        <f>'Výdaje kapitol celkem'!BZ22</f>
        <v>0</v>
      </c>
      <c r="K156" s="720">
        <f>+J156-H156</f>
        <v>0</v>
      </c>
      <c r="L156" s="855"/>
    </row>
    <row r="157" spans="1:12" s="652" customFormat="1" ht="17.25" thickBot="1" x14ac:dyDescent="0.35">
      <c r="A157" s="2319" t="s">
        <v>966</v>
      </c>
      <c r="B157" s="2320"/>
      <c r="C157" s="2321"/>
      <c r="D157" s="1372">
        <f>+D7+D10+D18+D21+D24+D27+D30+D33+D35+D41+D44+D47+D50+D56+D59+D68+D72+D75+D80+D83+D86+D89+D93+D96+D99+D102+D106+D109+D112+D117+D121+D125+D128+D131+D135+D138+D142+D145+D148+D152+D156+D14+D64</f>
        <v>1532905</v>
      </c>
      <c r="E157" s="1372">
        <v>1824000</v>
      </c>
      <c r="F157" s="1372">
        <v>1724000</v>
      </c>
      <c r="G157" s="1372">
        <v>1724000</v>
      </c>
      <c r="H157" s="1372">
        <f>+H7+H10+H18+H21+H24+H27+H30+H33+H35+H41+H44+H47+H50+H56+H59+H68+H72+H75+H80+H83+H86+H89+H93+H96+H99+H102+H106+H109+H112+H117+H121+H125+H128+H131+H135+H138+H142+H145+H148+H152+H156+H14+H64</f>
        <v>1704000</v>
      </c>
      <c r="I157" s="1373"/>
      <c r="J157" s="1339"/>
      <c r="K157" s="1390"/>
      <c r="L157" s="855"/>
    </row>
    <row r="158" spans="1:12" x14ac:dyDescent="0.25">
      <c r="A158" s="876"/>
      <c r="B158" s="876"/>
      <c r="C158" s="876"/>
      <c r="D158" s="1337">
        <f>'Výdaje kapitol celkem'!D22</f>
        <v>1532905</v>
      </c>
      <c r="E158" s="1337">
        <v>1824000</v>
      </c>
      <c r="F158" s="1337">
        <v>1724000</v>
      </c>
      <c r="G158" s="1337">
        <v>1724000</v>
      </c>
      <c r="H158" s="1337">
        <f>+'Výdaje kapitol celkem'!H22</f>
        <v>1704000</v>
      </c>
      <c r="I158" s="1338"/>
      <c r="J158" s="1339"/>
      <c r="K158" s="1340"/>
    </row>
    <row r="159" spans="1:12" s="768" customFormat="1" x14ac:dyDescent="0.25">
      <c r="A159" s="879"/>
      <c r="B159" s="879"/>
      <c r="C159" s="879" t="s">
        <v>253</v>
      </c>
      <c r="D159" s="1338">
        <f>+D157-D158</f>
        <v>0</v>
      </c>
      <c r="E159" s="1338">
        <v>0</v>
      </c>
      <c r="F159" s="1338">
        <v>0</v>
      </c>
      <c r="G159" s="1338">
        <v>0</v>
      </c>
      <c r="H159" s="1338">
        <f>+H157-H158</f>
        <v>0</v>
      </c>
      <c r="I159" s="1338"/>
      <c r="J159" s="1339"/>
      <c r="K159" s="1340"/>
    </row>
    <row r="160" spans="1:12" x14ac:dyDescent="0.25">
      <c r="A160" s="1319" t="s">
        <v>650</v>
      </c>
      <c r="B160" s="876"/>
      <c r="C160" s="876"/>
      <c r="D160" s="1337"/>
      <c r="E160" s="1337"/>
      <c r="F160" s="1337"/>
      <c r="G160" s="1337"/>
      <c r="H160" s="1337"/>
      <c r="I160" s="1338"/>
      <c r="J160" s="1339"/>
      <c r="K160" s="1340"/>
    </row>
  </sheetData>
  <sheetProtection algorithmName="SHA-512" hashValue="gSjRv3Lbnl+8xLeQfSfR0TMLxLfK0WjFtSojHp7jD6ga5I4z2WBhQuOZ2XYRZdH8Y2vHg8NB1C+W6CENFFqpVg==" saltValue="MuwUHeJkbpMsBBhjS8JaKg==" spinCount="100000" sheet="1" objects="1" scenarios="1"/>
  <mergeCells count="2">
    <mergeCell ref="A2:C2"/>
    <mergeCell ref="A157:C157"/>
  </mergeCells>
  <pageMargins left="0.70866141732283472" right="0.70866141732283472" top="0.19685039370078741" bottom="0.19685039370078741" header="0.31496062992125984" footer="0.31496062992125984"/>
  <pageSetup paperSize="9" scale="65" fitToHeight="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workbookViewId="0"/>
  </sheetViews>
  <sheetFormatPr defaultColWidth="0" defaultRowHeight="0" customHeight="1" zeroHeight="1" x14ac:dyDescent="0.2"/>
  <cols>
    <col min="1" max="1" width="14.5703125" style="47" customWidth="1"/>
    <col min="2" max="2" width="25.5703125" style="47" customWidth="1"/>
    <col min="3" max="16" width="9.28515625" style="47" customWidth="1"/>
    <col min="17" max="16384" width="0" style="47" hidden="1"/>
  </cols>
  <sheetData>
    <row r="1" spans="2:15" ht="13.5" thickBo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15.75" thickBot="1" x14ac:dyDescent="0.3">
      <c r="B2" s="31"/>
      <c r="C2" s="2202" t="s">
        <v>851</v>
      </c>
      <c r="D2" s="2203"/>
      <c r="E2" s="2203"/>
      <c r="F2" s="2203"/>
      <c r="G2" s="2203"/>
      <c r="H2" s="2203"/>
      <c r="I2" s="2203"/>
      <c r="J2" s="2203"/>
      <c r="K2" s="2203"/>
      <c r="L2" s="2203"/>
      <c r="M2" s="2203"/>
      <c r="N2" s="2203"/>
      <c r="O2" s="2204"/>
    </row>
    <row r="3" spans="2:15" ht="26.25" thickBot="1" x14ac:dyDescent="0.25">
      <c r="B3" s="31"/>
      <c r="C3" s="128">
        <v>2006</v>
      </c>
      <c r="D3" s="129">
        <v>2007</v>
      </c>
      <c r="E3" s="129">
        <v>2008</v>
      </c>
      <c r="F3" s="129">
        <v>2009</v>
      </c>
      <c r="G3" s="129">
        <v>2010</v>
      </c>
      <c r="H3" s="129">
        <v>2011</v>
      </c>
      <c r="I3" s="129">
        <v>2012</v>
      </c>
      <c r="J3" s="129">
        <v>2013</v>
      </c>
      <c r="K3" s="129">
        <v>2014</v>
      </c>
      <c r="L3" s="129">
        <v>2015</v>
      </c>
      <c r="M3" s="130">
        <v>2016</v>
      </c>
      <c r="N3" s="129">
        <v>2017</v>
      </c>
      <c r="O3" s="131" t="s">
        <v>852</v>
      </c>
    </row>
    <row r="4" spans="2:15" ht="4.5" customHeight="1" thickBot="1" x14ac:dyDescent="0.25">
      <c r="B4" s="31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  <c r="O4" s="135"/>
    </row>
    <row r="5" spans="2:15" ht="12.75" x14ac:dyDescent="0.2">
      <c r="B5" s="136" t="s">
        <v>853</v>
      </c>
      <c r="C5" s="137">
        <v>1</v>
      </c>
      <c r="D5" s="138">
        <v>1</v>
      </c>
      <c r="E5" s="138">
        <v>1</v>
      </c>
      <c r="F5" s="138">
        <v>1</v>
      </c>
      <c r="G5" s="138">
        <v>1</v>
      </c>
      <c r="H5" s="138">
        <v>1</v>
      </c>
      <c r="I5" s="138">
        <v>1</v>
      </c>
      <c r="J5" s="138">
        <v>1</v>
      </c>
      <c r="K5" s="138">
        <v>1</v>
      </c>
      <c r="L5" s="138">
        <v>1</v>
      </c>
      <c r="M5" s="139">
        <v>1</v>
      </c>
      <c r="N5" s="138">
        <v>1</v>
      </c>
      <c r="O5" s="140">
        <v>1</v>
      </c>
    </row>
    <row r="6" spans="2:15" ht="12.75" x14ac:dyDescent="0.2">
      <c r="B6" s="141" t="s">
        <v>671</v>
      </c>
      <c r="C6" s="142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1</v>
      </c>
      <c r="M6" s="144">
        <v>1</v>
      </c>
      <c r="N6" s="145">
        <v>1</v>
      </c>
      <c r="O6" s="146">
        <v>1</v>
      </c>
    </row>
    <row r="7" spans="2:15" ht="12.75" x14ac:dyDescent="0.2">
      <c r="B7" s="147" t="s">
        <v>672</v>
      </c>
      <c r="C7" s="142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4">
        <v>1</v>
      </c>
      <c r="N7" s="145">
        <v>1</v>
      </c>
      <c r="O7" s="146">
        <v>1</v>
      </c>
    </row>
    <row r="8" spans="2:15" ht="12.75" x14ac:dyDescent="0.2">
      <c r="B8" s="141" t="s">
        <v>854</v>
      </c>
      <c r="C8" s="142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4">
        <v>0</v>
      </c>
      <c r="N8" s="143">
        <v>0</v>
      </c>
      <c r="O8" s="146">
        <v>1</v>
      </c>
    </row>
    <row r="9" spans="2:15" ht="12.75" x14ac:dyDescent="0.2">
      <c r="B9" s="147" t="s">
        <v>667</v>
      </c>
      <c r="C9" s="148">
        <v>1</v>
      </c>
      <c r="D9" s="145">
        <v>1</v>
      </c>
      <c r="E9" s="145">
        <v>1</v>
      </c>
      <c r="F9" s="145">
        <v>1</v>
      </c>
      <c r="G9" s="145">
        <v>1</v>
      </c>
      <c r="H9" s="145">
        <v>1</v>
      </c>
      <c r="I9" s="145">
        <v>1</v>
      </c>
      <c r="J9" s="145">
        <v>1</v>
      </c>
      <c r="K9" s="145">
        <v>1</v>
      </c>
      <c r="L9" s="145">
        <v>2</v>
      </c>
      <c r="M9" s="145">
        <v>2</v>
      </c>
      <c r="N9" s="145">
        <v>2</v>
      </c>
      <c r="O9" s="149">
        <v>2</v>
      </c>
    </row>
    <row r="10" spans="2:15" ht="12.75" x14ac:dyDescent="0.2">
      <c r="B10" s="150" t="s">
        <v>855</v>
      </c>
      <c r="C10" s="151">
        <v>7</v>
      </c>
      <c r="D10" s="152">
        <v>7</v>
      </c>
      <c r="E10" s="152">
        <v>8</v>
      </c>
      <c r="F10" s="152">
        <v>8</v>
      </c>
      <c r="G10" s="152">
        <v>8</v>
      </c>
      <c r="H10" s="152">
        <v>8</v>
      </c>
      <c r="I10" s="152">
        <v>8</v>
      </c>
      <c r="J10" s="152">
        <v>8</v>
      </c>
      <c r="K10" s="152">
        <v>8</v>
      </c>
      <c r="L10" s="152">
        <v>8</v>
      </c>
      <c r="M10" s="152">
        <v>8</v>
      </c>
      <c r="N10" s="152">
        <v>8</v>
      </c>
      <c r="O10" s="153">
        <v>8</v>
      </c>
    </row>
    <row r="11" spans="2:15" ht="12.75" x14ac:dyDescent="0.2">
      <c r="B11" s="154" t="s">
        <v>670</v>
      </c>
      <c r="C11" s="151">
        <v>4</v>
      </c>
      <c r="D11" s="155">
        <v>4</v>
      </c>
      <c r="E11" s="155">
        <v>4</v>
      </c>
      <c r="F11" s="155">
        <v>4</v>
      </c>
      <c r="G11" s="155">
        <v>4</v>
      </c>
      <c r="H11" s="155">
        <v>4</v>
      </c>
      <c r="I11" s="155">
        <v>4</v>
      </c>
      <c r="J11" s="155">
        <v>4</v>
      </c>
      <c r="K11" s="155">
        <v>4</v>
      </c>
      <c r="L11" s="156">
        <v>4</v>
      </c>
      <c r="M11" s="155">
        <v>4</v>
      </c>
      <c r="N11" s="155">
        <v>4</v>
      </c>
      <c r="O11" s="157">
        <v>4</v>
      </c>
    </row>
    <row r="12" spans="2:15" ht="12.75" x14ac:dyDescent="0.2">
      <c r="B12" s="147" t="s">
        <v>668</v>
      </c>
      <c r="C12" s="148">
        <v>5</v>
      </c>
      <c r="D12" s="145">
        <v>5</v>
      </c>
      <c r="E12" s="145">
        <v>5</v>
      </c>
      <c r="F12" s="145">
        <v>6</v>
      </c>
      <c r="G12" s="145">
        <v>8</v>
      </c>
      <c r="H12" s="145">
        <v>7</v>
      </c>
      <c r="I12" s="145">
        <v>7.5</v>
      </c>
      <c r="J12" s="145">
        <v>7.5</v>
      </c>
      <c r="K12" s="145">
        <v>8.5</v>
      </c>
      <c r="L12" s="145">
        <v>8.5</v>
      </c>
      <c r="M12" s="158">
        <v>8.5</v>
      </c>
      <c r="N12" s="145">
        <v>8.5</v>
      </c>
      <c r="O12" s="159">
        <v>8.5</v>
      </c>
    </row>
    <row r="13" spans="2:15" ht="12.75" x14ac:dyDescent="0.2">
      <c r="B13" s="147" t="s">
        <v>611</v>
      </c>
      <c r="C13" s="148">
        <v>1</v>
      </c>
      <c r="D13" s="145">
        <v>2</v>
      </c>
      <c r="E13" s="145">
        <v>3</v>
      </c>
      <c r="F13" s="145">
        <v>3</v>
      </c>
      <c r="G13" s="145">
        <v>3</v>
      </c>
      <c r="H13" s="145">
        <v>3</v>
      </c>
      <c r="I13" s="145">
        <v>3</v>
      </c>
      <c r="J13" s="145">
        <v>3</v>
      </c>
      <c r="K13" s="145">
        <v>3</v>
      </c>
      <c r="L13" s="145">
        <v>3</v>
      </c>
      <c r="M13" s="158">
        <v>3</v>
      </c>
      <c r="N13" s="145">
        <v>3</v>
      </c>
      <c r="O13" s="159">
        <v>3</v>
      </c>
    </row>
    <row r="14" spans="2:15" ht="12.75" x14ac:dyDescent="0.2">
      <c r="B14" s="147" t="s">
        <v>856</v>
      </c>
      <c r="C14" s="148">
        <v>3</v>
      </c>
      <c r="D14" s="145">
        <v>3</v>
      </c>
      <c r="E14" s="145">
        <v>4</v>
      </c>
      <c r="F14" s="145">
        <v>4</v>
      </c>
      <c r="G14" s="145">
        <v>3</v>
      </c>
      <c r="H14" s="145">
        <v>3</v>
      </c>
      <c r="I14" s="145">
        <v>4</v>
      </c>
      <c r="J14" s="145">
        <v>4</v>
      </c>
      <c r="K14" s="145">
        <v>4</v>
      </c>
      <c r="L14" s="145">
        <v>4</v>
      </c>
      <c r="M14" s="158">
        <v>5</v>
      </c>
      <c r="N14" s="145">
        <v>5</v>
      </c>
      <c r="O14" s="159">
        <v>5</v>
      </c>
    </row>
    <row r="15" spans="2:15" ht="12.75" x14ac:dyDescent="0.2">
      <c r="B15" s="147" t="s">
        <v>669</v>
      </c>
      <c r="C15" s="148">
        <v>7</v>
      </c>
      <c r="D15" s="145">
        <v>7</v>
      </c>
      <c r="E15" s="145">
        <v>8.5</v>
      </c>
      <c r="F15" s="145">
        <v>9.5</v>
      </c>
      <c r="G15" s="145">
        <v>9.5</v>
      </c>
      <c r="H15" s="145">
        <v>9.5</v>
      </c>
      <c r="I15" s="145">
        <v>9.5</v>
      </c>
      <c r="J15" s="145">
        <v>9.5</v>
      </c>
      <c r="K15" s="145">
        <v>9.5</v>
      </c>
      <c r="L15" s="145">
        <v>9.5</v>
      </c>
      <c r="M15" s="158">
        <v>9.5</v>
      </c>
      <c r="N15" s="145">
        <v>9.5</v>
      </c>
      <c r="O15" s="159">
        <v>9.5</v>
      </c>
    </row>
    <row r="16" spans="2:15" ht="12.75" x14ac:dyDescent="0.2">
      <c r="B16" s="150" t="s">
        <v>857</v>
      </c>
      <c r="C16" s="151">
        <v>1</v>
      </c>
      <c r="D16" s="152">
        <v>1</v>
      </c>
      <c r="E16" s="152">
        <v>1</v>
      </c>
      <c r="F16" s="152">
        <v>1</v>
      </c>
      <c r="G16" s="152">
        <v>1</v>
      </c>
      <c r="H16" s="152">
        <v>1</v>
      </c>
      <c r="I16" s="152">
        <v>1</v>
      </c>
      <c r="J16" s="152">
        <v>1</v>
      </c>
      <c r="K16" s="152">
        <v>1</v>
      </c>
      <c r="L16" s="152">
        <v>1</v>
      </c>
      <c r="M16" s="152">
        <v>1</v>
      </c>
      <c r="N16" s="152">
        <v>1</v>
      </c>
      <c r="O16" s="153">
        <v>1</v>
      </c>
    </row>
    <row r="17" spans="2:15" ht="12.75" x14ac:dyDescent="0.2">
      <c r="B17" s="154" t="s">
        <v>858</v>
      </c>
      <c r="C17" s="151">
        <v>1</v>
      </c>
      <c r="D17" s="155">
        <v>1</v>
      </c>
      <c r="E17" s="155">
        <v>1</v>
      </c>
      <c r="F17" s="155">
        <v>1</v>
      </c>
      <c r="G17" s="155">
        <v>1</v>
      </c>
      <c r="H17" s="155">
        <v>1</v>
      </c>
      <c r="I17" s="155">
        <v>1</v>
      </c>
      <c r="J17" s="155">
        <v>1</v>
      </c>
      <c r="K17" s="155">
        <v>1</v>
      </c>
      <c r="L17" s="156">
        <v>1</v>
      </c>
      <c r="M17" s="155">
        <v>1</v>
      </c>
      <c r="N17" s="155">
        <v>1</v>
      </c>
      <c r="O17" s="157">
        <v>1</v>
      </c>
    </row>
    <row r="18" spans="2:15" ht="12.75" x14ac:dyDescent="0.2">
      <c r="B18" s="141" t="s">
        <v>296</v>
      </c>
      <c r="C18" s="148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58">
        <v>2</v>
      </c>
      <c r="L18" s="145">
        <v>5</v>
      </c>
      <c r="M18" s="158">
        <v>6</v>
      </c>
      <c r="N18" s="145">
        <v>7</v>
      </c>
      <c r="O18" s="159">
        <v>7</v>
      </c>
    </row>
    <row r="19" spans="2:15" ht="13.5" thickBot="1" x14ac:dyDescent="0.25">
      <c r="B19" s="160" t="s">
        <v>226</v>
      </c>
      <c r="C19" s="161">
        <v>3</v>
      </c>
      <c r="D19" s="162">
        <v>3</v>
      </c>
      <c r="E19" s="162">
        <v>3</v>
      </c>
      <c r="F19" s="162">
        <v>3</v>
      </c>
      <c r="G19" s="162">
        <v>3</v>
      </c>
      <c r="H19" s="162">
        <v>3</v>
      </c>
      <c r="I19" s="162">
        <v>3</v>
      </c>
      <c r="J19" s="162">
        <v>3</v>
      </c>
      <c r="K19" s="162">
        <v>3</v>
      </c>
      <c r="L19" s="162">
        <v>3</v>
      </c>
      <c r="M19" s="163">
        <v>3</v>
      </c>
      <c r="N19" s="162">
        <v>3</v>
      </c>
      <c r="O19" s="164">
        <v>3</v>
      </c>
    </row>
    <row r="20" spans="2:15" ht="12.75" x14ac:dyDescent="0.2"/>
    <row r="21" spans="2:15" ht="12.75" x14ac:dyDescent="0.2">
      <c r="B21" s="47" t="s">
        <v>674</v>
      </c>
      <c r="C21" s="47">
        <f>SUM(C5:C20)</f>
        <v>34</v>
      </c>
      <c r="D21" s="47">
        <f>SUM(D5:D20)</f>
        <v>35</v>
      </c>
      <c r="E21" s="47">
        <f t="shared" ref="E21:M21" si="0">SUM(E5:E19)</f>
        <v>39.5</v>
      </c>
      <c r="F21" s="47">
        <f t="shared" si="0"/>
        <v>41.5</v>
      </c>
      <c r="G21" s="47">
        <f t="shared" si="0"/>
        <v>42.5</v>
      </c>
      <c r="H21" s="47">
        <f t="shared" si="0"/>
        <v>41.5</v>
      </c>
      <c r="I21" s="47">
        <f t="shared" si="0"/>
        <v>43</v>
      </c>
      <c r="J21" s="47">
        <f t="shared" si="0"/>
        <v>43</v>
      </c>
      <c r="K21" s="47">
        <f t="shared" si="0"/>
        <v>46</v>
      </c>
      <c r="L21" s="47">
        <f t="shared" si="0"/>
        <v>51</v>
      </c>
      <c r="M21" s="47">
        <f t="shared" si="0"/>
        <v>54</v>
      </c>
      <c r="N21" s="47">
        <f>SUM(N5:N20)</f>
        <v>55</v>
      </c>
      <c r="O21" s="47">
        <f>SUM(O5:O20)</f>
        <v>56</v>
      </c>
    </row>
    <row r="22" spans="2:15" ht="15" x14ac:dyDescent="0.25">
      <c r="B22" s="47" t="s">
        <v>675</v>
      </c>
      <c r="D22" s="47">
        <f>D21-C21</f>
        <v>1</v>
      </c>
      <c r="E22" s="47">
        <f t="shared" ref="E22:L22" si="1">E21-D21</f>
        <v>4.5</v>
      </c>
      <c r="F22" s="47">
        <f t="shared" si="1"/>
        <v>2</v>
      </c>
      <c r="G22" s="47">
        <f t="shared" si="1"/>
        <v>1</v>
      </c>
      <c r="H22" s="165">
        <f t="shared" si="1"/>
        <v>-1</v>
      </c>
      <c r="I22" s="47">
        <f t="shared" si="1"/>
        <v>1.5</v>
      </c>
      <c r="J22" s="47">
        <f t="shared" si="1"/>
        <v>0</v>
      </c>
      <c r="K22" s="47">
        <f t="shared" si="1"/>
        <v>3</v>
      </c>
      <c r="L22" s="47">
        <f t="shared" si="1"/>
        <v>5</v>
      </c>
      <c r="M22" s="47">
        <f>M21-L21</f>
        <v>3</v>
      </c>
      <c r="N22" s="47">
        <v>1</v>
      </c>
      <c r="O22" s="47">
        <v>1</v>
      </c>
    </row>
    <row r="23" spans="2:15" ht="12.75" x14ac:dyDescent="0.2"/>
    <row r="24" spans="2:15" ht="15" x14ac:dyDescent="0.25">
      <c r="B24" s="166" t="s">
        <v>676</v>
      </c>
      <c r="C24" s="166">
        <v>34</v>
      </c>
      <c r="D24" s="166">
        <v>35</v>
      </c>
      <c r="E24" s="166">
        <v>39.5</v>
      </c>
      <c r="F24" s="166">
        <v>41.5</v>
      </c>
      <c r="G24" s="166">
        <v>42.5</v>
      </c>
      <c r="H24" s="166">
        <v>51.5</v>
      </c>
      <c r="I24" s="166">
        <v>43</v>
      </c>
      <c r="J24" s="166">
        <v>43</v>
      </c>
      <c r="K24" s="166">
        <v>44</v>
      </c>
      <c r="L24" s="166">
        <v>46</v>
      </c>
      <c r="M24" s="166">
        <v>48</v>
      </c>
      <c r="N24" s="166">
        <v>48</v>
      </c>
      <c r="O24" s="166">
        <v>49</v>
      </c>
    </row>
    <row r="25" spans="2:15" ht="15" x14ac:dyDescent="0.25">
      <c r="B25" s="166" t="s">
        <v>859</v>
      </c>
    </row>
    <row r="26" spans="2:15" ht="15" x14ac:dyDescent="0.25">
      <c r="B26" s="166"/>
      <c r="C26" s="47" t="s">
        <v>677</v>
      </c>
    </row>
    <row r="27" spans="2:15" ht="15" x14ac:dyDescent="0.25">
      <c r="B27" s="166"/>
      <c r="C27" s="47" t="s">
        <v>678</v>
      </c>
    </row>
    <row r="28" spans="2:15" ht="12.75" x14ac:dyDescent="0.2">
      <c r="C28" s="47" t="s">
        <v>679</v>
      </c>
    </row>
    <row r="29" spans="2:15" ht="15" x14ac:dyDescent="0.25">
      <c r="B29" s="47" t="s">
        <v>860</v>
      </c>
    </row>
    <row r="30" spans="2:15" ht="15" x14ac:dyDescent="0.25">
      <c r="B30" s="166" t="s">
        <v>680</v>
      </c>
      <c r="C30" s="47" t="s">
        <v>681</v>
      </c>
    </row>
    <row r="31" spans="2:15" ht="12.75" x14ac:dyDescent="0.2">
      <c r="C31" s="47" t="s">
        <v>682</v>
      </c>
    </row>
    <row r="32" spans="2:15" ht="15.75" thickBot="1" x14ac:dyDescent="0.3">
      <c r="B32" s="166"/>
    </row>
    <row r="33" spans="2:15" ht="13.5" thickBot="1" x14ac:dyDescent="0.25">
      <c r="B33" s="167" t="s">
        <v>673</v>
      </c>
      <c r="C33" s="128">
        <v>14</v>
      </c>
      <c r="D33" s="129">
        <v>13</v>
      </c>
      <c r="E33" s="129">
        <v>13</v>
      </c>
      <c r="F33" s="129">
        <v>13</v>
      </c>
      <c r="G33" s="129">
        <v>13</v>
      </c>
      <c r="H33" s="129">
        <v>13</v>
      </c>
      <c r="I33" s="129">
        <v>13</v>
      </c>
      <c r="J33" s="129">
        <v>13</v>
      </c>
      <c r="K33" s="129">
        <v>15</v>
      </c>
      <c r="L33" s="129">
        <v>22</v>
      </c>
      <c r="M33" s="130">
        <v>26</v>
      </c>
      <c r="N33" s="129">
        <v>38</v>
      </c>
      <c r="O33" s="127">
        <v>38</v>
      </c>
    </row>
    <row r="34" spans="2:15" ht="12.75" x14ac:dyDescent="0.2"/>
    <row r="35" spans="2:15" ht="12.75" x14ac:dyDescent="0.2"/>
    <row r="36" spans="2:15" ht="12.75" x14ac:dyDescent="0.2"/>
    <row r="37" spans="2:15" ht="12.75" x14ac:dyDescent="0.2"/>
    <row r="38" spans="2:15" ht="12.75" x14ac:dyDescent="0.2"/>
    <row r="39" spans="2:15" ht="12.75" x14ac:dyDescent="0.2"/>
    <row r="40" spans="2:15" ht="12.75" x14ac:dyDescent="0.2"/>
  </sheetData>
  <mergeCells count="1">
    <mergeCell ref="C2:O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="88" zoomScaleNormal="88" workbookViewId="0">
      <pane xSplit="7" ySplit="4" topLeftCell="H8" activePane="bottomRight" state="frozen"/>
      <selection pane="topRight" activeCell="H1" sqref="H1"/>
      <selection pane="bottomLeft" activeCell="A5" sqref="A5"/>
      <selection pane="bottomRight" activeCell="I18" sqref="I18"/>
    </sheetView>
  </sheetViews>
  <sheetFormatPr defaultColWidth="9.140625" defaultRowHeight="13.5" outlineLevelRow="1" x14ac:dyDescent="0.25"/>
  <cols>
    <col min="1" max="2" width="9.7109375" style="759" customWidth="1"/>
    <col min="3" max="3" width="61.7109375" style="759" bestFit="1" customWidth="1"/>
    <col min="4" max="4" width="14.28515625" style="762" hidden="1" customWidth="1"/>
    <col min="5" max="7" width="13.140625" style="762" hidden="1" customWidth="1"/>
    <col min="8" max="8" width="13.140625" style="762" bestFit="1" customWidth="1"/>
    <col min="9" max="9" width="11.85546875" style="763" bestFit="1" customWidth="1"/>
    <col min="10" max="10" width="10.7109375" style="1376" bestFit="1" customWidth="1"/>
    <col min="11" max="11" width="10.7109375" style="993" bestFit="1" customWidth="1"/>
    <col min="12" max="16384" width="9.140625" style="759"/>
  </cols>
  <sheetData>
    <row r="1" spans="1:12" s="780" customFormat="1" ht="24" customHeight="1" x14ac:dyDescent="0.3">
      <c r="A1" s="1326" t="s">
        <v>1955</v>
      </c>
      <c r="B1" s="1326"/>
      <c r="C1" s="1327"/>
      <c r="D1" s="1328"/>
      <c r="E1" s="1328"/>
      <c r="F1" s="1328"/>
      <c r="G1" s="1328"/>
      <c r="H1" s="1328"/>
      <c r="I1" s="1329"/>
      <c r="J1" s="1330"/>
      <c r="K1" s="1331"/>
    </row>
    <row r="2" spans="1:12" s="1336" customFormat="1" ht="20.25" customHeight="1" x14ac:dyDescent="0.3">
      <c r="A2" s="2317" t="s">
        <v>889</v>
      </c>
      <c r="B2" s="2317"/>
      <c r="C2" s="2318"/>
      <c r="D2" s="1332"/>
      <c r="E2" s="1332"/>
      <c r="F2" s="1332"/>
      <c r="G2" s="1332"/>
      <c r="H2" s="1332"/>
      <c r="I2" s="1333"/>
      <c r="J2" s="1334"/>
      <c r="K2" s="1335"/>
    </row>
    <row r="3" spans="1:12" ht="14.25" thickBot="1" x14ac:dyDescent="0.3">
      <c r="A3" s="876"/>
      <c r="B3" s="876"/>
      <c r="C3" s="876"/>
      <c r="D3" s="1337"/>
      <c r="E3" s="1337"/>
      <c r="F3" s="1337"/>
      <c r="G3" s="1337"/>
      <c r="H3" s="885"/>
      <c r="I3" s="1338"/>
      <c r="J3" s="1339"/>
      <c r="K3" s="1340"/>
    </row>
    <row r="4" spans="1:12" ht="27.75" thickBot="1" x14ac:dyDescent="0.3">
      <c r="A4" s="1341" t="s">
        <v>1</v>
      </c>
      <c r="B4" s="1342" t="s">
        <v>90</v>
      </c>
      <c r="C4" s="1343" t="s">
        <v>6</v>
      </c>
      <c r="D4" s="1344" t="s">
        <v>1701</v>
      </c>
      <c r="E4" s="1344" t="s">
        <v>1289</v>
      </c>
      <c r="F4" s="1344" t="s">
        <v>1677</v>
      </c>
      <c r="G4" s="1344" t="s">
        <v>1748</v>
      </c>
      <c r="H4" s="1344" t="s">
        <v>1957</v>
      </c>
      <c r="I4" s="1345" t="s">
        <v>5</v>
      </c>
      <c r="J4" s="1339" t="s">
        <v>1067</v>
      </c>
      <c r="K4" s="1340" t="s">
        <v>883</v>
      </c>
    </row>
    <row r="5" spans="1:12" ht="15.75" customHeight="1" outlineLevel="1" x14ac:dyDescent="0.25">
      <c r="A5" s="1346">
        <v>3113</v>
      </c>
      <c r="B5" s="1347">
        <v>5164</v>
      </c>
      <c r="C5" s="1348" t="s">
        <v>925</v>
      </c>
      <c r="D5" s="1349">
        <v>120</v>
      </c>
      <c r="E5" s="1349">
        <v>12</v>
      </c>
      <c r="F5" s="1349">
        <v>12</v>
      </c>
      <c r="G5" s="1349">
        <v>12</v>
      </c>
      <c r="H5" s="1349">
        <f>'[4]Všeob. pokladna'!$B$12</f>
        <v>12</v>
      </c>
      <c r="I5" s="1350"/>
      <c r="J5" s="1339"/>
      <c r="K5" s="1340"/>
    </row>
    <row r="6" spans="1:12" ht="15.75" customHeight="1" outlineLevel="1" x14ac:dyDescent="0.25">
      <c r="A6" s="1351">
        <v>3113</v>
      </c>
      <c r="B6" s="1352">
        <f>+B5</f>
        <v>5164</v>
      </c>
      <c r="C6" s="1353"/>
      <c r="D6" s="1354">
        <v>0</v>
      </c>
      <c r="E6" s="1354"/>
      <c r="F6" s="1354"/>
      <c r="G6" s="1354"/>
      <c r="H6" s="1354">
        <f>'[4]Všeob. pokladna'!$B$13</f>
        <v>0</v>
      </c>
      <c r="I6" s="1355"/>
      <c r="J6" s="1339"/>
      <c r="K6" s="1340"/>
    </row>
    <row r="7" spans="1:12" s="991" customFormat="1" ht="16.5" customHeight="1" thickBot="1" x14ac:dyDescent="0.3">
      <c r="A7" s="1356">
        <v>3113</v>
      </c>
      <c r="B7" s="1357"/>
      <c r="C7" s="1358" t="s">
        <v>162</v>
      </c>
      <c r="D7" s="1359">
        <v>120</v>
      </c>
      <c r="E7" s="1359">
        <v>12</v>
      </c>
      <c r="F7" s="1359">
        <v>12</v>
      </c>
      <c r="G7" s="1359">
        <v>12</v>
      </c>
      <c r="H7" s="1359">
        <f>SUM(H5:H6)</f>
        <v>12</v>
      </c>
      <c r="I7" s="1360"/>
      <c r="J7" s="657">
        <f>'Výdaje kapitol celkem'!L30</f>
        <v>12</v>
      </c>
      <c r="K7" s="720">
        <f>+J7-H7</f>
        <v>0</v>
      </c>
      <c r="L7" s="855"/>
    </row>
    <row r="8" spans="1:12" ht="15.75" customHeight="1" outlineLevel="1" x14ac:dyDescent="0.25">
      <c r="A8" s="1346">
        <v>6112</v>
      </c>
      <c r="B8" s="1347">
        <f>+B25</f>
        <v>5164</v>
      </c>
      <c r="C8" s="1348" t="s">
        <v>1306</v>
      </c>
      <c r="D8" s="1349">
        <v>17000</v>
      </c>
      <c r="E8" s="1349">
        <v>17000</v>
      </c>
      <c r="F8" s="1349">
        <v>17000</v>
      </c>
      <c r="G8" s="1349">
        <v>0</v>
      </c>
      <c r="H8" s="1349">
        <f>[3]Zastupitelé!$B$38</f>
        <v>17000</v>
      </c>
      <c r="I8" s="1350"/>
      <c r="J8" s="1339"/>
      <c r="K8" s="1340"/>
    </row>
    <row r="9" spans="1:12" ht="15.75" customHeight="1" outlineLevel="1" x14ac:dyDescent="0.25">
      <c r="A9" s="1351">
        <v>6112</v>
      </c>
      <c r="B9" s="1352">
        <f>+B8</f>
        <v>5164</v>
      </c>
      <c r="C9" s="1353">
        <v>0</v>
      </c>
      <c r="D9" s="1354">
        <v>0</v>
      </c>
      <c r="E9" s="1354">
        <v>0</v>
      </c>
      <c r="F9" s="1354">
        <v>0</v>
      </c>
      <c r="G9" s="1354">
        <v>0</v>
      </c>
      <c r="H9" s="1354"/>
      <c r="I9" s="1355"/>
      <c r="J9" s="1339"/>
      <c r="K9" s="1340"/>
    </row>
    <row r="10" spans="1:12" s="991" customFormat="1" ht="16.5" customHeight="1" thickBot="1" x14ac:dyDescent="0.3">
      <c r="A10" s="1356">
        <v>6112</v>
      </c>
      <c r="B10" s="1357"/>
      <c r="C10" s="1358" t="s">
        <v>590</v>
      </c>
      <c r="D10" s="1359">
        <v>17000</v>
      </c>
      <c r="E10" s="1359">
        <v>17000</v>
      </c>
      <c r="F10" s="1359">
        <v>17000</v>
      </c>
      <c r="G10" s="1359">
        <v>0</v>
      </c>
      <c r="H10" s="1359">
        <f>SUM(H8:H9)</f>
        <v>17000</v>
      </c>
      <c r="I10" s="1360"/>
      <c r="J10" s="657">
        <f>'Výdaje kapitol celkem'!M30</f>
        <v>17000</v>
      </c>
      <c r="K10" s="720">
        <f>+J10-H10</f>
        <v>0</v>
      </c>
      <c r="L10" s="855"/>
    </row>
    <row r="11" spans="1:12" ht="15.75" customHeight="1" outlineLevel="1" x14ac:dyDescent="0.25">
      <c r="A11" s="1346">
        <v>3314</v>
      </c>
      <c r="B11" s="1347">
        <f>+B24</f>
        <v>5164</v>
      </c>
      <c r="C11" s="1348" t="s">
        <v>364</v>
      </c>
      <c r="D11" s="1349">
        <v>160000</v>
      </c>
      <c r="E11" s="1349">
        <v>160000</v>
      </c>
      <c r="F11" s="1349">
        <v>160000</v>
      </c>
      <c r="G11" s="1349">
        <v>160000</v>
      </c>
      <c r="H11" s="1349">
        <f>[3]Knihovna!$B$41</f>
        <v>160000</v>
      </c>
      <c r="I11" s="1350"/>
      <c r="J11" s="1339"/>
      <c r="K11" s="1340"/>
    </row>
    <row r="12" spans="1:12" ht="15.75" customHeight="1" outlineLevel="1" x14ac:dyDescent="0.25">
      <c r="A12" s="1351">
        <v>3314</v>
      </c>
      <c r="B12" s="1352" t="e">
        <f>+#REF!</f>
        <v>#REF!</v>
      </c>
      <c r="C12" s="1353"/>
      <c r="D12" s="1354"/>
      <c r="E12" s="1354"/>
      <c r="F12" s="1354"/>
      <c r="G12" s="1354"/>
      <c r="H12" s="1354"/>
      <c r="I12" s="1355"/>
      <c r="J12" s="1339"/>
      <c r="K12" s="1340"/>
    </row>
    <row r="13" spans="1:12" s="991" customFormat="1" ht="16.5" customHeight="1" thickBot="1" x14ac:dyDescent="0.3">
      <c r="A13" s="1356">
        <v>3314</v>
      </c>
      <c r="B13" s="1357"/>
      <c r="C13" s="1358" t="s">
        <v>226</v>
      </c>
      <c r="D13" s="1359">
        <v>160000</v>
      </c>
      <c r="E13" s="1359">
        <v>160000</v>
      </c>
      <c r="F13" s="1359">
        <v>160000</v>
      </c>
      <c r="G13" s="1359">
        <v>160000</v>
      </c>
      <c r="H13" s="1359">
        <f>SUM(H11:H12)</f>
        <v>160000</v>
      </c>
      <c r="I13" s="1360"/>
      <c r="J13" s="657">
        <f>'Výdaje kapitol celkem'!X30</f>
        <v>160000</v>
      </c>
      <c r="K13" s="720">
        <f>+J13-H13</f>
        <v>0</v>
      </c>
      <c r="L13" s="855"/>
    </row>
    <row r="14" spans="1:12" ht="15.75" customHeight="1" outlineLevel="1" x14ac:dyDescent="0.25">
      <c r="A14" s="1346">
        <v>3399</v>
      </c>
      <c r="B14" s="1347">
        <f>+B9</f>
        <v>5164</v>
      </c>
      <c r="C14" s="1348" t="s">
        <v>1308</v>
      </c>
      <c r="D14" s="1349">
        <v>0</v>
      </c>
      <c r="E14" s="1349">
        <v>0</v>
      </c>
      <c r="F14" s="1349">
        <v>0</v>
      </c>
      <c r="G14" s="1349">
        <v>0</v>
      </c>
      <c r="H14" s="1349">
        <f>[3]Kultura!$B$22</f>
        <v>0</v>
      </c>
      <c r="I14" s="1350"/>
      <c r="J14" s="1339"/>
      <c r="K14" s="1340"/>
    </row>
    <row r="15" spans="1:12" ht="15.75" customHeight="1" outlineLevel="1" x14ac:dyDescent="0.25">
      <c r="A15" s="1351">
        <v>3399</v>
      </c>
      <c r="B15" s="1352">
        <f>+B14</f>
        <v>5164</v>
      </c>
      <c r="C15" s="1353" t="s">
        <v>1309</v>
      </c>
      <c r="D15" s="1354">
        <v>50000</v>
      </c>
      <c r="E15" s="1354">
        <v>50000</v>
      </c>
      <c r="F15" s="1354">
        <v>50000</v>
      </c>
      <c r="G15" s="1354">
        <v>50000</v>
      </c>
      <c r="H15" s="1354">
        <f>[3]Kultura!$B$23</f>
        <v>50000</v>
      </c>
      <c r="I15" s="1355"/>
      <c r="J15" s="1339"/>
      <c r="K15" s="1340"/>
    </row>
    <row r="16" spans="1:12" ht="15.75" customHeight="1" outlineLevel="1" x14ac:dyDescent="0.25">
      <c r="A16" s="1351">
        <v>3399</v>
      </c>
      <c r="B16" s="1352">
        <f>+B15</f>
        <v>5164</v>
      </c>
      <c r="C16" s="1353"/>
      <c r="D16" s="1354"/>
      <c r="E16" s="1354"/>
      <c r="F16" s="1354"/>
      <c r="G16" s="1354"/>
      <c r="H16" s="1354"/>
      <c r="I16" s="1355"/>
      <c r="J16" s="1339"/>
      <c r="K16" s="1340"/>
    </row>
    <row r="17" spans="1:12" s="991" customFormat="1" ht="16.5" customHeight="1" thickBot="1" x14ac:dyDescent="0.3">
      <c r="A17" s="1356">
        <v>3399</v>
      </c>
      <c r="B17" s="1357"/>
      <c r="C17" s="1358" t="s">
        <v>592</v>
      </c>
      <c r="D17" s="1359">
        <v>50000</v>
      </c>
      <c r="E17" s="1359">
        <v>50000</v>
      </c>
      <c r="F17" s="1359">
        <v>50000</v>
      </c>
      <c r="G17" s="1359">
        <v>50000</v>
      </c>
      <c r="H17" s="1359">
        <f>SUM(H14:H16)</f>
        <v>50000</v>
      </c>
      <c r="I17" s="1360"/>
      <c r="J17" s="657">
        <f>'Výdaje kapitol celkem'!Z30</f>
        <v>50000</v>
      </c>
      <c r="K17" s="720">
        <f>+J17-H17</f>
        <v>0</v>
      </c>
      <c r="L17" s="855"/>
    </row>
    <row r="18" spans="1:12" ht="15.75" customHeight="1" outlineLevel="1" x14ac:dyDescent="0.25">
      <c r="A18" s="1346">
        <v>3612</v>
      </c>
      <c r="B18" s="1347">
        <f>+B16</f>
        <v>5164</v>
      </c>
      <c r="C18" s="1348" t="s">
        <v>1298</v>
      </c>
      <c r="D18" s="1349">
        <v>15000</v>
      </c>
      <c r="E18" s="1349">
        <v>15000</v>
      </c>
      <c r="F18" s="1349">
        <v>15000</v>
      </c>
      <c r="G18" s="1349">
        <v>15000</v>
      </c>
      <c r="H18" s="1349">
        <f>[4]Byty!$B$19</f>
        <v>35240</v>
      </c>
      <c r="I18" s="1350"/>
      <c r="J18" s="1339"/>
      <c r="K18" s="720"/>
      <c r="L18" s="855"/>
    </row>
    <row r="19" spans="1:12" ht="15.75" customHeight="1" outlineLevel="1" x14ac:dyDescent="0.25">
      <c r="A19" s="1351">
        <v>3612</v>
      </c>
      <c r="B19" s="1352">
        <f>+B18</f>
        <v>5164</v>
      </c>
      <c r="C19" s="1353" t="s">
        <v>1299</v>
      </c>
      <c r="D19" s="1354">
        <v>25000</v>
      </c>
      <c r="E19" s="1354">
        <v>25000</v>
      </c>
      <c r="F19" s="1354">
        <v>25000</v>
      </c>
      <c r="G19" s="1354">
        <v>25000</v>
      </c>
      <c r="H19" s="1354">
        <f>[4]Byty!$B$20</f>
        <v>44000</v>
      </c>
      <c r="I19" s="1355"/>
      <c r="J19" s="1339"/>
      <c r="K19" s="720"/>
      <c r="L19" s="855"/>
    </row>
    <row r="20" spans="1:12" s="991" customFormat="1" ht="16.5" customHeight="1" thickBot="1" x14ac:dyDescent="0.3">
      <c r="A20" s="1356">
        <v>3612</v>
      </c>
      <c r="B20" s="1357"/>
      <c r="C20" s="1358" t="s">
        <v>169</v>
      </c>
      <c r="D20" s="1359">
        <v>40000</v>
      </c>
      <c r="E20" s="1359">
        <v>40000</v>
      </c>
      <c r="F20" s="1359">
        <v>40000</v>
      </c>
      <c r="G20" s="1359">
        <v>40000</v>
      </c>
      <c r="H20" s="1359">
        <f>SUM(H18:H19)</f>
        <v>79240</v>
      </c>
      <c r="I20" s="1360"/>
      <c r="J20" s="657">
        <f>'Výdaje kapitol celkem'!AA30</f>
        <v>79240</v>
      </c>
      <c r="K20" s="720">
        <f>+J20-H20</f>
        <v>0</v>
      </c>
      <c r="L20" s="855"/>
    </row>
    <row r="21" spans="1:12" ht="15.75" customHeight="1" outlineLevel="1" x14ac:dyDescent="0.25">
      <c r="A21" s="1346">
        <v>3412</v>
      </c>
      <c r="B21" s="1347">
        <f>+B11</f>
        <v>5164</v>
      </c>
      <c r="C21" s="1348" t="s">
        <v>924</v>
      </c>
      <c r="D21" s="1349">
        <v>12156</v>
      </c>
      <c r="E21" s="1349">
        <v>12156</v>
      </c>
      <c r="F21" s="1349">
        <v>12156</v>
      </c>
      <c r="G21" s="1349">
        <v>12156</v>
      </c>
      <c r="H21" s="1349">
        <f>[5]Koupaliště!$B$21</f>
        <v>12156</v>
      </c>
      <c r="I21" s="1350"/>
      <c r="J21" s="1339"/>
      <c r="K21" s="720"/>
      <c r="L21" s="855"/>
    </row>
    <row r="22" spans="1:12" ht="15.75" customHeight="1" outlineLevel="1" x14ac:dyDescent="0.25">
      <c r="A22" s="1351">
        <v>3412</v>
      </c>
      <c r="B22" s="1352">
        <f>+B21</f>
        <v>5164</v>
      </c>
      <c r="C22" s="1353" t="s">
        <v>1058</v>
      </c>
      <c r="D22" s="1362">
        <v>48624</v>
      </c>
      <c r="E22" s="1362">
        <v>13000</v>
      </c>
      <c r="F22" s="1362">
        <v>13000</v>
      </c>
      <c r="G22" s="1362">
        <v>13000</v>
      </c>
      <c r="H22" s="1354">
        <f>'[4]Sportovní zařízen+koup'!$B$5</f>
        <v>13000</v>
      </c>
      <c r="I22" s="1355"/>
      <c r="J22" s="1339"/>
      <c r="K22" s="720"/>
      <c r="L22" s="855"/>
    </row>
    <row r="23" spans="1:12" s="991" customFormat="1" ht="16.5" customHeight="1" thickBot="1" x14ac:dyDescent="0.3">
      <c r="A23" s="1356">
        <v>3412</v>
      </c>
      <c r="B23" s="1357"/>
      <c r="C23" s="1358" t="s">
        <v>828</v>
      </c>
      <c r="D23" s="1359">
        <v>60780</v>
      </c>
      <c r="E23" s="1359">
        <v>25156</v>
      </c>
      <c r="F23" s="1359">
        <v>25156</v>
      </c>
      <c r="G23" s="1359">
        <v>25156</v>
      </c>
      <c r="H23" s="1359">
        <f>SUM(H21:H22)</f>
        <v>25156</v>
      </c>
      <c r="I23" s="1360"/>
      <c r="J23" s="657">
        <f>'Výdaje kapitol celkem'!AP30</f>
        <v>25156</v>
      </c>
      <c r="K23" s="720">
        <f>+J23-H23</f>
        <v>0</v>
      </c>
      <c r="L23" s="855"/>
    </row>
    <row r="24" spans="1:12" ht="15.75" customHeight="1" outlineLevel="1" x14ac:dyDescent="0.25">
      <c r="A24" s="1346">
        <v>3113</v>
      </c>
      <c r="B24" s="1347">
        <v>5164</v>
      </c>
      <c r="C24" s="1348" t="s">
        <v>1676</v>
      </c>
      <c r="D24" s="1349">
        <v>808000</v>
      </c>
      <c r="E24" s="1349">
        <v>808000</v>
      </c>
      <c r="F24" s="1349">
        <v>816000</v>
      </c>
      <c r="G24" s="1349">
        <v>816000</v>
      </c>
      <c r="H24" s="1349">
        <f>[2]ZŠ!$B$26</f>
        <v>816000</v>
      </c>
      <c r="I24" s="1350"/>
      <c r="J24" s="1339"/>
      <c r="K24" s="1340"/>
    </row>
    <row r="25" spans="1:12" ht="15.75" customHeight="1" outlineLevel="1" x14ac:dyDescent="0.25">
      <c r="A25" s="1351">
        <v>3113</v>
      </c>
      <c r="B25" s="1352">
        <f>+B24</f>
        <v>5164</v>
      </c>
      <c r="C25" s="1353"/>
      <c r="D25" s="1354"/>
      <c r="E25" s="1354"/>
      <c r="F25" s="1354"/>
      <c r="G25" s="1354"/>
      <c r="H25" s="1354">
        <f>[2]ZŠ!$B$27</f>
        <v>0</v>
      </c>
      <c r="I25" s="1355"/>
      <c r="J25" s="1339"/>
      <c r="K25" s="1340"/>
    </row>
    <row r="26" spans="1:12" s="991" customFormat="1" ht="16.5" customHeight="1" thickBot="1" x14ac:dyDescent="0.3">
      <c r="A26" s="1356">
        <v>3113</v>
      </c>
      <c r="B26" s="1357"/>
      <c r="C26" s="1358" t="s">
        <v>241</v>
      </c>
      <c r="D26" s="1359">
        <v>808000</v>
      </c>
      <c r="E26" s="1359">
        <v>808000</v>
      </c>
      <c r="F26" s="1359">
        <v>816000</v>
      </c>
      <c r="G26" s="1359">
        <v>816000</v>
      </c>
      <c r="H26" s="1359">
        <f>SUM(H24:H25)</f>
        <v>816000</v>
      </c>
      <c r="I26" s="1360"/>
      <c r="J26" s="657">
        <f>+'Výdaje kapitol celkem'!AS30</f>
        <v>816000</v>
      </c>
      <c r="K26" s="720">
        <f>+J26-H26</f>
        <v>0</v>
      </c>
      <c r="L26" s="855"/>
    </row>
    <row r="27" spans="1:12" ht="15.75" hidden="1" customHeight="1" outlineLevel="1" x14ac:dyDescent="0.25">
      <c r="A27" s="1346">
        <v>3631</v>
      </c>
      <c r="B27" s="1347">
        <f>+B16</f>
        <v>5164</v>
      </c>
      <c r="C27" s="1348" t="s">
        <v>1692</v>
      </c>
      <c r="D27" s="1349">
        <v>1200</v>
      </c>
      <c r="E27" s="1349"/>
      <c r="F27" s="1349"/>
      <c r="G27" s="1349"/>
      <c r="H27" s="1349"/>
      <c r="I27" s="1350"/>
      <c r="J27" s="1339"/>
      <c r="K27" s="720"/>
      <c r="L27" s="855"/>
    </row>
    <row r="28" spans="1:12" ht="15.75" hidden="1" customHeight="1" outlineLevel="1" x14ac:dyDescent="0.25">
      <c r="A28" s="1351">
        <v>3631</v>
      </c>
      <c r="B28" s="1352">
        <f>+B27</f>
        <v>5164</v>
      </c>
      <c r="C28" s="1353"/>
      <c r="D28" s="1362"/>
      <c r="E28" s="1362"/>
      <c r="F28" s="1362"/>
      <c r="G28" s="1362"/>
      <c r="H28" s="1362"/>
      <c r="I28" s="1361"/>
      <c r="J28" s="1339"/>
      <c r="K28" s="720"/>
      <c r="L28" s="855"/>
    </row>
    <row r="29" spans="1:12" s="991" customFormat="1" ht="16.5" customHeight="1" collapsed="1" thickBot="1" x14ac:dyDescent="0.3">
      <c r="A29" s="1356">
        <v>3631</v>
      </c>
      <c r="B29" s="1357"/>
      <c r="C29" s="1358" t="s">
        <v>183</v>
      </c>
      <c r="D29" s="1359">
        <v>1200</v>
      </c>
      <c r="E29" s="1359">
        <v>0</v>
      </c>
      <c r="F29" s="1359">
        <v>0</v>
      </c>
      <c r="G29" s="1359">
        <v>0</v>
      </c>
      <c r="H29" s="1359">
        <f>SUM(H27:H28)</f>
        <v>0</v>
      </c>
      <c r="I29" s="1360"/>
      <c r="J29" s="657">
        <f>'Výdaje kapitol celkem'!BB27</f>
        <v>0</v>
      </c>
      <c r="K29" s="720">
        <f>+J29-H29</f>
        <v>0</v>
      </c>
      <c r="L29" s="855"/>
    </row>
    <row r="30" spans="1:12" ht="15.75" hidden="1" customHeight="1" outlineLevel="1" x14ac:dyDescent="0.25">
      <c r="A30" s="1346" t="s">
        <v>891</v>
      </c>
      <c r="B30" s="1347">
        <f>+B19</f>
        <v>5164</v>
      </c>
      <c r="C30" s="1348" t="s">
        <v>364</v>
      </c>
      <c r="D30" s="1349">
        <v>700690</v>
      </c>
      <c r="E30" s="1349">
        <v>808000</v>
      </c>
      <c r="F30" s="1349">
        <v>808000</v>
      </c>
      <c r="G30" s="1349">
        <v>750000</v>
      </c>
      <c r="H30" s="1349"/>
      <c r="I30" s="1350"/>
      <c r="J30" s="1339"/>
      <c r="K30" s="720"/>
      <c r="L30" s="855"/>
    </row>
    <row r="31" spans="1:12" ht="15.75" hidden="1" customHeight="1" outlineLevel="1" x14ac:dyDescent="0.25">
      <c r="A31" s="1351" t="s">
        <v>891</v>
      </c>
      <c r="B31" s="1352">
        <f>+B30</f>
        <v>5164</v>
      </c>
      <c r="C31" s="1353"/>
      <c r="D31" s="1362"/>
      <c r="E31" s="1362"/>
      <c r="F31" s="1362"/>
      <c r="G31" s="1362"/>
      <c r="H31" s="1362"/>
      <c r="I31" s="1361"/>
      <c r="J31" s="1339"/>
      <c r="K31" s="720"/>
      <c r="L31" s="855"/>
    </row>
    <row r="32" spans="1:12" s="991" customFormat="1" ht="16.5" customHeight="1" collapsed="1" thickBot="1" x14ac:dyDescent="0.3">
      <c r="A32" s="1356" t="s">
        <v>891</v>
      </c>
      <c r="B32" s="1357"/>
      <c r="C32" s="1358" t="s">
        <v>890</v>
      </c>
      <c r="D32" s="1359">
        <v>700690</v>
      </c>
      <c r="E32" s="1359">
        <v>808000</v>
      </c>
      <c r="F32" s="1359">
        <v>808000</v>
      </c>
      <c r="G32" s="1359">
        <v>750000</v>
      </c>
      <c r="H32" s="1359">
        <f>SUM(H30:H31)</f>
        <v>0</v>
      </c>
      <c r="I32" s="1360"/>
      <c r="J32" s="657">
        <f>'Výdaje kapitol celkem'!BB30</f>
        <v>0</v>
      </c>
      <c r="K32" s="720">
        <f>+J32-H32</f>
        <v>0</v>
      </c>
      <c r="L32" s="855"/>
    </row>
    <row r="33" spans="1:12" ht="15.75" customHeight="1" outlineLevel="1" x14ac:dyDescent="0.25">
      <c r="A33" s="1346">
        <v>2212</v>
      </c>
      <c r="B33" s="1347">
        <f>+B31</f>
        <v>5164</v>
      </c>
      <c r="C33" s="1348" t="s">
        <v>1296</v>
      </c>
      <c r="D33" s="1349">
        <v>400</v>
      </c>
      <c r="E33" s="1349">
        <v>400</v>
      </c>
      <c r="F33" s="1349">
        <v>400</v>
      </c>
      <c r="G33" s="1349">
        <v>400</v>
      </c>
      <c r="H33" s="1349"/>
      <c r="I33" s="1350"/>
      <c r="J33" s="1339"/>
      <c r="K33" s="720"/>
      <c r="L33" s="855"/>
    </row>
    <row r="34" spans="1:12" ht="15.75" customHeight="1" outlineLevel="1" x14ac:dyDescent="0.25">
      <c r="A34" s="1351">
        <v>2212</v>
      </c>
      <c r="B34" s="1352">
        <v>5164</v>
      </c>
      <c r="C34" s="1353" t="s">
        <v>1978</v>
      </c>
      <c r="D34" s="1354"/>
      <c r="E34" s="1354"/>
      <c r="F34" s="1354"/>
      <c r="G34" s="1354"/>
      <c r="H34" s="1354">
        <f>[4]Silnice!$B$21</f>
        <v>400</v>
      </c>
      <c r="I34" s="1355"/>
      <c r="J34" s="1339"/>
      <c r="K34" s="720"/>
      <c r="L34" s="855"/>
    </row>
    <row r="35" spans="1:12" ht="15.75" customHeight="1" outlineLevel="1" x14ac:dyDescent="0.25">
      <c r="A35" s="1351">
        <v>2212</v>
      </c>
      <c r="B35" s="1352">
        <v>5164</v>
      </c>
      <c r="C35" s="1353" t="s">
        <v>1095</v>
      </c>
      <c r="D35" s="1354">
        <v>1500</v>
      </c>
      <c r="E35" s="1354">
        <v>1500</v>
      </c>
      <c r="F35" s="1354">
        <v>1500</v>
      </c>
      <c r="G35" s="1354">
        <v>1500</v>
      </c>
      <c r="H35" s="1354">
        <f>'[5]Silnice-nájem'!$B$6</f>
        <v>1500</v>
      </c>
      <c r="I35" s="1355"/>
      <c r="J35" s="1339"/>
      <c r="K35" s="720"/>
      <c r="L35" s="855"/>
    </row>
    <row r="36" spans="1:12" ht="15.75" customHeight="1" outlineLevel="1" x14ac:dyDescent="0.25">
      <c r="A36" s="1351">
        <v>2212</v>
      </c>
      <c r="B36" s="1352">
        <v>5164</v>
      </c>
      <c r="C36" s="1353" t="s">
        <v>1096</v>
      </c>
      <c r="D36" s="1354">
        <v>500</v>
      </c>
      <c r="E36" s="1354">
        <v>500</v>
      </c>
      <c r="F36" s="1354">
        <v>500</v>
      </c>
      <c r="G36" s="1354">
        <v>500</v>
      </c>
      <c r="H36" s="1354">
        <f>'[5]Silnice-nájem'!$B$7</f>
        <v>500</v>
      </c>
      <c r="I36" s="1355"/>
      <c r="J36" s="1339"/>
      <c r="K36" s="720"/>
      <c r="L36" s="855"/>
    </row>
    <row r="37" spans="1:12" ht="15.75" customHeight="1" outlineLevel="1" x14ac:dyDescent="0.25">
      <c r="A37" s="1351">
        <v>2212</v>
      </c>
      <c r="B37" s="1352">
        <v>5164</v>
      </c>
      <c r="C37" s="1353" t="s">
        <v>1097</v>
      </c>
      <c r="D37" s="1354">
        <v>3500</v>
      </c>
      <c r="E37" s="1354">
        <v>3500</v>
      </c>
      <c r="F37" s="1354">
        <v>3500</v>
      </c>
      <c r="G37" s="1354">
        <v>3500</v>
      </c>
      <c r="H37" s="1354">
        <f>'[5]Silnice-nájem'!$B$8</f>
        <v>3500</v>
      </c>
      <c r="I37" s="1355"/>
      <c r="J37" s="1339"/>
      <c r="K37" s="720"/>
      <c r="L37" s="855"/>
    </row>
    <row r="38" spans="1:12" ht="15.75" customHeight="1" outlineLevel="1" x14ac:dyDescent="0.25">
      <c r="A38" s="1351">
        <v>2212</v>
      </c>
      <c r="B38" s="1352">
        <v>5164</v>
      </c>
      <c r="C38" s="1353" t="s">
        <v>1098</v>
      </c>
      <c r="D38" s="1354">
        <v>1000</v>
      </c>
      <c r="E38" s="1354">
        <v>1000</v>
      </c>
      <c r="F38" s="1354">
        <v>1000</v>
      </c>
      <c r="G38" s="1354">
        <v>1000</v>
      </c>
      <c r="H38" s="1354">
        <f>'[5]Silnice-nájem'!$B$9</f>
        <v>1000</v>
      </c>
      <c r="I38" s="1355"/>
      <c r="J38" s="1339"/>
      <c r="K38" s="720"/>
      <c r="L38" s="855"/>
    </row>
    <row r="39" spans="1:12" ht="15.75" customHeight="1" outlineLevel="1" x14ac:dyDescent="0.25">
      <c r="A39" s="1351">
        <v>2212</v>
      </c>
      <c r="B39" s="1352">
        <v>5164</v>
      </c>
      <c r="C39" s="1353" t="s">
        <v>1099</v>
      </c>
      <c r="D39" s="1354">
        <v>13104</v>
      </c>
      <c r="E39" s="1354">
        <v>13104</v>
      </c>
      <c r="F39" s="1354">
        <v>13104</v>
      </c>
      <c r="G39" s="1354">
        <v>13104</v>
      </c>
      <c r="H39" s="1354">
        <f>'[5]Silnice-nájem'!$B$10</f>
        <v>13104</v>
      </c>
      <c r="I39" s="1355"/>
      <c r="J39" s="1339"/>
      <c r="K39" s="720"/>
      <c r="L39" s="855"/>
    </row>
    <row r="40" spans="1:12" ht="15.75" customHeight="1" outlineLevel="1" x14ac:dyDescent="0.25">
      <c r="A40" s="1351">
        <v>2212</v>
      </c>
      <c r="B40" s="1352">
        <v>5164</v>
      </c>
      <c r="C40" s="1353" t="s">
        <v>1100</v>
      </c>
      <c r="D40" s="1354">
        <v>225</v>
      </c>
      <c r="E40" s="1354">
        <v>225</v>
      </c>
      <c r="F40" s="1354">
        <v>225</v>
      </c>
      <c r="G40" s="1354">
        <v>225</v>
      </c>
      <c r="H40" s="1354">
        <f>'[5]Silnice-nájem'!$B$11</f>
        <v>225</v>
      </c>
      <c r="I40" s="1355"/>
      <c r="J40" s="1339"/>
      <c r="K40" s="720"/>
      <c r="L40" s="855"/>
    </row>
    <row r="41" spans="1:12" ht="15.75" customHeight="1" outlineLevel="1" x14ac:dyDescent="0.25">
      <c r="A41" s="1351">
        <v>2212</v>
      </c>
      <c r="B41" s="1352">
        <v>5164</v>
      </c>
      <c r="C41" s="1353" t="s">
        <v>1101</v>
      </c>
      <c r="D41" s="1354">
        <v>3900</v>
      </c>
      <c r="E41" s="1354">
        <v>3900</v>
      </c>
      <c r="F41" s="1354">
        <v>3900</v>
      </c>
      <c r="G41" s="1354">
        <v>3900</v>
      </c>
      <c r="H41" s="1354">
        <f>'[5]Silnice-nájem'!$B$12</f>
        <v>3900</v>
      </c>
      <c r="I41" s="1355"/>
      <c r="J41" s="1339"/>
      <c r="K41" s="720"/>
      <c r="L41" s="855"/>
    </row>
    <row r="42" spans="1:12" ht="15.75" customHeight="1" outlineLevel="1" x14ac:dyDescent="0.25">
      <c r="A42" s="1351">
        <v>2212</v>
      </c>
      <c r="B42" s="1352">
        <v>5164</v>
      </c>
      <c r="C42" s="1353" t="s">
        <v>1102</v>
      </c>
      <c r="D42" s="1354">
        <v>15500</v>
      </c>
      <c r="E42" s="1354">
        <v>15800</v>
      </c>
      <c r="F42" s="1354">
        <v>15800</v>
      </c>
      <c r="G42" s="1354">
        <v>15800</v>
      </c>
      <c r="H42" s="1354">
        <f>'[5]Silnice-nájem'!$B$13</f>
        <v>15800</v>
      </c>
      <c r="I42" s="1355"/>
      <c r="J42" s="1339"/>
      <c r="K42" s="720"/>
      <c r="L42" s="855"/>
    </row>
    <row r="43" spans="1:12" ht="15.75" customHeight="1" outlineLevel="1" x14ac:dyDescent="0.25">
      <c r="A43" s="1351">
        <v>2212</v>
      </c>
      <c r="B43" s="1352">
        <v>5164</v>
      </c>
      <c r="C43" s="1353" t="s">
        <v>1103</v>
      </c>
      <c r="D43" s="1354">
        <v>67000</v>
      </c>
      <c r="E43" s="1354">
        <v>67000</v>
      </c>
      <c r="F43" s="1354">
        <v>59000</v>
      </c>
      <c r="G43" s="1354">
        <v>0</v>
      </c>
      <c r="H43" s="1354">
        <f>'[5]Silnice-nájem'!$B$14</f>
        <v>0</v>
      </c>
      <c r="I43" s="1355"/>
      <c r="J43" s="1339"/>
      <c r="K43" s="720"/>
      <c r="L43" s="855"/>
    </row>
    <row r="44" spans="1:12" ht="15.75" customHeight="1" outlineLevel="1" x14ac:dyDescent="0.25">
      <c r="A44" s="1351">
        <v>2212</v>
      </c>
      <c r="B44" s="1352">
        <v>5164</v>
      </c>
      <c r="C44" s="1353" t="s">
        <v>1641</v>
      </c>
      <c r="D44" s="1362"/>
      <c r="E44" s="1362">
        <v>100</v>
      </c>
      <c r="F44" s="1362">
        <v>100</v>
      </c>
      <c r="G44" s="1362">
        <v>100</v>
      </c>
      <c r="H44" s="1354">
        <f>'[5]Silnice-nájem'!$B$15</f>
        <v>100</v>
      </c>
      <c r="I44" s="1355"/>
      <c r="J44" s="1339"/>
      <c r="K44" s="720"/>
      <c r="L44" s="855"/>
    </row>
    <row r="45" spans="1:12" s="991" customFormat="1" ht="16.5" customHeight="1" thickBot="1" x14ac:dyDescent="0.3">
      <c r="A45" s="1356">
        <v>2212</v>
      </c>
      <c r="B45" s="1357"/>
      <c r="C45" s="1358" t="s">
        <v>184</v>
      </c>
      <c r="D45" s="1359">
        <v>106629</v>
      </c>
      <c r="E45" s="1359">
        <v>107029</v>
      </c>
      <c r="F45" s="1359">
        <v>99029</v>
      </c>
      <c r="G45" s="1359">
        <v>40029</v>
      </c>
      <c r="H45" s="1359">
        <f>SUM(H33:H44)</f>
        <v>40029</v>
      </c>
      <c r="I45" s="1360"/>
      <c r="J45" s="657">
        <f>'Výdaje kapitol celkem'!BS30</f>
        <v>40029</v>
      </c>
      <c r="K45" s="720">
        <f>+J45-H45</f>
        <v>0</v>
      </c>
      <c r="L45" s="855"/>
    </row>
    <row r="46" spans="1:12" ht="27" outlineLevel="1" x14ac:dyDescent="0.25">
      <c r="A46" s="1346" t="s">
        <v>348</v>
      </c>
      <c r="B46" s="1347">
        <f>+B44</f>
        <v>5164</v>
      </c>
      <c r="C46" s="1348" t="s">
        <v>923</v>
      </c>
      <c r="D46" s="1349">
        <v>1001</v>
      </c>
      <c r="E46" s="1349">
        <v>1001</v>
      </c>
      <c r="F46" s="1349">
        <v>1001</v>
      </c>
      <c r="G46" s="1349">
        <v>1001</v>
      </c>
      <c r="H46" s="1349">
        <f>[5]Rybníky!$B$5</f>
        <v>1001</v>
      </c>
      <c r="I46" s="1350"/>
      <c r="J46" s="1339"/>
      <c r="K46" s="720"/>
      <c r="L46" s="855"/>
    </row>
    <row r="47" spans="1:12" ht="15.75" customHeight="1" outlineLevel="1" x14ac:dyDescent="0.25">
      <c r="A47" s="1351" t="s">
        <v>348</v>
      </c>
      <c r="B47" s="1352">
        <f>+B46</f>
        <v>5164</v>
      </c>
      <c r="C47" s="1353" t="s">
        <v>1311</v>
      </c>
      <c r="D47" s="1354">
        <v>350000</v>
      </c>
      <c r="E47" s="1354">
        <v>350000</v>
      </c>
      <c r="F47" s="1354">
        <v>350000</v>
      </c>
      <c r="G47" s="1354">
        <v>350000</v>
      </c>
      <c r="H47" s="1354">
        <f>'[6]Rybníky 3749-2'!$B$16</f>
        <v>350000</v>
      </c>
      <c r="I47" s="1361"/>
      <c r="J47" s="1339"/>
      <c r="K47" s="720"/>
      <c r="L47" s="855"/>
    </row>
    <row r="48" spans="1:12" s="991" customFormat="1" ht="16.5" customHeight="1" thickBot="1" x14ac:dyDescent="0.3">
      <c r="A48" s="1356" t="s">
        <v>348</v>
      </c>
      <c r="B48" s="1357"/>
      <c r="C48" s="1358" t="s">
        <v>349</v>
      </c>
      <c r="D48" s="1359">
        <v>351001</v>
      </c>
      <c r="E48" s="1359">
        <v>351001</v>
      </c>
      <c r="F48" s="1359">
        <v>351001</v>
      </c>
      <c r="G48" s="1359">
        <v>351001</v>
      </c>
      <c r="H48" s="1359">
        <f>SUM(H46:H47)</f>
        <v>351001</v>
      </c>
      <c r="I48" s="1360"/>
      <c r="J48" s="657">
        <f>'Výdaje kapitol celkem'!DA30</f>
        <v>351001</v>
      </c>
      <c r="K48" s="720">
        <f>+J48-H48</f>
        <v>0</v>
      </c>
      <c r="L48" s="855"/>
    </row>
    <row r="49" spans="1:12" s="652" customFormat="1" ht="17.25" thickBot="1" x14ac:dyDescent="0.35">
      <c r="A49" s="2319" t="s">
        <v>967</v>
      </c>
      <c r="B49" s="2320"/>
      <c r="C49" s="2321"/>
      <c r="D49" s="1372">
        <f>+D48+D45+D32+D20+D17+D10+D26+D13+D7+D23+D29</f>
        <v>2295420</v>
      </c>
      <c r="E49" s="1372">
        <v>2366198</v>
      </c>
      <c r="F49" s="1372">
        <v>2366198</v>
      </c>
      <c r="G49" s="1372">
        <v>2232198</v>
      </c>
      <c r="H49" s="1372">
        <f>+H48+H45+H32+H20+H17+H10+H26+H13+H7+H23+H29</f>
        <v>1538438</v>
      </c>
      <c r="I49" s="1373"/>
      <c r="J49" s="1374"/>
      <c r="K49" s="1375"/>
      <c r="L49" s="855"/>
    </row>
    <row r="50" spans="1:12" x14ac:dyDescent="0.25">
      <c r="A50" s="876"/>
      <c r="B50" s="876"/>
      <c r="C50" s="876"/>
      <c r="D50" s="1337">
        <f>'Výdaje kapitol celkem'!D30</f>
        <v>2295420</v>
      </c>
      <c r="E50" s="1337">
        <v>2366198</v>
      </c>
      <c r="F50" s="1337">
        <v>2366198</v>
      </c>
      <c r="G50" s="1337">
        <v>2232198</v>
      </c>
      <c r="H50" s="1337">
        <f>'Výdaje kapitol celkem'!H30</f>
        <v>1538438</v>
      </c>
      <c r="I50" s="1338"/>
      <c r="J50" s="1339"/>
      <c r="K50" s="1340"/>
    </row>
    <row r="51" spans="1:12" s="768" customFormat="1" x14ac:dyDescent="0.25">
      <c r="A51" s="879"/>
      <c r="B51" s="879"/>
      <c r="C51" s="879" t="s">
        <v>253</v>
      </c>
      <c r="D51" s="1338">
        <f>+D49-D50</f>
        <v>0</v>
      </c>
      <c r="E51" s="1338">
        <v>0</v>
      </c>
      <c r="F51" s="1338">
        <v>0</v>
      </c>
      <c r="G51" s="1338">
        <v>0</v>
      </c>
      <c r="H51" s="1338">
        <f>+H49-H50</f>
        <v>0</v>
      </c>
      <c r="I51" s="1338"/>
      <c r="J51" s="1339"/>
      <c r="K51" s="1340"/>
    </row>
    <row r="52" spans="1:12" x14ac:dyDescent="0.25">
      <c r="A52" s="1319" t="s">
        <v>650</v>
      </c>
      <c r="B52" s="876"/>
      <c r="C52" s="876"/>
      <c r="D52" s="1337"/>
      <c r="E52" s="1337"/>
      <c r="F52" s="1337"/>
      <c r="G52" s="1337"/>
      <c r="H52" s="1337"/>
      <c r="I52" s="1338"/>
      <c r="J52" s="1339"/>
      <c r="K52" s="1340"/>
    </row>
  </sheetData>
  <sheetProtection algorithmName="SHA-512" hashValue="O155VIifNhKX70qduVSsaOFnbyZQqPfs8CHWtd8MlvZnxQbl/1juWWYzY1i14d32kMQB1kLSHvQZ2cMlEfVD3A==" saltValue="g0tw0Wf+3vfeTOF6yYBzlw==" spinCount="100000" sheet="1" objects="1" scenarios="1"/>
  <mergeCells count="2">
    <mergeCell ref="A2:C2"/>
    <mergeCell ref="A49:C49"/>
  </mergeCells>
  <pageMargins left="0.31496062992125984" right="0.31496062992125984" top="0.19685039370078741" bottom="0.19685039370078741" header="0.31496062992125984" footer="0.31496062992125984"/>
  <pageSetup paperSize="9" scale="72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83"/>
  <sheetViews>
    <sheetView zoomScale="87" zoomScaleNormal="87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ColWidth="9.140625" defaultRowHeight="13.5" outlineLevelRow="1" x14ac:dyDescent="0.25"/>
  <cols>
    <col min="1" max="2" width="9.7109375" style="759" customWidth="1"/>
    <col min="3" max="3" width="75.42578125" style="759" customWidth="1"/>
    <col min="4" max="4" width="15.7109375" style="762" hidden="1" customWidth="1"/>
    <col min="5" max="7" width="14.85546875" style="762" hidden="1" customWidth="1"/>
    <col min="8" max="8" width="14.85546875" style="762" bestFit="1" customWidth="1"/>
    <col min="9" max="9" width="13.42578125" style="763" bestFit="1" customWidth="1"/>
    <col min="10" max="10" width="11.5703125" style="1402" bestFit="1" customWidth="1"/>
    <col min="11" max="11" width="14.140625" style="993" customWidth="1"/>
    <col min="12" max="16384" width="9.140625" style="759"/>
  </cols>
  <sheetData>
    <row r="1" spans="1:12" s="780" customFormat="1" ht="24" customHeight="1" x14ac:dyDescent="0.3">
      <c r="A1" s="445" t="s">
        <v>1955</v>
      </c>
      <c r="B1" s="445"/>
      <c r="C1" s="1391"/>
      <c r="D1" s="1392"/>
      <c r="E1" s="1392"/>
      <c r="F1" s="1392"/>
      <c r="G1" s="1392"/>
      <c r="H1" s="1392"/>
      <c r="I1" s="1393"/>
      <c r="J1" s="1394"/>
      <c r="K1" s="1395"/>
    </row>
    <row r="2" spans="1:12" s="1336" customFormat="1" ht="20.25" customHeight="1" x14ac:dyDescent="0.3">
      <c r="A2" s="2322" t="s">
        <v>887</v>
      </c>
      <c r="B2" s="2322"/>
      <c r="C2" s="2323"/>
      <c r="D2" s="1396"/>
      <c r="E2" s="1396"/>
      <c r="F2" s="1396"/>
      <c r="G2" s="1396"/>
      <c r="H2" s="1396"/>
      <c r="I2" s="1397"/>
      <c r="J2" s="1398"/>
      <c r="K2" s="1399"/>
    </row>
    <row r="3" spans="1:12" ht="14.25" thickBot="1" x14ac:dyDescent="0.3">
      <c r="A3" s="446"/>
      <c r="B3" s="446"/>
      <c r="C3" s="446"/>
      <c r="D3" s="527"/>
      <c r="E3" s="527"/>
      <c r="F3" s="527"/>
      <c r="G3" s="527"/>
      <c r="H3" s="860"/>
      <c r="I3" s="656"/>
      <c r="J3" s="663"/>
      <c r="K3" s="1400"/>
    </row>
    <row r="4" spans="1:12" ht="27.75" thickBot="1" x14ac:dyDescent="0.3">
      <c r="A4" s="1341" t="s">
        <v>1</v>
      </c>
      <c r="B4" s="1342" t="s">
        <v>90</v>
      </c>
      <c r="C4" s="1343" t="s">
        <v>6</v>
      </c>
      <c r="D4" s="1344" t="s">
        <v>1701</v>
      </c>
      <c r="E4" s="1344" t="s">
        <v>1289</v>
      </c>
      <c r="F4" s="1344" t="s">
        <v>1677</v>
      </c>
      <c r="G4" s="1344" t="s">
        <v>1748</v>
      </c>
      <c r="H4" s="1344" t="s">
        <v>1957</v>
      </c>
      <c r="I4" s="1345" t="s">
        <v>5</v>
      </c>
      <c r="J4" s="1401" t="s">
        <v>1067</v>
      </c>
      <c r="K4" s="1400" t="s">
        <v>883</v>
      </c>
    </row>
    <row r="5" spans="1:12" ht="15.75" customHeight="1" outlineLevel="1" x14ac:dyDescent="0.25">
      <c r="A5" s="1346">
        <v>6409</v>
      </c>
      <c r="B5" s="1347">
        <v>5169</v>
      </c>
      <c r="C5" s="1348" t="s">
        <v>601</v>
      </c>
      <c r="D5" s="1349">
        <v>50000</v>
      </c>
      <c r="E5" s="1349">
        <v>50000</v>
      </c>
      <c r="F5" s="1349">
        <v>50000</v>
      </c>
      <c r="G5" s="1349">
        <v>50000</v>
      </c>
      <c r="H5" s="1349">
        <f>'[4]Všeob. pokladna'!$B$19</f>
        <v>50000</v>
      </c>
      <c r="I5" s="1350"/>
      <c r="J5" s="663"/>
      <c r="K5" s="1400"/>
    </row>
    <row r="6" spans="1:12" ht="15.75" customHeight="1" outlineLevel="1" x14ac:dyDescent="0.25">
      <c r="A6" s="1351">
        <v>6409</v>
      </c>
      <c r="B6" s="1352">
        <v>5169</v>
      </c>
      <c r="C6" s="1353" t="s">
        <v>1646</v>
      </c>
      <c r="D6" s="1354">
        <v>0</v>
      </c>
      <c r="E6" s="1354">
        <v>200000</v>
      </c>
      <c r="F6" s="1354">
        <v>200000</v>
      </c>
      <c r="G6" s="1354">
        <v>100000</v>
      </c>
      <c r="H6" s="1354">
        <f>'[4]Všeob. pokladna'!$B$20</f>
        <v>200000</v>
      </c>
      <c r="I6" s="1355"/>
      <c r="J6" s="663"/>
      <c r="K6" s="1400"/>
    </row>
    <row r="7" spans="1:12" s="991" customFormat="1" ht="16.5" customHeight="1" thickBot="1" x14ac:dyDescent="0.3">
      <c r="A7" s="1356"/>
      <c r="B7" s="1357"/>
      <c r="C7" s="1358" t="s">
        <v>589</v>
      </c>
      <c r="D7" s="1359">
        <v>50000</v>
      </c>
      <c r="E7" s="1359">
        <v>250000</v>
      </c>
      <c r="F7" s="1359">
        <v>250000</v>
      </c>
      <c r="G7" s="1359">
        <v>150000</v>
      </c>
      <c r="H7" s="1359">
        <f>SUM(H5:H6)</f>
        <v>250000</v>
      </c>
      <c r="I7" s="1360"/>
      <c r="J7" s="667">
        <f>'Výdaje kapitol celkem'!L34</f>
        <v>250000</v>
      </c>
      <c r="K7" s="743">
        <f>+J7-H7</f>
        <v>0</v>
      </c>
      <c r="L7" s="855"/>
    </row>
    <row r="8" spans="1:12" ht="15.75" customHeight="1" outlineLevel="1" x14ac:dyDescent="0.25">
      <c r="A8" s="1346">
        <v>6112</v>
      </c>
      <c r="B8" s="1347">
        <v>5169</v>
      </c>
      <c r="C8" s="1348" t="s">
        <v>597</v>
      </c>
      <c r="D8" s="1349">
        <v>50000</v>
      </c>
      <c r="E8" s="1349">
        <v>0</v>
      </c>
      <c r="F8" s="1349">
        <v>0</v>
      </c>
      <c r="G8" s="1349">
        <v>0</v>
      </c>
      <c r="H8" s="1349">
        <f>[3]Zastupitelé!$B$52</f>
        <v>0</v>
      </c>
      <c r="I8" s="1350"/>
      <c r="J8" s="663"/>
      <c r="K8" s="1400"/>
    </row>
    <row r="9" spans="1:12" ht="15.75" customHeight="1" outlineLevel="1" x14ac:dyDescent="0.25">
      <c r="A9" s="1351">
        <v>6112</v>
      </c>
      <c r="B9" s="1352">
        <v>5169</v>
      </c>
      <c r="C9" s="1353" t="s">
        <v>1141</v>
      </c>
      <c r="D9" s="1354">
        <v>30000</v>
      </c>
      <c r="E9" s="1354">
        <v>30000</v>
      </c>
      <c r="F9" s="1354">
        <v>30000</v>
      </c>
      <c r="G9" s="1354">
        <v>30000</v>
      </c>
      <c r="H9" s="1354">
        <f>[3]Zastupitelé!$B$53</f>
        <v>30000</v>
      </c>
      <c r="I9" s="1355"/>
      <c r="J9" s="663"/>
      <c r="K9" s="1400"/>
    </row>
    <row r="10" spans="1:12" s="991" customFormat="1" ht="16.5" customHeight="1" thickBot="1" x14ac:dyDescent="0.3">
      <c r="A10" s="1356"/>
      <c r="B10" s="1357"/>
      <c r="C10" s="1358" t="s">
        <v>590</v>
      </c>
      <c r="D10" s="1359">
        <f>SUM(D8:D9)</f>
        <v>80000</v>
      </c>
      <c r="E10" s="1359">
        <v>30000</v>
      </c>
      <c r="F10" s="1359">
        <v>30000</v>
      </c>
      <c r="G10" s="1359">
        <v>30000</v>
      </c>
      <c r="H10" s="1359">
        <f>SUM(H8:H9)</f>
        <v>30000</v>
      </c>
      <c r="I10" s="1360"/>
      <c r="J10" s="667">
        <f>'Výdaje kapitol celkem'!M34</f>
        <v>30000</v>
      </c>
      <c r="K10" s="743">
        <f>+J10-H10</f>
        <v>0</v>
      </c>
      <c r="L10" s="855"/>
    </row>
    <row r="11" spans="1:12" ht="15.75" hidden="1" customHeight="1" outlineLevel="1" x14ac:dyDescent="0.25">
      <c r="A11" s="1346">
        <v>6117</v>
      </c>
      <c r="B11" s="1347">
        <v>5169</v>
      </c>
      <c r="C11" s="1348"/>
      <c r="D11" s="1349">
        <v>9000</v>
      </c>
      <c r="E11" s="1349"/>
      <c r="F11" s="1349"/>
      <c r="G11" s="1349"/>
      <c r="H11" s="1349"/>
      <c r="I11" s="1350"/>
      <c r="J11" s="663"/>
      <c r="K11" s="1400"/>
    </row>
    <row r="12" spans="1:12" ht="15.75" hidden="1" customHeight="1" outlineLevel="1" x14ac:dyDescent="0.25">
      <c r="A12" s="1351">
        <v>6117</v>
      </c>
      <c r="B12" s="1352">
        <v>5169</v>
      </c>
      <c r="C12" s="1353"/>
      <c r="D12" s="1354"/>
      <c r="E12" s="1354"/>
      <c r="F12" s="1354"/>
      <c r="G12" s="1354"/>
      <c r="H12" s="1354"/>
      <c r="I12" s="1355"/>
      <c r="J12" s="663"/>
      <c r="K12" s="1400"/>
    </row>
    <row r="13" spans="1:12" ht="15.75" hidden="1" customHeight="1" outlineLevel="1" x14ac:dyDescent="0.25">
      <c r="A13" s="1351">
        <v>6117</v>
      </c>
      <c r="B13" s="1352">
        <v>5169</v>
      </c>
      <c r="C13" s="1353"/>
      <c r="D13" s="1354"/>
      <c r="E13" s="1354"/>
      <c r="F13" s="1354"/>
      <c r="G13" s="1354"/>
      <c r="H13" s="1354"/>
      <c r="I13" s="1355"/>
      <c r="J13" s="663"/>
      <c r="K13" s="1400"/>
    </row>
    <row r="14" spans="1:12" s="991" customFormat="1" ht="16.5" customHeight="1" collapsed="1" thickBot="1" x14ac:dyDescent="0.3">
      <c r="A14" s="1356"/>
      <c r="B14" s="1357"/>
      <c r="C14" s="1358" t="s">
        <v>1285</v>
      </c>
      <c r="D14" s="1359">
        <f>SUM(D11:D13)</f>
        <v>9000</v>
      </c>
      <c r="E14" s="1359">
        <v>0</v>
      </c>
      <c r="F14" s="1359">
        <v>0</v>
      </c>
      <c r="G14" s="1359">
        <v>0</v>
      </c>
      <c r="H14" s="1359">
        <f>SUM(H11:H13)</f>
        <v>0</v>
      </c>
      <c r="I14" s="1360"/>
      <c r="J14" s="667">
        <f>'Výdaje kapitol celkem'!N34</f>
        <v>0</v>
      </c>
      <c r="K14" s="743">
        <f>+J14-H14</f>
        <v>0</v>
      </c>
      <c r="L14" s="855"/>
    </row>
    <row r="15" spans="1:12" ht="15.75" hidden="1" customHeight="1" outlineLevel="1" x14ac:dyDescent="0.25">
      <c r="A15" s="1346">
        <v>6171</v>
      </c>
      <c r="B15" s="1347">
        <v>5169</v>
      </c>
      <c r="C15" s="1348"/>
      <c r="D15" s="1349">
        <v>325000</v>
      </c>
      <c r="E15" s="1349">
        <v>300000</v>
      </c>
      <c r="F15" s="1349">
        <v>300000</v>
      </c>
      <c r="G15" s="1349">
        <v>300000</v>
      </c>
      <c r="H15" s="1349">
        <f>[4]Správa!$B$5</f>
        <v>0</v>
      </c>
      <c r="I15" s="1350"/>
      <c r="J15" s="663"/>
      <c r="K15" s="1400"/>
    </row>
    <row r="16" spans="1:12" ht="15.75" hidden="1" customHeight="1" outlineLevel="1" x14ac:dyDescent="0.25">
      <c r="A16" s="1351">
        <v>6171</v>
      </c>
      <c r="B16" s="1352">
        <v>5169</v>
      </c>
      <c r="C16" s="1353"/>
      <c r="D16" s="1354"/>
      <c r="E16" s="1354"/>
      <c r="F16" s="1354"/>
      <c r="G16" s="1354"/>
      <c r="H16" s="1354">
        <f>[4]Správa!$B$6</f>
        <v>0</v>
      </c>
      <c r="I16" s="1355"/>
      <c r="J16" s="663"/>
      <c r="K16" s="1400"/>
    </row>
    <row r="17" spans="1:12" ht="25.5" customHeight="1" outlineLevel="1" x14ac:dyDescent="0.25">
      <c r="A17" s="1351">
        <v>6171</v>
      </c>
      <c r="B17" s="1352">
        <v>5169</v>
      </c>
      <c r="C17" s="1353" t="s">
        <v>1142</v>
      </c>
      <c r="D17" s="1354"/>
      <c r="E17" s="1354"/>
      <c r="F17" s="1354"/>
      <c r="G17" s="1354"/>
      <c r="H17" s="1354">
        <f>[3]Správa!$B$63</f>
        <v>300000</v>
      </c>
      <c r="I17" s="1355"/>
      <c r="J17" s="663"/>
      <c r="K17" s="1400"/>
    </row>
    <row r="18" spans="1:12" ht="15.75" customHeight="1" outlineLevel="1" x14ac:dyDescent="0.25">
      <c r="A18" s="1351">
        <v>6171</v>
      </c>
      <c r="B18" s="1352">
        <v>5169</v>
      </c>
      <c r="C18" s="1353" t="s">
        <v>1143</v>
      </c>
      <c r="D18" s="1354">
        <v>200000</v>
      </c>
      <c r="E18" s="1354">
        <v>200000</v>
      </c>
      <c r="F18" s="1354">
        <v>200000</v>
      </c>
      <c r="G18" s="1354">
        <v>200000</v>
      </c>
      <c r="H18" s="1354">
        <f>[3]Správa!$B$64</f>
        <v>200000</v>
      </c>
      <c r="I18" s="1355"/>
      <c r="J18" s="663"/>
      <c r="K18" s="1400"/>
    </row>
    <row r="19" spans="1:12" ht="15.75" customHeight="1" outlineLevel="1" x14ac:dyDescent="0.25">
      <c r="A19" s="1351">
        <v>6171</v>
      </c>
      <c r="B19" s="1352">
        <v>5169</v>
      </c>
      <c r="C19" s="1353" t="s">
        <v>1144</v>
      </c>
      <c r="D19" s="1354">
        <v>560000</v>
      </c>
      <c r="E19" s="1354">
        <v>560000</v>
      </c>
      <c r="F19" s="1354">
        <v>560000</v>
      </c>
      <c r="G19" s="1354">
        <v>560000</v>
      </c>
      <c r="H19" s="1354">
        <f>[3]Správa!$B$65</f>
        <v>560000</v>
      </c>
      <c r="I19" s="1355"/>
      <c r="J19" s="663"/>
      <c r="K19" s="1400"/>
    </row>
    <row r="20" spans="1:12" s="991" customFormat="1" ht="16.5" customHeight="1" thickBot="1" x14ac:dyDescent="0.3">
      <c r="A20" s="1356"/>
      <c r="B20" s="1357"/>
      <c r="C20" s="1358" t="s">
        <v>249</v>
      </c>
      <c r="D20" s="1359">
        <f>SUM(D15:D19)</f>
        <v>1085000</v>
      </c>
      <c r="E20" s="1359">
        <v>1060000</v>
      </c>
      <c r="F20" s="1359">
        <v>1060000</v>
      </c>
      <c r="G20" s="1359">
        <v>1060000</v>
      </c>
      <c r="H20" s="1359">
        <f>SUM(H15:H19)</f>
        <v>1060000</v>
      </c>
      <c r="I20" s="1360"/>
      <c r="J20" s="667">
        <f>'Výdaje kapitol celkem'!O34</f>
        <v>1060000</v>
      </c>
      <c r="K20" s="743">
        <f>+J20-H20</f>
        <v>0</v>
      </c>
      <c r="L20" s="855"/>
    </row>
    <row r="21" spans="1:12" ht="15.75" customHeight="1" outlineLevel="1" x14ac:dyDescent="0.25">
      <c r="A21" s="1346">
        <v>4351</v>
      </c>
      <c r="B21" s="1347">
        <v>5169</v>
      </c>
      <c r="C21" s="1348" t="s">
        <v>389</v>
      </c>
      <c r="D21" s="1349">
        <v>10000</v>
      </c>
      <c r="E21" s="1349">
        <v>10000</v>
      </c>
      <c r="F21" s="1349">
        <v>10000</v>
      </c>
      <c r="G21" s="1349">
        <v>10000</v>
      </c>
      <c r="H21" s="1349">
        <f>'[3]Pečovatelská služba'!$B$53</f>
        <v>15000</v>
      </c>
      <c r="I21" s="1350"/>
      <c r="J21" s="663"/>
      <c r="K21" s="743"/>
      <c r="L21" s="855"/>
    </row>
    <row r="22" spans="1:12" ht="15.75" customHeight="1" outlineLevel="1" x14ac:dyDescent="0.25">
      <c r="A22" s="1351">
        <v>4351</v>
      </c>
      <c r="B22" s="1352">
        <v>5169</v>
      </c>
      <c r="C22" s="1353">
        <v>0</v>
      </c>
      <c r="D22" s="1354">
        <v>0</v>
      </c>
      <c r="E22" s="1354">
        <v>0</v>
      </c>
      <c r="F22" s="1354">
        <v>0</v>
      </c>
      <c r="G22" s="1354">
        <v>0</v>
      </c>
      <c r="H22" s="1354">
        <f>'[3]Pečovatelská služba'!$B$54</f>
        <v>0</v>
      </c>
      <c r="I22" s="1361"/>
      <c r="J22" s="663"/>
      <c r="K22" s="743"/>
      <c r="L22" s="855"/>
    </row>
    <row r="23" spans="1:12" s="991" customFormat="1" ht="16.5" customHeight="1" thickBot="1" x14ac:dyDescent="0.3">
      <c r="A23" s="1356"/>
      <c r="B23" s="1357"/>
      <c r="C23" s="1358" t="s">
        <v>250</v>
      </c>
      <c r="D23" s="1359">
        <v>10000</v>
      </c>
      <c r="E23" s="1359">
        <v>10000</v>
      </c>
      <c r="F23" s="1359">
        <v>10000</v>
      </c>
      <c r="G23" s="1359">
        <v>10000</v>
      </c>
      <c r="H23" s="1359">
        <f>SUM(H21:H22)</f>
        <v>15000</v>
      </c>
      <c r="I23" s="1360"/>
      <c r="J23" s="667">
        <f>'Výdaje kapitol celkem'!T34</f>
        <v>15000</v>
      </c>
      <c r="K23" s="743">
        <f>+J23-H23</f>
        <v>0</v>
      </c>
      <c r="L23" s="855"/>
    </row>
    <row r="24" spans="1:12" ht="15.75" customHeight="1" outlineLevel="1" x14ac:dyDescent="0.25">
      <c r="A24" s="1346">
        <v>5311</v>
      </c>
      <c r="B24" s="1347">
        <v>5169</v>
      </c>
      <c r="C24" s="1348">
        <v>0</v>
      </c>
      <c r="D24" s="1349">
        <v>200000</v>
      </c>
      <c r="E24" s="1349">
        <v>200000</v>
      </c>
      <c r="F24" s="1349">
        <v>200000</v>
      </c>
      <c r="G24" s="1349">
        <v>200000</v>
      </c>
      <c r="H24" s="1349">
        <f>'[3]Agentura SCSA'!$B$5</f>
        <v>200000</v>
      </c>
      <c r="I24" s="1350"/>
      <c r="J24" s="663"/>
      <c r="K24" s="743"/>
      <c r="L24" s="855"/>
    </row>
    <row r="25" spans="1:12" ht="15.75" customHeight="1" outlineLevel="1" x14ac:dyDescent="0.25">
      <c r="A25" s="1351">
        <v>5311</v>
      </c>
      <c r="B25" s="1352">
        <v>5169</v>
      </c>
      <c r="C25" s="1353">
        <v>0</v>
      </c>
      <c r="D25" s="1354">
        <v>45000</v>
      </c>
      <c r="E25" s="1354"/>
      <c r="F25" s="1354"/>
      <c r="G25" s="1354"/>
      <c r="H25" s="1354">
        <f>'[3]Agentura SCSA'!$B$6</f>
        <v>0</v>
      </c>
      <c r="I25" s="1361"/>
      <c r="J25" s="663"/>
      <c r="K25" s="743"/>
      <c r="L25" s="855"/>
    </row>
    <row r="26" spans="1:12" s="991" customFormat="1" ht="16.5" customHeight="1" thickBot="1" x14ac:dyDescent="0.3">
      <c r="A26" s="1356"/>
      <c r="B26" s="1357"/>
      <c r="C26" s="1358" t="s">
        <v>164</v>
      </c>
      <c r="D26" s="1359">
        <v>245000</v>
      </c>
      <c r="E26" s="1359">
        <v>200000</v>
      </c>
      <c r="F26" s="1359">
        <v>200000</v>
      </c>
      <c r="G26" s="1359">
        <v>200000</v>
      </c>
      <c r="H26" s="1359">
        <f>SUM(H24:H25)</f>
        <v>200000</v>
      </c>
      <c r="I26" s="1360"/>
      <c r="J26" s="667">
        <f>'Výdaje kapitol celkem'!U34</f>
        <v>200000</v>
      </c>
      <c r="K26" s="743">
        <f>+J26-H26</f>
        <v>0</v>
      </c>
      <c r="L26" s="855"/>
    </row>
    <row r="27" spans="1:12" ht="15.75" customHeight="1" outlineLevel="1" x14ac:dyDescent="0.25">
      <c r="A27" s="1346" t="s">
        <v>233</v>
      </c>
      <c r="B27" s="1347">
        <v>5169</v>
      </c>
      <c r="C27" s="1348" t="s">
        <v>1145</v>
      </c>
      <c r="D27" s="1349">
        <v>25000</v>
      </c>
      <c r="E27" s="1349">
        <v>25000</v>
      </c>
      <c r="F27" s="1349">
        <v>25000</v>
      </c>
      <c r="G27" s="1349">
        <v>25000</v>
      </c>
      <c r="H27" s="1349">
        <f>'[3]Městská policie'!$B$78</f>
        <v>25000</v>
      </c>
      <c r="I27" s="1350"/>
      <c r="J27" s="663"/>
      <c r="K27" s="743"/>
      <c r="L27" s="855"/>
    </row>
    <row r="28" spans="1:12" ht="15.75" customHeight="1" outlineLevel="1" x14ac:dyDescent="0.25">
      <c r="A28" s="1351" t="s">
        <v>233</v>
      </c>
      <c r="B28" s="1352">
        <v>5169</v>
      </c>
      <c r="C28" s="1353" t="s">
        <v>2005</v>
      </c>
      <c r="D28" s="1354">
        <v>10000</v>
      </c>
      <c r="E28" s="1354">
        <v>0</v>
      </c>
      <c r="F28" s="1354">
        <v>0</v>
      </c>
      <c r="G28" s="1354">
        <v>0</v>
      </c>
      <c r="H28" s="1354">
        <f>'[3]Městská policie'!$B$79</f>
        <v>10000</v>
      </c>
      <c r="I28" s="1361"/>
      <c r="J28" s="663"/>
      <c r="K28" s="743"/>
      <c r="L28" s="855"/>
    </row>
    <row r="29" spans="1:12" s="991" customFormat="1" ht="16.5" customHeight="1" thickBot="1" x14ac:dyDescent="0.3">
      <c r="A29" s="1356"/>
      <c r="B29" s="1357"/>
      <c r="C29" s="1358" t="s">
        <v>296</v>
      </c>
      <c r="D29" s="1359">
        <v>35000</v>
      </c>
      <c r="E29" s="1359">
        <v>25000</v>
      </c>
      <c r="F29" s="1359">
        <v>25000</v>
      </c>
      <c r="G29" s="1359">
        <v>25000</v>
      </c>
      <c r="H29" s="1359">
        <f>SUM(H27:H28)</f>
        <v>35000</v>
      </c>
      <c r="I29" s="1360"/>
      <c r="J29" s="667">
        <f>'Výdaje kapitol celkem'!V34</f>
        <v>35000</v>
      </c>
      <c r="K29" s="743">
        <f>+J29-H29</f>
        <v>0</v>
      </c>
      <c r="L29" s="855"/>
    </row>
    <row r="30" spans="1:12" ht="15.75" customHeight="1" outlineLevel="1" x14ac:dyDescent="0.25">
      <c r="A30" s="1346">
        <v>3319</v>
      </c>
      <c r="B30" s="1347">
        <v>5169</v>
      </c>
      <c r="C30" s="1348" t="s">
        <v>598</v>
      </c>
      <c r="D30" s="1349">
        <v>10000</v>
      </c>
      <c r="E30" s="1349">
        <v>50000</v>
      </c>
      <c r="F30" s="1349">
        <v>50000</v>
      </c>
      <c r="G30" s="1349">
        <v>50000</v>
      </c>
      <c r="H30" s="1349">
        <f>[3]Kronika!$B$19</f>
        <v>50000</v>
      </c>
      <c r="I30" s="1350"/>
      <c r="J30" s="663"/>
      <c r="K30" s="743"/>
      <c r="L30" s="855"/>
    </row>
    <row r="31" spans="1:12" ht="15.75" customHeight="1" outlineLevel="1" x14ac:dyDescent="0.25">
      <c r="A31" s="1351">
        <v>3319</v>
      </c>
      <c r="B31" s="1352">
        <v>5169</v>
      </c>
      <c r="C31" s="1353" t="s">
        <v>599</v>
      </c>
      <c r="D31" s="1354">
        <v>20000</v>
      </c>
      <c r="E31" s="1354">
        <v>50000</v>
      </c>
      <c r="F31" s="1354">
        <v>50000</v>
      </c>
      <c r="G31" s="1354">
        <v>50000</v>
      </c>
      <c r="H31" s="1354">
        <f>[3]Kronika!$B$20</f>
        <v>50000</v>
      </c>
      <c r="I31" s="1361"/>
      <c r="J31" s="663"/>
      <c r="K31" s="743"/>
      <c r="L31" s="855"/>
    </row>
    <row r="32" spans="1:12" s="991" customFormat="1" ht="16.5" customHeight="1" thickBot="1" x14ac:dyDescent="0.3">
      <c r="A32" s="1356"/>
      <c r="B32" s="1357"/>
      <c r="C32" s="1358" t="s">
        <v>591</v>
      </c>
      <c r="D32" s="1359">
        <f>SUM(D30:D31)</f>
        <v>30000</v>
      </c>
      <c r="E32" s="1359">
        <v>100000</v>
      </c>
      <c r="F32" s="1359">
        <v>100000</v>
      </c>
      <c r="G32" s="1359">
        <v>100000</v>
      </c>
      <c r="H32" s="1359">
        <f>SUM(H30:H31)</f>
        <v>100000</v>
      </c>
      <c r="I32" s="1360"/>
      <c r="J32" s="667">
        <f>'Výdaje kapitol celkem'!W34</f>
        <v>100000</v>
      </c>
      <c r="K32" s="743">
        <f>+J32-H32</f>
        <v>0</v>
      </c>
      <c r="L32" s="855"/>
    </row>
    <row r="33" spans="1:12" ht="15.75" customHeight="1" outlineLevel="1" x14ac:dyDescent="0.25">
      <c r="A33" s="1346">
        <v>3314</v>
      </c>
      <c r="B33" s="1347">
        <v>5169</v>
      </c>
      <c r="C33" s="1348">
        <v>0</v>
      </c>
      <c r="D33" s="1349">
        <v>15000</v>
      </c>
      <c r="E33" s="1349">
        <v>15000</v>
      </c>
      <c r="F33" s="1349">
        <v>15000</v>
      </c>
      <c r="G33" s="1349">
        <v>15000</v>
      </c>
      <c r="H33" s="1349">
        <f>[3]Knihovna!$B$55</f>
        <v>15000</v>
      </c>
      <c r="I33" s="1350"/>
      <c r="J33" s="663"/>
      <c r="K33" s="743"/>
      <c r="L33" s="855"/>
    </row>
    <row r="34" spans="1:12" ht="15.75" customHeight="1" outlineLevel="1" x14ac:dyDescent="0.25">
      <c r="A34" s="1351">
        <v>3314</v>
      </c>
      <c r="B34" s="1352">
        <v>5169</v>
      </c>
      <c r="C34" s="1353">
        <v>0</v>
      </c>
      <c r="D34" s="1354">
        <v>0</v>
      </c>
      <c r="E34" s="1354"/>
      <c r="F34" s="1354"/>
      <c r="G34" s="1354"/>
      <c r="H34" s="1354">
        <f>[3]Knihovna!$B$56</f>
        <v>0</v>
      </c>
      <c r="I34" s="1361"/>
      <c r="J34" s="663"/>
      <c r="K34" s="743"/>
      <c r="L34" s="855"/>
    </row>
    <row r="35" spans="1:12" s="991" customFormat="1" ht="16.5" customHeight="1" thickBot="1" x14ac:dyDescent="0.3">
      <c r="A35" s="1356"/>
      <c r="B35" s="1357"/>
      <c r="C35" s="1358" t="s">
        <v>226</v>
      </c>
      <c r="D35" s="1359">
        <v>15000</v>
      </c>
      <c r="E35" s="1359">
        <v>15000</v>
      </c>
      <c r="F35" s="1359">
        <v>15000</v>
      </c>
      <c r="G35" s="1359">
        <v>15000</v>
      </c>
      <c r="H35" s="1359">
        <f>SUM(H33:H34)</f>
        <v>15000</v>
      </c>
      <c r="I35" s="1360"/>
      <c r="J35" s="667">
        <f>'Výdaje kapitol celkem'!X34</f>
        <v>15000</v>
      </c>
      <c r="K35" s="743">
        <f>+J35-H35</f>
        <v>0</v>
      </c>
      <c r="L35" s="855"/>
    </row>
    <row r="36" spans="1:12" ht="15.75" customHeight="1" outlineLevel="1" x14ac:dyDescent="0.25">
      <c r="A36" s="1346">
        <v>3349</v>
      </c>
      <c r="B36" s="1347">
        <v>5169</v>
      </c>
      <c r="C36" s="1348" t="s">
        <v>600</v>
      </c>
      <c r="D36" s="1349">
        <v>450000</v>
      </c>
      <c r="E36" s="1349">
        <v>450000</v>
      </c>
      <c r="F36" s="1349">
        <v>450000</v>
      </c>
      <c r="G36" s="1349">
        <v>450000</v>
      </c>
      <c r="H36" s="1349">
        <f>'[3]Život Úval'!$B$12</f>
        <v>450000</v>
      </c>
      <c r="I36" s="1350"/>
      <c r="J36" s="663"/>
      <c r="K36" s="743"/>
      <c r="L36" s="855"/>
    </row>
    <row r="37" spans="1:12" s="991" customFormat="1" ht="16.5" customHeight="1" thickBot="1" x14ac:dyDescent="0.3">
      <c r="A37" s="1356"/>
      <c r="B37" s="1357"/>
      <c r="C37" s="1358" t="s">
        <v>167</v>
      </c>
      <c r="D37" s="1359">
        <v>450000</v>
      </c>
      <c r="E37" s="1359">
        <v>450000</v>
      </c>
      <c r="F37" s="1359">
        <v>450000</v>
      </c>
      <c r="G37" s="1359">
        <v>450000</v>
      </c>
      <c r="H37" s="1359">
        <f>SUM(H36)</f>
        <v>450000</v>
      </c>
      <c r="I37" s="1360"/>
      <c r="J37" s="667">
        <f>'Výdaje kapitol celkem'!Y34</f>
        <v>450000</v>
      </c>
      <c r="K37" s="743">
        <f>+J37-H37</f>
        <v>0</v>
      </c>
      <c r="L37" s="855"/>
    </row>
    <row r="38" spans="1:12" ht="15.75" customHeight="1" outlineLevel="1" x14ac:dyDescent="0.25">
      <c r="A38" s="1346">
        <v>3359</v>
      </c>
      <c r="B38" s="1347">
        <v>5169</v>
      </c>
      <c r="C38" s="1348" t="s">
        <v>1146</v>
      </c>
      <c r="D38" s="1349">
        <v>150000</v>
      </c>
      <c r="E38" s="1349">
        <v>150000</v>
      </c>
      <c r="F38" s="1349">
        <v>200000</v>
      </c>
      <c r="G38" s="1349">
        <v>200000</v>
      </c>
      <c r="H38" s="1349">
        <f>[3]Kultura!$B$29</f>
        <v>150000</v>
      </c>
      <c r="I38" s="1350"/>
      <c r="J38" s="663"/>
      <c r="K38" s="743"/>
      <c r="L38" s="855"/>
    </row>
    <row r="39" spans="1:12" ht="15.75" customHeight="1" outlineLevel="1" x14ac:dyDescent="0.25">
      <c r="A39" s="1351">
        <v>3359</v>
      </c>
      <c r="B39" s="1352">
        <v>5169</v>
      </c>
      <c r="C39" s="1353" t="s">
        <v>1147</v>
      </c>
      <c r="D39" s="1354">
        <v>150000</v>
      </c>
      <c r="E39" s="1354">
        <v>100000</v>
      </c>
      <c r="F39" s="1354">
        <v>100000</v>
      </c>
      <c r="G39" s="1354">
        <v>100000</v>
      </c>
      <c r="H39" s="1354">
        <f>[3]Kultura!$B$30</f>
        <v>100000</v>
      </c>
      <c r="I39" s="1355"/>
      <c r="J39" s="663"/>
      <c r="K39" s="743"/>
      <c r="L39" s="855"/>
    </row>
    <row r="40" spans="1:12" ht="15.75" customHeight="1" outlineLevel="1" x14ac:dyDescent="0.25">
      <c r="A40" s="1351">
        <v>3359</v>
      </c>
      <c r="B40" s="1352">
        <v>5169</v>
      </c>
      <c r="C40" s="1353" t="s">
        <v>2007</v>
      </c>
      <c r="D40" s="1354">
        <v>30000</v>
      </c>
      <c r="E40" s="1354">
        <v>30000</v>
      </c>
      <c r="F40" s="1354">
        <v>30000</v>
      </c>
      <c r="G40" s="1354">
        <v>30000</v>
      </c>
      <c r="H40" s="1354">
        <f>[3]Kultura!$B$31</f>
        <v>0</v>
      </c>
      <c r="I40" s="1355"/>
      <c r="J40" s="663"/>
      <c r="K40" s="743"/>
      <c r="L40" s="855"/>
    </row>
    <row r="41" spans="1:12" ht="18" customHeight="1" outlineLevel="1" x14ac:dyDescent="0.25">
      <c r="A41" s="1363">
        <v>3359</v>
      </c>
      <c r="B41" s="1367">
        <v>5169</v>
      </c>
      <c r="C41" s="1364" t="s">
        <v>2008</v>
      </c>
      <c r="D41" s="1365">
        <v>100000</v>
      </c>
      <c r="E41" s="1365">
        <v>100000</v>
      </c>
      <c r="F41" s="1365">
        <v>100000</v>
      </c>
      <c r="G41" s="1365">
        <v>100000</v>
      </c>
      <c r="H41" s="1365">
        <f>[3]Kultura!$B$32</f>
        <v>50000</v>
      </c>
      <c r="I41" s="1366"/>
      <c r="J41" s="663"/>
      <c r="K41" s="743"/>
      <c r="L41" s="855"/>
    </row>
    <row r="42" spans="1:12" ht="18" customHeight="1" outlineLevel="1" x14ac:dyDescent="0.25">
      <c r="A42" s="1363">
        <v>3359</v>
      </c>
      <c r="B42" s="1367">
        <v>5169</v>
      </c>
      <c r="C42" s="1364" t="s">
        <v>2009</v>
      </c>
      <c r="D42" s="1365"/>
      <c r="E42" s="1365"/>
      <c r="F42" s="1365"/>
      <c r="G42" s="1365"/>
      <c r="H42" s="1365">
        <f>[3]Kultura!$B$33</f>
        <v>120000</v>
      </c>
      <c r="I42" s="1366"/>
      <c r="J42" s="663"/>
      <c r="K42" s="743"/>
      <c r="L42" s="855"/>
    </row>
    <row r="43" spans="1:12" ht="16.5" customHeight="1" outlineLevel="1" x14ac:dyDescent="0.25">
      <c r="A43" s="1363">
        <v>3359</v>
      </c>
      <c r="B43" s="1367">
        <v>5169</v>
      </c>
      <c r="C43" s="1364" t="s">
        <v>2010</v>
      </c>
      <c r="D43" s="1365">
        <v>250000</v>
      </c>
      <c r="E43" s="1365">
        <v>270000</v>
      </c>
      <c r="F43" s="1365">
        <v>320000</v>
      </c>
      <c r="G43" s="1365">
        <v>220000</v>
      </c>
      <c r="H43" s="1365">
        <f>[3]Kultura!$B$34</f>
        <v>150000</v>
      </c>
      <c r="I43" s="1366"/>
      <c r="J43" s="663"/>
      <c r="K43" s="743"/>
      <c r="L43" s="855"/>
    </row>
    <row r="44" spans="1:12" s="991" customFormat="1" ht="16.5" customHeight="1" thickBot="1" x14ac:dyDescent="0.3">
      <c r="A44" s="1356"/>
      <c r="B44" s="1357"/>
      <c r="C44" s="1358" t="s">
        <v>592</v>
      </c>
      <c r="D44" s="1359">
        <v>680000</v>
      </c>
      <c r="E44" s="1359">
        <v>650000</v>
      </c>
      <c r="F44" s="1359">
        <v>750000</v>
      </c>
      <c r="G44" s="1359">
        <v>650000</v>
      </c>
      <c r="H44" s="1359">
        <f>SUM(H38:H43)</f>
        <v>570000</v>
      </c>
      <c r="I44" s="1360"/>
      <c r="J44" s="667">
        <f>'Výdaje kapitol celkem'!Z34</f>
        <v>570000</v>
      </c>
      <c r="K44" s="743">
        <f>+J44-H44</f>
        <v>0</v>
      </c>
      <c r="L44" s="855"/>
    </row>
    <row r="45" spans="1:12" ht="15.75" customHeight="1" outlineLevel="1" x14ac:dyDescent="0.25">
      <c r="A45" s="1346">
        <v>3612</v>
      </c>
      <c r="B45" s="1347">
        <v>5169</v>
      </c>
      <c r="C45" s="1348" t="s">
        <v>1149</v>
      </c>
      <c r="D45" s="1349">
        <v>250000</v>
      </c>
      <c r="E45" s="1349">
        <v>250000</v>
      </c>
      <c r="F45" s="1349">
        <v>250000</v>
      </c>
      <c r="G45" s="1349">
        <v>250000</v>
      </c>
      <c r="H45" s="1349">
        <f>[4]Byty!$B$26</f>
        <v>250000</v>
      </c>
      <c r="I45" s="1350"/>
      <c r="J45" s="663"/>
      <c r="K45" s="743"/>
      <c r="L45" s="855"/>
    </row>
    <row r="46" spans="1:12" ht="15.75" customHeight="1" outlineLevel="1" x14ac:dyDescent="0.25">
      <c r="A46" s="1351">
        <v>3612</v>
      </c>
      <c r="B46" s="1352">
        <v>5169</v>
      </c>
      <c r="C46" s="1353" t="s">
        <v>1150</v>
      </c>
      <c r="D46" s="1354">
        <v>210000</v>
      </c>
      <c r="E46" s="1354">
        <v>210000</v>
      </c>
      <c r="F46" s="1354">
        <v>210000</v>
      </c>
      <c r="G46" s="1354">
        <v>210000</v>
      </c>
      <c r="H46" s="1354">
        <f>[4]Byty!$B$27</f>
        <v>210000</v>
      </c>
      <c r="I46" s="1355"/>
      <c r="J46" s="663"/>
      <c r="K46" s="743"/>
      <c r="L46" s="855"/>
    </row>
    <row r="47" spans="1:12" s="991" customFormat="1" ht="16.5" customHeight="1" thickBot="1" x14ac:dyDescent="0.3">
      <c r="A47" s="1356"/>
      <c r="B47" s="1357"/>
      <c r="C47" s="1358" t="s">
        <v>236</v>
      </c>
      <c r="D47" s="1359">
        <v>460000</v>
      </c>
      <c r="E47" s="1359">
        <v>460000</v>
      </c>
      <c r="F47" s="1359">
        <v>460000</v>
      </c>
      <c r="G47" s="1359">
        <v>460000</v>
      </c>
      <c r="H47" s="1359">
        <f>SUM(H45:H46)</f>
        <v>460000</v>
      </c>
      <c r="I47" s="1360"/>
      <c r="J47" s="667">
        <f>'Výdaje kapitol celkem'!AA34</f>
        <v>460000</v>
      </c>
      <c r="K47" s="743">
        <f>+J47-H47</f>
        <v>0</v>
      </c>
      <c r="L47" s="855"/>
    </row>
    <row r="48" spans="1:12" ht="16.5" customHeight="1" outlineLevel="1" x14ac:dyDescent="0.25">
      <c r="A48" s="1363" t="s">
        <v>235</v>
      </c>
      <c r="B48" s="1367">
        <v>5169</v>
      </c>
      <c r="C48" s="1364" t="s">
        <v>1151</v>
      </c>
      <c r="D48" s="1365">
        <v>120000</v>
      </c>
      <c r="E48" s="1365">
        <v>120000</v>
      </c>
      <c r="F48" s="1365">
        <v>120000</v>
      </c>
      <c r="G48" s="1365">
        <v>120000</v>
      </c>
      <c r="H48" s="1365">
        <f>[4]DPS!$B$27</f>
        <v>120000</v>
      </c>
      <c r="I48" s="1366"/>
      <c r="J48" s="663"/>
      <c r="K48" s="743"/>
      <c r="L48" s="855"/>
    </row>
    <row r="49" spans="1:12" ht="16.5" customHeight="1" outlineLevel="1" x14ac:dyDescent="0.25">
      <c r="A49" s="1363" t="s">
        <v>235</v>
      </c>
      <c r="B49" s="1367">
        <v>5169</v>
      </c>
      <c r="C49" s="1364" t="s">
        <v>1152</v>
      </c>
      <c r="D49" s="1365">
        <v>30000</v>
      </c>
      <c r="E49" s="1365">
        <v>30000</v>
      </c>
      <c r="F49" s="1365">
        <v>30000</v>
      </c>
      <c r="G49" s="1365">
        <v>30000</v>
      </c>
      <c r="H49" s="1365">
        <f>[4]DPS!$B$28</f>
        <v>30000</v>
      </c>
      <c r="I49" s="1366"/>
      <c r="J49" s="663"/>
      <c r="K49" s="743"/>
      <c r="L49" s="855"/>
    </row>
    <row r="50" spans="1:12" ht="14.25" thickBot="1" x14ac:dyDescent="0.3">
      <c r="A50" s="1368"/>
      <c r="B50" s="1369"/>
      <c r="C50" s="1358" t="s">
        <v>237</v>
      </c>
      <c r="D50" s="1359">
        <v>150000</v>
      </c>
      <c r="E50" s="1359">
        <v>150000</v>
      </c>
      <c r="F50" s="1359">
        <v>150000</v>
      </c>
      <c r="G50" s="1359">
        <v>150000</v>
      </c>
      <c r="H50" s="1359">
        <f>SUM(H48:H49)</f>
        <v>150000</v>
      </c>
      <c r="I50" s="1360"/>
      <c r="J50" s="667">
        <f>'Výdaje kapitol celkem'!AD34</f>
        <v>150000</v>
      </c>
      <c r="K50" s="743">
        <f>+J50-H50</f>
        <v>0</v>
      </c>
      <c r="L50" s="855"/>
    </row>
    <row r="51" spans="1:12" outlineLevel="1" x14ac:dyDescent="0.25">
      <c r="A51" s="1351">
        <v>3613</v>
      </c>
      <c r="B51" s="1352">
        <v>5169</v>
      </c>
      <c r="C51" s="1353" t="s">
        <v>1153</v>
      </c>
      <c r="D51" s="1354">
        <v>220000</v>
      </c>
      <c r="E51" s="1354">
        <v>220000</v>
      </c>
      <c r="F51" s="1354">
        <v>220000</v>
      </c>
      <c r="G51" s="1354">
        <v>220000</v>
      </c>
      <c r="H51" s="1354">
        <f>[4]Nebyty!$B$5</f>
        <v>220000</v>
      </c>
      <c r="I51" s="1361"/>
      <c r="J51" s="663"/>
      <c r="K51" s="743"/>
      <c r="L51" s="855"/>
    </row>
    <row r="52" spans="1:12" outlineLevel="1" x14ac:dyDescent="0.25">
      <c r="A52" s="1363">
        <v>3613</v>
      </c>
      <c r="B52" s="1367">
        <v>5169</v>
      </c>
      <c r="C52" s="1364" t="s">
        <v>1154</v>
      </c>
      <c r="D52" s="1365">
        <v>20000</v>
      </c>
      <c r="E52" s="1365">
        <v>20000</v>
      </c>
      <c r="F52" s="1365">
        <v>20000</v>
      </c>
      <c r="G52" s="1365">
        <v>20000</v>
      </c>
      <c r="H52" s="1365">
        <f>[4]Nebyty!$B$6</f>
        <v>20000</v>
      </c>
      <c r="I52" s="1370"/>
      <c r="J52" s="663"/>
      <c r="K52" s="743"/>
      <c r="L52" s="855"/>
    </row>
    <row r="53" spans="1:12" ht="16.5" customHeight="1" thickBot="1" x14ac:dyDescent="0.3">
      <c r="A53" s="1368"/>
      <c r="B53" s="1369"/>
      <c r="C53" s="1358" t="s">
        <v>238</v>
      </c>
      <c r="D53" s="1359">
        <v>240000</v>
      </c>
      <c r="E53" s="1359">
        <v>240000</v>
      </c>
      <c r="F53" s="1359">
        <v>240000</v>
      </c>
      <c r="G53" s="1359">
        <v>240000</v>
      </c>
      <c r="H53" s="1359">
        <f>SUM(H51:H52)</f>
        <v>240000</v>
      </c>
      <c r="I53" s="1360"/>
      <c r="J53" s="667">
        <f>'Výdaje kapitol celkem'!AG34</f>
        <v>240000</v>
      </c>
      <c r="K53" s="743">
        <f>+J53-H53</f>
        <v>0</v>
      </c>
      <c r="L53" s="855"/>
    </row>
    <row r="54" spans="1:12" ht="20.25" customHeight="1" outlineLevel="1" x14ac:dyDescent="0.25">
      <c r="A54" s="1351">
        <v>5512</v>
      </c>
      <c r="B54" s="1352">
        <v>5169</v>
      </c>
      <c r="C54" s="1353" t="s">
        <v>602</v>
      </c>
      <c r="D54" s="1354">
        <v>50000</v>
      </c>
      <c r="E54" s="1354">
        <v>20000</v>
      </c>
      <c r="F54" s="1354">
        <v>20000</v>
      </c>
      <c r="G54" s="1354">
        <v>20000</v>
      </c>
      <c r="H54" s="1354">
        <f>[4]Hasiči!$B$19</f>
        <v>20000</v>
      </c>
      <c r="I54" s="1361"/>
      <c r="J54" s="663"/>
      <c r="K54" s="743"/>
      <c r="L54" s="855"/>
    </row>
    <row r="55" spans="1:12" ht="20.25" hidden="1" customHeight="1" outlineLevel="1" x14ac:dyDescent="0.25">
      <c r="A55" s="1363">
        <v>5512</v>
      </c>
      <c r="B55" s="1367">
        <v>5169</v>
      </c>
      <c r="C55" s="1353"/>
      <c r="D55" s="1365">
        <v>0</v>
      </c>
      <c r="E55" s="1365"/>
      <c r="F55" s="1365"/>
      <c r="G55" s="1365"/>
      <c r="H55" s="1365">
        <f>[4]Hasiči!$B$20</f>
        <v>0</v>
      </c>
      <c r="I55" s="1370"/>
      <c r="J55" s="663"/>
      <c r="K55" s="743"/>
      <c r="L55" s="855"/>
    </row>
    <row r="56" spans="1:12" ht="20.25" customHeight="1" outlineLevel="1" x14ac:dyDescent="0.25">
      <c r="A56" s="1363">
        <v>5512</v>
      </c>
      <c r="B56" s="1367">
        <v>5169</v>
      </c>
      <c r="C56" s="1353" t="s">
        <v>602</v>
      </c>
      <c r="D56" s="1365">
        <v>60000</v>
      </c>
      <c r="E56" s="1365">
        <v>60000</v>
      </c>
      <c r="F56" s="1365">
        <v>60000</v>
      </c>
      <c r="G56" s="1365">
        <v>60000</v>
      </c>
      <c r="H56" s="1365">
        <f>[3]Hasiči!$B$56</f>
        <v>40000</v>
      </c>
      <c r="I56" s="1370"/>
      <c r="J56" s="663"/>
      <c r="K56" s="743"/>
      <c r="L56" s="855"/>
    </row>
    <row r="57" spans="1:12" ht="20.25" customHeight="1" outlineLevel="1" x14ac:dyDescent="0.25">
      <c r="A57" s="1363">
        <v>5512</v>
      </c>
      <c r="B57" s="1367">
        <v>5169</v>
      </c>
      <c r="C57" s="1353"/>
      <c r="D57" s="1365">
        <v>20000</v>
      </c>
      <c r="E57" s="1365">
        <v>50000</v>
      </c>
      <c r="F57" s="1365">
        <v>50000</v>
      </c>
      <c r="G57" s="1365">
        <v>50000</v>
      </c>
      <c r="H57" s="1365">
        <f>[3]Hasiči!$B$56:$B$57</f>
        <v>0</v>
      </c>
      <c r="I57" s="1370"/>
      <c r="J57" s="663"/>
      <c r="K57" s="743"/>
      <c r="L57" s="855"/>
    </row>
    <row r="58" spans="1:12" ht="20.25" customHeight="1" thickBot="1" x14ac:dyDescent="0.3">
      <c r="A58" s="1368"/>
      <c r="B58" s="1369"/>
      <c r="C58" s="1358" t="s">
        <v>239</v>
      </c>
      <c r="D58" s="1359">
        <v>130000</v>
      </c>
      <c r="E58" s="1359">
        <v>130000</v>
      </c>
      <c r="F58" s="1359">
        <v>130000</v>
      </c>
      <c r="G58" s="1359">
        <v>130000</v>
      </c>
      <c r="H58" s="1359">
        <f>SUM(H54:H57)</f>
        <v>60000</v>
      </c>
      <c r="I58" s="1360"/>
      <c r="J58" s="667">
        <f>'Výdaje kapitol celkem'!AJ34</f>
        <v>60000</v>
      </c>
      <c r="K58" s="743">
        <f>+J58-H58</f>
        <v>0</v>
      </c>
      <c r="L58" s="855"/>
    </row>
    <row r="59" spans="1:12" ht="20.25" customHeight="1" outlineLevel="1" x14ac:dyDescent="0.25">
      <c r="A59" s="1351">
        <v>3519</v>
      </c>
      <c r="B59" s="1352">
        <v>5169</v>
      </c>
      <c r="C59" s="1353"/>
      <c r="D59" s="1354">
        <v>10000</v>
      </c>
      <c r="E59" s="1354">
        <v>10000</v>
      </c>
      <c r="F59" s="1354">
        <v>10000</v>
      </c>
      <c r="G59" s="1354">
        <v>10000</v>
      </c>
      <c r="H59" s="1354">
        <f>'[4]Zdrav. středisko'!$B$5</f>
        <v>10000</v>
      </c>
      <c r="I59" s="1361"/>
      <c r="J59" s="663"/>
      <c r="K59" s="743"/>
      <c r="L59" s="855"/>
    </row>
    <row r="60" spans="1:12" ht="20.25" customHeight="1" outlineLevel="1" x14ac:dyDescent="0.25">
      <c r="A60" s="1363">
        <v>3519</v>
      </c>
      <c r="B60" s="1367">
        <v>5169</v>
      </c>
      <c r="C60" s="1364"/>
      <c r="D60" s="1365"/>
      <c r="E60" s="1365">
        <v>0</v>
      </c>
      <c r="F60" s="1365">
        <v>0</v>
      </c>
      <c r="G60" s="1365">
        <v>0</v>
      </c>
      <c r="H60" s="1365">
        <f>'[4]Zdrav. středisko'!$B$6</f>
        <v>0</v>
      </c>
      <c r="I60" s="1370"/>
      <c r="J60" s="663"/>
      <c r="K60" s="743"/>
      <c r="L60" s="855"/>
    </row>
    <row r="61" spans="1:12" ht="20.25" customHeight="1" thickBot="1" x14ac:dyDescent="0.3">
      <c r="A61" s="1368"/>
      <c r="B61" s="1369"/>
      <c r="C61" s="1358" t="s">
        <v>240</v>
      </c>
      <c r="D61" s="1359">
        <v>10000</v>
      </c>
      <c r="E61" s="1359">
        <v>10000</v>
      </c>
      <c r="F61" s="1359">
        <v>10000</v>
      </c>
      <c r="G61" s="1359">
        <v>10000</v>
      </c>
      <c r="H61" s="1359">
        <f>SUM(H59:H60)</f>
        <v>10000</v>
      </c>
      <c r="I61" s="1360"/>
      <c r="J61" s="667">
        <f>'Výdaje kapitol celkem'!AK34</f>
        <v>10000</v>
      </c>
      <c r="K61" s="743">
        <f>+J61-H61</f>
        <v>0</v>
      </c>
      <c r="L61" s="855"/>
    </row>
    <row r="62" spans="1:12" ht="18" hidden="1" customHeight="1" outlineLevel="1" x14ac:dyDescent="0.25">
      <c r="A62" s="1351">
        <v>3429</v>
      </c>
      <c r="B62" s="1352">
        <v>5169</v>
      </c>
      <c r="C62" s="1353" t="s">
        <v>602</v>
      </c>
      <c r="D62" s="1354">
        <v>5000</v>
      </c>
      <c r="E62" s="1354">
        <v>5000</v>
      </c>
      <c r="F62" s="1354">
        <v>5000</v>
      </c>
      <c r="G62" s="1354">
        <v>5000</v>
      </c>
      <c r="H62" s="1354">
        <f>[4]Tesko!$B$5</f>
        <v>0</v>
      </c>
      <c r="I62" s="1361"/>
      <c r="J62" s="663"/>
      <c r="K62" s="743"/>
      <c r="L62" s="855"/>
    </row>
    <row r="63" spans="1:12" ht="18" hidden="1" customHeight="1" outlineLevel="1" x14ac:dyDescent="0.25">
      <c r="A63" s="1363">
        <v>3429</v>
      </c>
      <c r="B63" s="1367">
        <v>5169</v>
      </c>
      <c r="C63" s="1353">
        <v>0</v>
      </c>
      <c r="D63" s="1354"/>
      <c r="E63" s="1354"/>
      <c r="F63" s="1354"/>
      <c r="G63" s="1354"/>
      <c r="H63" s="1354"/>
      <c r="I63" s="1361"/>
      <c r="J63" s="663"/>
      <c r="K63" s="743"/>
      <c r="L63" s="855"/>
    </row>
    <row r="64" spans="1:12" ht="20.25" hidden="1" customHeight="1" outlineLevel="1" x14ac:dyDescent="0.25">
      <c r="A64" s="1363">
        <v>3429</v>
      </c>
      <c r="B64" s="1367">
        <v>5169</v>
      </c>
      <c r="C64" s="1364"/>
      <c r="D64" s="1371"/>
      <c r="E64" s="1371">
        <v>0</v>
      </c>
      <c r="F64" s="1371">
        <v>0</v>
      </c>
      <c r="G64" s="1371">
        <v>0</v>
      </c>
      <c r="H64" s="1371">
        <f>[4]Tesko!$B$6</f>
        <v>0</v>
      </c>
      <c r="I64" s="1370"/>
      <c r="J64" s="663"/>
      <c r="K64" s="743"/>
      <c r="L64" s="855"/>
    </row>
    <row r="65" spans="1:12" ht="20.25" customHeight="1" collapsed="1" thickBot="1" x14ac:dyDescent="0.3">
      <c r="A65" s="1368"/>
      <c r="B65" s="1369"/>
      <c r="C65" s="1358" t="s">
        <v>174</v>
      </c>
      <c r="D65" s="1359">
        <v>5000</v>
      </c>
      <c r="E65" s="1359">
        <v>5000</v>
      </c>
      <c r="F65" s="1359">
        <v>5000</v>
      </c>
      <c r="G65" s="1359">
        <v>5000</v>
      </c>
      <c r="H65" s="1359">
        <f>SUM(H62:H64)</f>
        <v>0</v>
      </c>
      <c r="I65" s="1360"/>
      <c r="J65" s="667">
        <f>'Výdaje kapitol celkem'!AL34</f>
        <v>0</v>
      </c>
      <c r="K65" s="743">
        <f>+J65-H65</f>
        <v>0</v>
      </c>
      <c r="L65" s="855"/>
    </row>
    <row r="66" spans="1:12" ht="18" customHeight="1" outlineLevel="1" x14ac:dyDescent="0.25">
      <c r="A66" s="1351">
        <v>3632</v>
      </c>
      <c r="B66" s="1352">
        <v>5169</v>
      </c>
      <c r="C66" s="1353" t="s">
        <v>389</v>
      </c>
      <c r="D66" s="1354">
        <v>50000</v>
      </c>
      <c r="E66" s="1354">
        <v>50000</v>
      </c>
      <c r="F66" s="1354">
        <v>50000</v>
      </c>
      <c r="G66" s="1354">
        <v>50000</v>
      </c>
      <c r="H66" s="1354">
        <f>[4]Hřbitov!$B$19</f>
        <v>50000</v>
      </c>
      <c r="I66" s="1361"/>
      <c r="J66" s="663"/>
      <c r="K66" s="743"/>
      <c r="L66" s="855"/>
    </row>
    <row r="67" spans="1:12" ht="18" hidden="1" customHeight="1" outlineLevel="1" x14ac:dyDescent="0.25">
      <c r="A67" s="1363">
        <v>3632</v>
      </c>
      <c r="B67" s="1367">
        <v>5169</v>
      </c>
      <c r="C67" s="1353"/>
      <c r="D67" s="1354">
        <v>0</v>
      </c>
      <c r="E67" s="1354"/>
      <c r="F67" s="1354"/>
      <c r="G67" s="1354"/>
      <c r="H67" s="1354"/>
      <c r="I67" s="1361"/>
      <c r="J67" s="663"/>
      <c r="K67" s="743"/>
      <c r="L67" s="855"/>
    </row>
    <row r="68" spans="1:12" ht="20.25" customHeight="1" outlineLevel="1" x14ac:dyDescent="0.25">
      <c r="A68" s="1363">
        <v>3632</v>
      </c>
      <c r="B68" s="1367">
        <v>5169</v>
      </c>
      <c r="C68" s="1364"/>
      <c r="D68" s="1371"/>
      <c r="E68" s="1365">
        <v>0</v>
      </c>
      <c r="F68" s="1365">
        <v>0</v>
      </c>
      <c r="G68" s="1365">
        <v>0</v>
      </c>
      <c r="H68" s="1365">
        <f>[4]Hřbitov!$B$20</f>
        <v>0</v>
      </c>
      <c r="I68" s="1370"/>
      <c r="J68" s="663"/>
      <c r="K68" s="743"/>
      <c r="L68" s="855"/>
    </row>
    <row r="69" spans="1:12" ht="20.25" customHeight="1" thickBot="1" x14ac:dyDescent="0.3">
      <c r="A69" s="1368"/>
      <c r="B69" s="1369"/>
      <c r="C69" s="1358" t="s">
        <v>297</v>
      </c>
      <c r="D69" s="1359">
        <v>50000</v>
      </c>
      <c r="E69" s="1359">
        <v>50000</v>
      </c>
      <c r="F69" s="1359">
        <v>50000</v>
      </c>
      <c r="G69" s="1359">
        <v>50000</v>
      </c>
      <c r="H69" s="1359">
        <f>SUM(H66:H68)</f>
        <v>50000</v>
      </c>
      <c r="I69" s="1360"/>
      <c r="J69" s="667">
        <f>'Výdaje kapitol celkem'!AM34</f>
        <v>50000</v>
      </c>
      <c r="K69" s="743">
        <f>+J69-H69</f>
        <v>0</v>
      </c>
      <c r="L69" s="855"/>
    </row>
    <row r="70" spans="1:12" ht="27" outlineLevel="1" x14ac:dyDescent="0.25">
      <c r="A70" s="1351">
        <v>3412</v>
      </c>
      <c r="B70" s="1352">
        <v>5169</v>
      </c>
      <c r="C70" s="1353" t="s">
        <v>1059</v>
      </c>
      <c r="D70" s="1354">
        <v>90000</v>
      </c>
      <c r="E70" s="1354">
        <v>110000</v>
      </c>
      <c r="F70" s="1354">
        <v>110000</v>
      </c>
      <c r="G70" s="1354">
        <v>110000</v>
      </c>
      <c r="H70" s="1354">
        <f>'[4]Sportovní zařízen+koup'!$B$15</f>
        <v>110000</v>
      </c>
      <c r="I70" s="1361"/>
      <c r="J70" s="663"/>
      <c r="K70" s="743"/>
      <c r="L70" s="855"/>
    </row>
    <row r="71" spans="1:12" ht="18" customHeight="1" outlineLevel="1" x14ac:dyDescent="0.25">
      <c r="A71" s="1363">
        <v>3412</v>
      </c>
      <c r="B71" s="1367">
        <v>5169</v>
      </c>
      <c r="C71" s="1353" t="s">
        <v>1060</v>
      </c>
      <c r="D71" s="1354">
        <v>300000</v>
      </c>
      <c r="E71" s="1354">
        <v>300000</v>
      </c>
      <c r="F71" s="1354">
        <v>300000</v>
      </c>
      <c r="G71" s="1354">
        <v>300000</v>
      </c>
      <c r="H71" s="1354">
        <f>'[4]Sportovní zařízen+koup'!$B$16</f>
        <v>300000</v>
      </c>
      <c r="I71" s="1361"/>
      <c r="J71" s="663"/>
      <c r="K71" s="743"/>
      <c r="L71" s="855"/>
    </row>
    <row r="72" spans="1:12" ht="18" customHeight="1" outlineLevel="1" x14ac:dyDescent="0.25">
      <c r="A72" s="1382">
        <v>3412</v>
      </c>
      <c r="B72" s="1383">
        <v>5169</v>
      </c>
      <c r="C72" s="1377" t="s">
        <v>892</v>
      </c>
      <c r="D72" s="1378">
        <v>150000</v>
      </c>
      <c r="E72" s="1378">
        <v>150000</v>
      </c>
      <c r="F72" s="1378">
        <v>150000</v>
      </c>
      <c r="G72" s="1378">
        <v>150000</v>
      </c>
      <c r="H72" s="1378">
        <f>'[4]Sportovní zařízen+koup'!$B$17</f>
        <v>150000</v>
      </c>
      <c r="I72" s="1381"/>
      <c r="J72" s="663"/>
      <c r="K72" s="743"/>
      <c r="L72" s="855"/>
    </row>
    <row r="73" spans="1:12" ht="18" customHeight="1" outlineLevel="1" x14ac:dyDescent="0.25">
      <c r="A73" s="1382">
        <v>3412</v>
      </c>
      <c r="B73" s="1367">
        <v>5169</v>
      </c>
      <c r="C73" s="1364" t="s">
        <v>893</v>
      </c>
      <c r="D73" s="1365">
        <v>100000</v>
      </c>
      <c r="E73" s="1365">
        <v>100000</v>
      </c>
      <c r="F73" s="1365">
        <v>100000</v>
      </c>
      <c r="G73" s="1365">
        <v>100000</v>
      </c>
      <c r="H73" s="1365">
        <f>'[4]Sportovní zařízen+koup'!$B$18</f>
        <v>100000</v>
      </c>
      <c r="I73" s="1370"/>
      <c r="J73" s="663"/>
      <c r="K73" s="743"/>
      <c r="L73" s="855"/>
    </row>
    <row r="74" spans="1:12" ht="18" customHeight="1" outlineLevel="1" x14ac:dyDescent="0.25">
      <c r="A74" s="1382">
        <v>3412</v>
      </c>
      <c r="B74" s="1380">
        <v>5169</v>
      </c>
      <c r="C74" s="1377" t="s">
        <v>894</v>
      </c>
      <c r="D74" s="1378">
        <v>0</v>
      </c>
      <c r="E74" s="1378">
        <v>0</v>
      </c>
      <c r="F74" s="1378">
        <v>0</v>
      </c>
      <c r="G74" s="1378">
        <v>0</v>
      </c>
      <c r="H74" s="1378"/>
      <c r="I74" s="1381"/>
      <c r="J74" s="663"/>
      <c r="K74" s="743"/>
      <c r="L74" s="855"/>
    </row>
    <row r="75" spans="1:12" ht="20.25" customHeight="1" thickBot="1" x14ac:dyDescent="0.3">
      <c r="A75" s="1368"/>
      <c r="B75" s="1369"/>
      <c r="C75" s="1358" t="s">
        <v>613</v>
      </c>
      <c r="D75" s="1359">
        <f>SUM(D70:D74)</f>
        <v>640000</v>
      </c>
      <c r="E75" s="1359">
        <v>660000</v>
      </c>
      <c r="F75" s="1359">
        <v>660000</v>
      </c>
      <c r="G75" s="1359">
        <v>660000</v>
      </c>
      <c r="H75" s="1359">
        <f>SUM(H70:H74)</f>
        <v>660000</v>
      </c>
      <c r="I75" s="1360"/>
      <c r="J75" s="667">
        <f>'Výdaje kapitol celkem'!AP34</f>
        <v>660000</v>
      </c>
      <c r="K75" s="743">
        <f>+J75-H75</f>
        <v>0</v>
      </c>
      <c r="L75" s="855"/>
    </row>
    <row r="76" spans="1:12" ht="20.25" hidden="1" customHeight="1" outlineLevel="1" x14ac:dyDescent="0.25">
      <c r="A76" s="1379">
        <v>3113</v>
      </c>
      <c r="B76" s="1380">
        <v>5169</v>
      </c>
      <c r="C76" s="1377" t="s">
        <v>1155</v>
      </c>
      <c r="D76" s="1378">
        <v>80000</v>
      </c>
      <c r="E76" s="1378">
        <v>0</v>
      </c>
      <c r="F76" s="1378">
        <v>5100</v>
      </c>
      <c r="G76" s="1378">
        <v>5100</v>
      </c>
      <c r="H76" s="1378">
        <f>[4]ZŠ!$B$5</f>
        <v>0</v>
      </c>
      <c r="I76" s="1381"/>
      <c r="J76" s="663"/>
      <c r="K76" s="743"/>
      <c r="L76" s="855"/>
    </row>
    <row r="77" spans="1:12" ht="20.25" hidden="1" customHeight="1" outlineLevel="1" x14ac:dyDescent="0.25">
      <c r="A77" s="1382">
        <v>3113</v>
      </c>
      <c r="B77" s="1383">
        <v>5169</v>
      </c>
      <c r="C77" s="1364" t="s">
        <v>1156</v>
      </c>
      <c r="D77" s="1365">
        <v>70000</v>
      </c>
      <c r="E77" s="1365">
        <v>0</v>
      </c>
      <c r="F77" s="1365">
        <v>4200</v>
      </c>
      <c r="G77" s="1365">
        <v>4200</v>
      </c>
      <c r="H77" s="1365">
        <f>[4]ZŠ!$B$6</f>
        <v>0</v>
      </c>
      <c r="I77" s="1370"/>
      <c r="J77" s="663"/>
      <c r="K77" s="743"/>
      <c r="L77" s="855"/>
    </row>
    <row r="78" spans="1:12" ht="20.25" hidden="1" customHeight="1" outlineLevel="1" x14ac:dyDescent="0.25">
      <c r="A78" s="1382">
        <v>3113</v>
      </c>
      <c r="B78" s="1383">
        <v>5169</v>
      </c>
      <c r="C78" s="1364" t="s">
        <v>1157</v>
      </c>
      <c r="D78" s="1365">
        <v>20000</v>
      </c>
      <c r="E78" s="1365">
        <v>0</v>
      </c>
      <c r="F78" s="1365">
        <v>0</v>
      </c>
      <c r="G78" s="1365">
        <v>0</v>
      </c>
      <c r="H78" s="1365">
        <f>[4]ZŠ!$B$7</f>
        <v>0</v>
      </c>
      <c r="I78" s="1370"/>
      <c r="J78" s="663"/>
      <c r="K78" s="743"/>
      <c r="L78" s="855"/>
    </row>
    <row r="79" spans="1:12" ht="20.25" hidden="1" customHeight="1" outlineLevel="1" x14ac:dyDescent="0.25">
      <c r="A79" s="1382">
        <v>3113</v>
      </c>
      <c r="B79" s="1383">
        <v>5169</v>
      </c>
      <c r="C79" s="1377" t="s">
        <v>1158</v>
      </c>
      <c r="D79" s="1378">
        <v>10000</v>
      </c>
      <c r="E79" s="1378"/>
      <c r="F79" s="1378"/>
      <c r="G79" s="1378"/>
      <c r="H79" s="1378">
        <f>[4]ZŠ!$B$8</f>
        <v>0</v>
      </c>
      <c r="I79" s="1361"/>
      <c r="J79" s="663"/>
      <c r="K79" s="743"/>
      <c r="L79" s="855"/>
    </row>
    <row r="80" spans="1:12" ht="20.25" customHeight="1" collapsed="1" thickBot="1" x14ac:dyDescent="0.3">
      <c r="A80" s="1368"/>
      <c r="B80" s="1369"/>
      <c r="C80" s="1358" t="s">
        <v>241</v>
      </c>
      <c r="D80" s="1359">
        <v>180000</v>
      </c>
      <c r="E80" s="1359">
        <v>0</v>
      </c>
      <c r="F80" s="1359">
        <v>9300</v>
      </c>
      <c r="G80" s="1359">
        <v>9300</v>
      </c>
      <c r="H80" s="1359">
        <f>SUM(H76:H79)</f>
        <v>0</v>
      </c>
      <c r="I80" s="1360"/>
      <c r="J80" s="667">
        <f>'Výdaje kapitol celkem'!AS34</f>
        <v>0</v>
      </c>
      <c r="K80" s="743">
        <f>+J80-H80</f>
        <v>0</v>
      </c>
      <c r="L80" s="855"/>
    </row>
    <row r="81" spans="1:12" ht="26.25" customHeight="1" outlineLevel="1" x14ac:dyDescent="0.25">
      <c r="A81" s="1379">
        <v>3114</v>
      </c>
      <c r="B81" s="1380">
        <v>5169</v>
      </c>
      <c r="C81" s="1377" t="s">
        <v>1159</v>
      </c>
      <c r="D81" s="1378">
        <v>30000</v>
      </c>
      <c r="E81" s="1378">
        <v>30000</v>
      </c>
      <c r="F81" s="1378">
        <v>30000</v>
      </c>
      <c r="G81" s="1378">
        <v>30000</v>
      </c>
      <c r="H81" s="1378">
        <f>[4]MDDM!$B$5</f>
        <v>30000</v>
      </c>
      <c r="I81" s="1361"/>
      <c r="J81" s="663"/>
      <c r="K81" s="743"/>
      <c r="L81" s="855"/>
    </row>
    <row r="82" spans="1:12" ht="20.25" customHeight="1" outlineLevel="1" x14ac:dyDescent="0.25">
      <c r="A82" s="1382">
        <v>3114</v>
      </c>
      <c r="B82" s="1383">
        <v>5169</v>
      </c>
      <c r="C82" s="1384">
        <v>0</v>
      </c>
      <c r="D82" s="1385">
        <v>0</v>
      </c>
      <c r="E82" s="1387">
        <v>0</v>
      </c>
      <c r="F82" s="1387">
        <v>0</v>
      </c>
      <c r="G82" s="1387">
        <v>0</v>
      </c>
      <c r="H82" s="1387">
        <f>[4]MDDM!$B$6</f>
        <v>0</v>
      </c>
      <c r="I82" s="1361"/>
      <c r="J82" s="663"/>
      <c r="K82" s="743"/>
      <c r="L82" s="855"/>
    </row>
    <row r="83" spans="1:12" ht="20.25" customHeight="1" thickBot="1" x14ac:dyDescent="0.3">
      <c r="A83" s="1368"/>
      <c r="B83" s="1369"/>
      <c r="C83" s="1358" t="s">
        <v>242</v>
      </c>
      <c r="D83" s="1359">
        <v>30000</v>
      </c>
      <c r="E83" s="1359">
        <v>30000</v>
      </c>
      <c r="F83" s="1359">
        <v>30000</v>
      </c>
      <c r="G83" s="1359">
        <v>30000</v>
      </c>
      <c r="H83" s="1359">
        <f>SUM(H81:H82)</f>
        <v>30000</v>
      </c>
      <c r="I83" s="1360"/>
      <c r="J83" s="667">
        <f>'Výdaje kapitol celkem'!AY34</f>
        <v>30000</v>
      </c>
      <c r="K83" s="743">
        <f>+J83-H83</f>
        <v>0</v>
      </c>
      <c r="L83" s="855"/>
    </row>
    <row r="84" spans="1:12" ht="12.75" customHeight="1" outlineLevel="1" x14ac:dyDescent="0.25">
      <c r="A84" s="1379" t="s">
        <v>227</v>
      </c>
      <c r="B84" s="1380">
        <v>5169</v>
      </c>
      <c r="C84" s="1377" t="s">
        <v>1160</v>
      </c>
      <c r="D84" s="1378">
        <v>85000</v>
      </c>
      <c r="E84" s="1378">
        <v>85000</v>
      </c>
      <c r="F84" s="1378">
        <v>85000</v>
      </c>
      <c r="G84" s="1378">
        <v>85000</v>
      </c>
      <c r="H84" s="1378">
        <f>'[4]MŠ Kollárova'!$B$5</f>
        <v>85000</v>
      </c>
      <c r="I84" s="1361"/>
      <c r="J84" s="663"/>
      <c r="K84" s="743"/>
      <c r="L84" s="855"/>
    </row>
    <row r="85" spans="1:12" ht="17.45" customHeight="1" outlineLevel="1" x14ac:dyDescent="0.25">
      <c r="A85" s="1382" t="s">
        <v>227</v>
      </c>
      <c r="B85" s="1383">
        <v>5169</v>
      </c>
      <c r="C85" s="1384">
        <v>0</v>
      </c>
      <c r="D85" s="1387">
        <v>0</v>
      </c>
      <c r="E85" s="1387">
        <v>0</v>
      </c>
      <c r="F85" s="1387">
        <v>0</v>
      </c>
      <c r="G85" s="1387">
        <v>0</v>
      </c>
      <c r="H85" s="1387">
        <f>'[4]MŠ Kollárova'!$B$6</f>
        <v>0</v>
      </c>
      <c r="I85" s="1370"/>
      <c r="J85" s="663"/>
      <c r="K85" s="743"/>
      <c r="L85" s="855"/>
    </row>
    <row r="86" spans="1:12" ht="20.25" customHeight="1" thickBot="1" x14ac:dyDescent="0.3">
      <c r="A86" s="1368"/>
      <c r="B86" s="1369"/>
      <c r="C86" s="1358" t="s">
        <v>243</v>
      </c>
      <c r="D86" s="1359">
        <v>85000</v>
      </c>
      <c r="E86" s="1359">
        <v>85000</v>
      </c>
      <c r="F86" s="1359">
        <v>85000</v>
      </c>
      <c r="G86" s="1359">
        <v>85000</v>
      </c>
      <c r="H86" s="1359">
        <f>SUM(H84:H85)</f>
        <v>85000</v>
      </c>
      <c r="I86" s="1360"/>
      <c r="J86" s="667">
        <f>'Výdaje kapitol celkem'!BE34</f>
        <v>85000</v>
      </c>
      <c r="K86" s="743">
        <f>+J86-H86</f>
        <v>0</v>
      </c>
      <c r="L86" s="855"/>
    </row>
    <row r="87" spans="1:12" ht="20.25" customHeight="1" outlineLevel="1" x14ac:dyDescent="0.25">
      <c r="A87" s="1379" t="s">
        <v>228</v>
      </c>
      <c r="B87" s="1380">
        <v>5169</v>
      </c>
      <c r="C87" s="1377" t="s">
        <v>1161</v>
      </c>
      <c r="D87" s="1378">
        <v>20000</v>
      </c>
      <c r="E87" s="1378">
        <v>20000</v>
      </c>
      <c r="F87" s="1378">
        <v>20000</v>
      </c>
      <c r="G87" s="1378">
        <v>20000</v>
      </c>
      <c r="H87" s="1378">
        <f>'[4]MŠ Pražská'!$B$12</f>
        <v>20000</v>
      </c>
      <c r="I87" s="1361"/>
      <c r="J87" s="663"/>
      <c r="K87" s="743"/>
      <c r="L87" s="855"/>
    </row>
    <row r="88" spans="1:12" ht="20.25" customHeight="1" outlineLevel="1" x14ac:dyDescent="0.25">
      <c r="A88" s="1382" t="s">
        <v>228</v>
      </c>
      <c r="B88" s="1383">
        <v>5169</v>
      </c>
      <c r="C88" s="1384">
        <v>0</v>
      </c>
      <c r="D88" s="1385">
        <v>0</v>
      </c>
      <c r="E88" s="1387">
        <v>0</v>
      </c>
      <c r="F88" s="1387">
        <v>0</v>
      </c>
      <c r="G88" s="1387">
        <v>0</v>
      </c>
      <c r="H88" s="1387">
        <f>'[4]MŠ Pražská'!$B$13</f>
        <v>0</v>
      </c>
      <c r="I88" s="1370"/>
      <c r="J88" s="663"/>
      <c r="K88" s="743"/>
      <c r="L88" s="855"/>
    </row>
    <row r="89" spans="1:12" ht="20.25" customHeight="1" thickBot="1" x14ac:dyDescent="0.3">
      <c r="A89" s="1368"/>
      <c r="B89" s="1369"/>
      <c r="C89" s="1358" t="s">
        <v>244</v>
      </c>
      <c r="D89" s="1359">
        <v>20000</v>
      </c>
      <c r="E89" s="1359">
        <v>20000</v>
      </c>
      <c r="F89" s="1359">
        <v>20000</v>
      </c>
      <c r="G89" s="1359">
        <v>20000</v>
      </c>
      <c r="H89" s="1359">
        <f>SUM(H87:H88)</f>
        <v>20000</v>
      </c>
      <c r="I89" s="1360"/>
      <c r="J89" s="667">
        <f>'Výdaje kapitol celkem'!BB34</f>
        <v>20000</v>
      </c>
      <c r="K89" s="743">
        <f>+J89-H89</f>
        <v>0</v>
      </c>
      <c r="L89" s="855"/>
    </row>
    <row r="90" spans="1:12" ht="20.25" customHeight="1" outlineLevel="1" x14ac:dyDescent="0.25">
      <c r="A90" s="1379" t="s">
        <v>255</v>
      </c>
      <c r="B90" s="1380">
        <v>5169</v>
      </c>
      <c r="C90" s="1377" t="s">
        <v>1162</v>
      </c>
      <c r="D90" s="1349">
        <v>40000</v>
      </c>
      <c r="E90" s="1349">
        <v>40000</v>
      </c>
      <c r="F90" s="1349">
        <v>40000</v>
      </c>
      <c r="G90" s="1349">
        <v>40000</v>
      </c>
      <c r="H90" s="1349">
        <f>'[4]MŠ Cukrovar'!$B$5</f>
        <v>40000</v>
      </c>
      <c r="I90" s="1361"/>
      <c r="J90" s="663"/>
      <c r="K90" s="743"/>
      <c r="L90" s="855"/>
    </row>
    <row r="91" spans="1:12" ht="20.25" customHeight="1" outlineLevel="1" x14ac:dyDescent="0.25">
      <c r="A91" s="1382" t="s">
        <v>255</v>
      </c>
      <c r="B91" s="1383">
        <v>5169</v>
      </c>
      <c r="C91" s="1384" t="s">
        <v>1163</v>
      </c>
      <c r="D91" s="1365">
        <v>4000</v>
      </c>
      <c r="E91" s="1365">
        <v>4000</v>
      </c>
      <c r="F91" s="1365">
        <v>4000</v>
      </c>
      <c r="G91" s="1365">
        <v>4000</v>
      </c>
      <c r="H91" s="1365">
        <f>'[4]MŠ Cukrovar'!$B$6</f>
        <v>4000</v>
      </c>
      <c r="I91" s="1370"/>
      <c r="J91" s="663"/>
      <c r="K91" s="743"/>
      <c r="L91" s="855"/>
    </row>
    <row r="92" spans="1:12" ht="20.25" customHeight="1" outlineLevel="1" x14ac:dyDescent="0.25">
      <c r="A92" s="1382" t="s">
        <v>255</v>
      </c>
      <c r="B92" s="1383">
        <v>5169</v>
      </c>
      <c r="C92" s="1384" t="s">
        <v>1164</v>
      </c>
      <c r="D92" s="1378">
        <v>36000</v>
      </c>
      <c r="E92" s="1378">
        <v>36000</v>
      </c>
      <c r="F92" s="1378">
        <v>36000</v>
      </c>
      <c r="G92" s="1378">
        <v>36000</v>
      </c>
      <c r="H92" s="1378">
        <f>'[4]MŠ Cukrovar'!$B$7</f>
        <v>36000</v>
      </c>
      <c r="I92" s="1370"/>
      <c r="J92" s="663"/>
      <c r="K92" s="743"/>
      <c r="L92" s="855"/>
    </row>
    <row r="93" spans="1:12" ht="20.25" customHeight="1" thickBot="1" x14ac:dyDescent="0.3">
      <c r="A93" s="1368"/>
      <c r="B93" s="1369"/>
      <c r="C93" s="1358" t="s">
        <v>292</v>
      </c>
      <c r="D93" s="1359">
        <v>80000</v>
      </c>
      <c r="E93" s="1359">
        <v>80000</v>
      </c>
      <c r="F93" s="1359">
        <v>80000</v>
      </c>
      <c r="G93" s="1359">
        <v>80000</v>
      </c>
      <c r="H93" s="1359">
        <f>SUM(H90:H92)</f>
        <v>80000</v>
      </c>
      <c r="I93" s="1360"/>
      <c r="J93" s="667">
        <f>'Výdaje kapitol celkem'!BL34</f>
        <v>80000</v>
      </c>
      <c r="K93" s="743">
        <f>+J93-H93</f>
        <v>0</v>
      </c>
      <c r="L93" s="855"/>
    </row>
    <row r="94" spans="1:12" ht="20.25" customHeight="1" outlineLevel="1" x14ac:dyDescent="0.25">
      <c r="A94" s="1379">
        <v>3635</v>
      </c>
      <c r="B94" s="1380">
        <v>5169</v>
      </c>
      <c r="C94" s="1377" t="s">
        <v>1165</v>
      </c>
      <c r="D94" s="1378">
        <v>50000</v>
      </c>
      <c r="E94" s="1378">
        <v>50000</v>
      </c>
      <c r="F94" s="1378">
        <v>50000</v>
      </c>
      <c r="G94" s="1378">
        <v>50000</v>
      </c>
      <c r="H94" s="1378">
        <f>'[6]Územní plán 3635'!$B$22</f>
        <v>50000</v>
      </c>
      <c r="I94" s="1355"/>
      <c r="J94" s="663"/>
      <c r="K94" s="743"/>
      <c r="L94" s="855"/>
    </row>
    <row r="95" spans="1:12" ht="20.25" customHeight="1" outlineLevel="1" x14ac:dyDescent="0.25">
      <c r="A95" s="1382">
        <v>3635</v>
      </c>
      <c r="B95" s="1383">
        <v>5169</v>
      </c>
      <c r="C95" s="1384"/>
      <c r="D95" s="1387"/>
      <c r="E95" s="1387">
        <v>0</v>
      </c>
      <c r="F95" s="1387">
        <v>0</v>
      </c>
      <c r="G95" s="1387">
        <v>0</v>
      </c>
      <c r="H95" s="1387">
        <f>'[6]Územní plán 3635'!$B$23</f>
        <v>0</v>
      </c>
      <c r="I95" s="1366"/>
      <c r="J95" s="663"/>
      <c r="K95" s="743"/>
      <c r="L95" s="855"/>
    </row>
    <row r="96" spans="1:12" ht="20.25" customHeight="1" thickBot="1" x14ac:dyDescent="0.3">
      <c r="A96" s="1368"/>
      <c r="B96" s="1369"/>
      <c r="C96" s="1358" t="s">
        <v>182</v>
      </c>
      <c r="D96" s="1359">
        <v>50000</v>
      </c>
      <c r="E96" s="1359">
        <v>50000</v>
      </c>
      <c r="F96" s="1359">
        <v>50000</v>
      </c>
      <c r="G96" s="1359">
        <v>50000</v>
      </c>
      <c r="H96" s="1359">
        <f>SUM(H94:H95)</f>
        <v>50000</v>
      </c>
      <c r="I96" s="1360"/>
      <c r="J96" s="667">
        <f>'Výdaje kapitol celkem'!BO34</f>
        <v>50000</v>
      </c>
      <c r="K96" s="743">
        <f>+J96-H96</f>
        <v>0</v>
      </c>
      <c r="L96" s="855"/>
    </row>
    <row r="97" spans="1:12" ht="20.25" hidden="1" customHeight="1" outlineLevel="1" x14ac:dyDescent="0.25">
      <c r="A97" s="1379" t="s">
        <v>229</v>
      </c>
      <c r="B97" s="1380">
        <v>5169</v>
      </c>
      <c r="C97" s="1377" t="s">
        <v>602</v>
      </c>
      <c r="D97" s="1378">
        <v>10000</v>
      </c>
      <c r="E97" s="1378">
        <v>20000</v>
      </c>
      <c r="F97" s="1378">
        <v>20000</v>
      </c>
      <c r="G97" s="1378">
        <v>20000</v>
      </c>
      <c r="H97" s="1378">
        <f>'[4]Jídelna ZŠ'!$B$5</f>
        <v>0</v>
      </c>
      <c r="I97" s="1355"/>
      <c r="J97" s="663"/>
      <c r="K97" s="743"/>
      <c r="L97" s="855"/>
    </row>
    <row r="98" spans="1:12" ht="20.25" hidden="1" customHeight="1" outlineLevel="1" x14ac:dyDescent="0.25">
      <c r="A98" s="1382" t="s">
        <v>229</v>
      </c>
      <c r="B98" s="1383">
        <v>5169</v>
      </c>
      <c r="C98" s="1384" t="s">
        <v>1659</v>
      </c>
      <c r="D98" s="1387">
        <v>0</v>
      </c>
      <c r="E98" s="1387">
        <v>0</v>
      </c>
      <c r="F98" s="1387">
        <v>0</v>
      </c>
      <c r="G98" s="1387">
        <v>0</v>
      </c>
      <c r="H98" s="1387">
        <f>'[4]Jídelna ZŠ'!$B$6</f>
        <v>0</v>
      </c>
      <c r="I98" s="1366"/>
      <c r="J98" s="663"/>
      <c r="K98" s="743"/>
      <c r="L98" s="855"/>
    </row>
    <row r="99" spans="1:12" ht="20.25" customHeight="1" collapsed="1" thickBot="1" x14ac:dyDescent="0.3">
      <c r="A99" s="1368"/>
      <c r="B99" s="1369"/>
      <c r="C99" s="1358" t="s">
        <v>245</v>
      </c>
      <c r="D99" s="1359">
        <v>10000</v>
      </c>
      <c r="E99" s="1359">
        <v>20000</v>
      </c>
      <c r="F99" s="1359">
        <v>20000</v>
      </c>
      <c r="G99" s="1359">
        <v>20000</v>
      </c>
      <c r="H99" s="1359">
        <f>SUM(H97:H98)</f>
        <v>0</v>
      </c>
      <c r="I99" s="1360"/>
      <c r="J99" s="667">
        <f>'Výdaje kapitol celkem'!BH34</f>
        <v>0</v>
      </c>
      <c r="K99" s="743">
        <f>+J99-H99</f>
        <v>0</v>
      </c>
      <c r="L99" s="855"/>
    </row>
    <row r="100" spans="1:12" ht="20.25" customHeight="1" outlineLevel="1" x14ac:dyDescent="0.25">
      <c r="A100" s="1379" t="s">
        <v>230</v>
      </c>
      <c r="B100" s="1380">
        <v>5169</v>
      </c>
      <c r="C100" s="1377" t="s">
        <v>1161</v>
      </c>
      <c r="D100" s="1378">
        <v>15000</v>
      </c>
      <c r="E100" s="1378">
        <v>15000</v>
      </c>
      <c r="F100" s="1378">
        <v>15000</v>
      </c>
      <c r="G100" s="1378">
        <v>15000</v>
      </c>
      <c r="H100" s="1378">
        <f>'[4]Jídelna MŠ'!$B$5</f>
        <v>15000</v>
      </c>
      <c r="I100" s="1355"/>
      <c r="J100" s="663"/>
      <c r="K100" s="743"/>
      <c r="L100" s="855"/>
    </row>
    <row r="101" spans="1:12" ht="20.25" customHeight="1" outlineLevel="1" x14ac:dyDescent="0.25">
      <c r="A101" s="1382" t="s">
        <v>230</v>
      </c>
      <c r="B101" s="1383">
        <v>5169</v>
      </c>
      <c r="C101" s="1384"/>
      <c r="D101" s="1385">
        <v>0</v>
      </c>
      <c r="E101" s="1387">
        <v>0</v>
      </c>
      <c r="F101" s="1387">
        <v>0</v>
      </c>
      <c r="G101" s="1387">
        <v>0</v>
      </c>
      <c r="H101" s="1387">
        <f>'[4]Jídelna MŠ'!$B$6</f>
        <v>0</v>
      </c>
      <c r="I101" s="1370"/>
      <c r="J101" s="663"/>
      <c r="K101" s="743"/>
      <c r="L101" s="855"/>
    </row>
    <row r="102" spans="1:12" ht="20.25" customHeight="1" thickBot="1" x14ac:dyDescent="0.3">
      <c r="A102" s="1368"/>
      <c r="B102" s="1369"/>
      <c r="C102" s="1358" t="s">
        <v>246</v>
      </c>
      <c r="D102" s="1359">
        <v>15000</v>
      </c>
      <c r="E102" s="1359">
        <v>15000</v>
      </c>
      <c r="F102" s="1359">
        <v>15000</v>
      </c>
      <c r="G102" s="1359">
        <v>15000</v>
      </c>
      <c r="H102" s="1359">
        <f>SUM(H100:H101)</f>
        <v>15000</v>
      </c>
      <c r="I102" s="1360"/>
      <c r="J102" s="667">
        <f>'Výdaje kapitol celkem'!BK34</f>
        <v>15000</v>
      </c>
      <c r="K102" s="743">
        <f>+J102-H102</f>
        <v>0</v>
      </c>
      <c r="L102" s="855"/>
    </row>
    <row r="103" spans="1:12" ht="20.25" customHeight="1" outlineLevel="1" x14ac:dyDescent="0.25">
      <c r="A103" s="1346">
        <v>3631</v>
      </c>
      <c r="B103" s="1347">
        <v>5169</v>
      </c>
      <c r="C103" s="1348" t="s">
        <v>933</v>
      </c>
      <c r="D103" s="1349">
        <v>100000</v>
      </c>
      <c r="E103" s="1349">
        <v>100000</v>
      </c>
      <c r="F103" s="1349">
        <v>100000</v>
      </c>
      <c r="G103" s="1349">
        <v>100000</v>
      </c>
      <c r="H103" s="1349">
        <f>[4]VO!$B$21</f>
        <v>100000</v>
      </c>
      <c r="I103" s="1350"/>
      <c r="J103" s="667"/>
      <c r="K103" s="743"/>
      <c r="L103" s="855"/>
    </row>
    <row r="104" spans="1:12" ht="20.25" customHeight="1" outlineLevel="1" x14ac:dyDescent="0.25">
      <c r="A104" s="1351"/>
      <c r="B104" s="1352"/>
      <c r="C104" s="1353" t="s">
        <v>1663</v>
      </c>
      <c r="D104" s="1354"/>
      <c r="E104" s="1354">
        <v>70000</v>
      </c>
      <c r="F104" s="1354">
        <v>70000</v>
      </c>
      <c r="G104" s="1354">
        <v>70000</v>
      </c>
      <c r="H104" s="1354">
        <f>[4]VO!$B$22</f>
        <v>70000</v>
      </c>
      <c r="I104" s="1355"/>
      <c r="J104" s="667"/>
      <c r="K104" s="743"/>
      <c r="L104" s="855"/>
    </row>
    <row r="105" spans="1:12" ht="20.25" hidden="1" customHeight="1" outlineLevel="1" x14ac:dyDescent="0.25">
      <c r="A105" s="1363">
        <v>3631</v>
      </c>
      <c r="B105" s="1367">
        <v>5169</v>
      </c>
      <c r="C105" s="1364" t="s">
        <v>934</v>
      </c>
      <c r="D105" s="1365">
        <v>60000</v>
      </c>
      <c r="E105" s="1365"/>
      <c r="F105" s="1365"/>
      <c r="G105" s="1365"/>
      <c r="H105" s="1365"/>
      <c r="I105" s="1366"/>
      <c r="J105" s="667"/>
      <c r="K105" s="743"/>
      <c r="L105" s="855"/>
    </row>
    <row r="106" spans="1:12" ht="20.25" customHeight="1" outlineLevel="1" x14ac:dyDescent="0.25">
      <c r="A106" s="1351">
        <v>3631</v>
      </c>
      <c r="B106" s="1367">
        <v>5169</v>
      </c>
      <c r="C106" s="1377" t="s">
        <v>935</v>
      </c>
      <c r="D106" s="1378">
        <v>70000</v>
      </c>
      <c r="E106" s="1378"/>
      <c r="F106" s="1378"/>
      <c r="G106" s="1378">
        <v>0</v>
      </c>
      <c r="H106" s="1378">
        <f>[4]VO!$B$23</f>
        <v>70000</v>
      </c>
      <c r="I106" s="1366"/>
      <c r="J106" s="667"/>
      <c r="K106" s="743"/>
      <c r="L106" s="855"/>
    </row>
    <row r="107" spans="1:12" ht="20.25" customHeight="1" outlineLevel="1" x14ac:dyDescent="0.25">
      <c r="A107" s="1379">
        <v>3631</v>
      </c>
      <c r="B107" s="1383">
        <v>5169</v>
      </c>
      <c r="C107" s="1384" t="s">
        <v>936</v>
      </c>
      <c r="D107" s="1387">
        <v>12100</v>
      </c>
      <c r="E107" s="1387">
        <v>12100</v>
      </c>
      <c r="F107" s="1387">
        <v>12100</v>
      </c>
      <c r="G107" s="1387">
        <v>12100</v>
      </c>
      <c r="H107" s="1387">
        <f>[4]VO!$B$24</f>
        <v>12100</v>
      </c>
      <c r="I107" s="1366"/>
      <c r="J107" s="667"/>
      <c r="K107" s="743"/>
      <c r="L107" s="855"/>
    </row>
    <row r="108" spans="1:12" ht="20.25" customHeight="1" thickBot="1" x14ac:dyDescent="0.3">
      <c r="A108" s="1368"/>
      <c r="B108" s="1369"/>
      <c r="C108" s="1358" t="s">
        <v>183</v>
      </c>
      <c r="D108" s="1359">
        <v>242100</v>
      </c>
      <c r="E108" s="1359">
        <v>182100</v>
      </c>
      <c r="F108" s="1359">
        <v>182100</v>
      </c>
      <c r="G108" s="1359">
        <v>182100</v>
      </c>
      <c r="H108" s="1359">
        <f>SUM(H103:H107)</f>
        <v>252100</v>
      </c>
      <c r="I108" s="1360"/>
      <c r="J108" s="667">
        <f>'Výdaje kapitol celkem'!BP34</f>
        <v>252100</v>
      </c>
      <c r="K108" s="743">
        <f>+J108-H108</f>
        <v>0</v>
      </c>
      <c r="L108" s="855"/>
    </row>
    <row r="109" spans="1:12" ht="20.25" customHeight="1" outlineLevel="1" x14ac:dyDescent="0.25">
      <c r="A109" s="1346">
        <v>2212</v>
      </c>
      <c r="B109" s="1347">
        <v>5169</v>
      </c>
      <c r="C109" s="1348" t="s">
        <v>1632</v>
      </c>
      <c r="D109" s="1349">
        <v>210000</v>
      </c>
      <c r="E109" s="1349">
        <v>210000</v>
      </c>
      <c r="F109" s="1349">
        <v>210000</v>
      </c>
      <c r="G109" s="1349">
        <v>210000</v>
      </c>
      <c r="H109" s="1349">
        <f>'[5]Silnice světelná křižovatka'!$B$4</f>
        <v>210000</v>
      </c>
      <c r="I109" s="1350"/>
      <c r="J109" s="663"/>
      <c r="K109" s="743"/>
      <c r="L109" s="855"/>
    </row>
    <row r="110" spans="1:12" ht="20.25" customHeight="1" outlineLevel="1" x14ac:dyDescent="0.25">
      <c r="A110" s="1363">
        <v>2212</v>
      </c>
      <c r="B110" s="1367">
        <v>5169</v>
      </c>
      <c r="C110" s="1364" t="s">
        <v>907</v>
      </c>
      <c r="D110" s="1365">
        <v>100000</v>
      </c>
      <c r="E110" s="1365">
        <v>100000</v>
      </c>
      <c r="F110" s="1365">
        <v>100000</v>
      </c>
      <c r="G110" s="1365">
        <v>100000</v>
      </c>
      <c r="H110" s="1365">
        <f>[4]Silnice!$B$32</f>
        <v>100000</v>
      </c>
      <c r="I110" s="1366"/>
      <c r="J110" s="663"/>
      <c r="K110" s="743"/>
      <c r="L110" s="855"/>
    </row>
    <row r="111" spans="1:12" ht="20.25" customHeight="1" outlineLevel="1" x14ac:dyDescent="0.25">
      <c r="A111" s="1363">
        <v>2212</v>
      </c>
      <c r="B111" s="1367">
        <v>5169</v>
      </c>
      <c r="C111" s="1364" t="s">
        <v>1664</v>
      </c>
      <c r="D111" s="1365"/>
      <c r="E111" s="1365">
        <v>0</v>
      </c>
      <c r="F111" s="1365">
        <v>0</v>
      </c>
      <c r="G111" s="1365">
        <v>0</v>
      </c>
      <c r="H111" s="1365">
        <f>[4]Silnice!$B$33</f>
        <v>0</v>
      </c>
      <c r="I111" s="1366"/>
      <c r="J111" s="663"/>
      <c r="K111" s="743"/>
      <c r="L111" s="855"/>
    </row>
    <row r="112" spans="1:12" ht="20.25" customHeight="1" outlineLevel="1" x14ac:dyDescent="0.25">
      <c r="A112" s="1363">
        <v>2212</v>
      </c>
      <c r="B112" s="1367">
        <v>5169</v>
      </c>
      <c r="C112" s="1364"/>
      <c r="D112" s="1365"/>
      <c r="E112" s="1365"/>
      <c r="F112" s="1365"/>
      <c r="G112" s="1365"/>
      <c r="H112" s="1365">
        <f>[4]Silnice!$B$34</f>
        <v>0</v>
      </c>
      <c r="I112" s="1366"/>
      <c r="J112" s="663"/>
      <c r="K112" s="743"/>
      <c r="L112" s="855"/>
    </row>
    <row r="113" spans="1:12" ht="20.25" customHeight="1" outlineLevel="1" x14ac:dyDescent="0.25">
      <c r="A113" s="1379">
        <v>2212</v>
      </c>
      <c r="B113" s="1380">
        <v>5169</v>
      </c>
      <c r="C113" s="1377" t="s">
        <v>1633</v>
      </c>
      <c r="D113" s="1378">
        <v>0</v>
      </c>
      <c r="E113" s="1378">
        <v>50000</v>
      </c>
      <c r="F113" s="1378">
        <v>50000</v>
      </c>
      <c r="G113" s="1378">
        <v>50000</v>
      </c>
      <c r="H113" s="1378">
        <f>'[5]Silnice světelná křižovatka'!$B$5</f>
        <v>50000</v>
      </c>
      <c r="I113" s="1355"/>
      <c r="J113" s="663"/>
      <c r="K113" s="743"/>
      <c r="L113" s="855"/>
    </row>
    <row r="114" spans="1:12" ht="20.25" customHeight="1" thickBot="1" x14ac:dyDescent="0.3">
      <c r="A114" s="1368"/>
      <c r="B114" s="1369"/>
      <c r="C114" s="1358" t="s">
        <v>298</v>
      </c>
      <c r="D114" s="1359">
        <v>310000</v>
      </c>
      <c r="E114" s="1359">
        <v>360000</v>
      </c>
      <c r="F114" s="1359">
        <v>360000</v>
      </c>
      <c r="G114" s="1359">
        <v>360000</v>
      </c>
      <c r="H114" s="1359">
        <f>SUM(H109:H113)</f>
        <v>360000</v>
      </c>
      <c r="I114" s="1360"/>
      <c r="J114" s="667">
        <f>'Výdaje kapitol celkem'!BS34</f>
        <v>360000</v>
      </c>
      <c r="K114" s="743">
        <f>+J114-H114</f>
        <v>0</v>
      </c>
      <c r="L114" s="855"/>
    </row>
    <row r="115" spans="1:12" ht="28.5" customHeight="1" outlineLevel="1" x14ac:dyDescent="0.25">
      <c r="A115" s="1346">
        <v>2310</v>
      </c>
      <c r="B115" s="1347">
        <v>5169</v>
      </c>
      <c r="C115" s="1348" t="s">
        <v>1166</v>
      </c>
      <c r="D115" s="1349">
        <v>100000</v>
      </c>
      <c r="E115" s="1349">
        <v>100000</v>
      </c>
      <c r="F115" s="1349">
        <v>100000</v>
      </c>
      <c r="G115" s="1349">
        <v>100000</v>
      </c>
      <c r="H115" s="1349">
        <f>[4]Vodovod!$B$12</f>
        <v>100000</v>
      </c>
      <c r="I115" s="1350"/>
      <c r="J115" s="663"/>
      <c r="K115" s="743"/>
      <c r="L115" s="855"/>
    </row>
    <row r="116" spans="1:12" ht="17.25" customHeight="1" outlineLevel="1" x14ac:dyDescent="0.25">
      <c r="A116" s="1382">
        <v>2310</v>
      </c>
      <c r="B116" s="1383">
        <v>5169</v>
      </c>
      <c r="C116" s="1384" t="s">
        <v>1167</v>
      </c>
      <c r="D116" s="1387">
        <v>150000</v>
      </c>
      <c r="E116" s="1387">
        <v>150000</v>
      </c>
      <c r="F116" s="1387">
        <v>150000</v>
      </c>
      <c r="G116" s="1387">
        <v>150000</v>
      </c>
      <c r="H116" s="1387">
        <f>[4]Vodovod!$B$13</f>
        <v>150000</v>
      </c>
      <c r="I116" s="1366"/>
      <c r="J116" s="663"/>
      <c r="K116" s="743"/>
      <c r="L116" s="855"/>
    </row>
    <row r="117" spans="1:12" ht="20.25" customHeight="1" thickBot="1" x14ac:dyDescent="0.3">
      <c r="A117" s="1368"/>
      <c r="B117" s="1369"/>
      <c r="C117" s="1358" t="s">
        <v>247</v>
      </c>
      <c r="D117" s="1359">
        <v>250000</v>
      </c>
      <c r="E117" s="1359">
        <v>250000</v>
      </c>
      <c r="F117" s="1359">
        <v>250000</v>
      </c>
      <c r="G117" s="1359">
        <v>250000</v>
      </c>
      <c r="H117" s="1359">
        <f>SUM(H115:H116)</f>
        <v>250000</v>
      </c>
      <c r="I117" s="1360"/>
      <c r="J117" s="667">
        <f>'Výdaje kapitol celkem'!BW34</f>
        <v>250000</v>
      </c>
      <c r="K117" s="743">
        <f>+J117-H117</f>
        <v>0</v>
      </c>
      <c r="L117" s="855"/>
    </row>
    <row r="118" spans="1:12" ht="20.25" customHeight="1" outlineLevel="1" x14ac:dyDescent="0.25">
      <c r="A118" s="1379">
        <v>3633</v>
      </c>
      <c r="B118" s="1380">
        <v>5169</v>
      </c>
      <c r="C118" s="1377" t="s">
        <v>1168</v>
      </c>
      <c r="D118" s="1349">
        <v>60000</v>
      </c>
      <c r="E118" s="1349">
        <v>60000</v>
      </c>
      <c r="F118" s="1349">
        <v>60000</v>
      </c>
      <c r="G118" s="1349">
        <v>60000</v>
      </c>
      <c r="H118" s="1349">
        <f>'[4]Inženýrské sítě'!$B$5</f>
        <v>60000</v>
      </c>
      <c r="I118" s="1361"/>
      <c r="J118" s="663"/>
      <c r="K118" s="743"/>
      <c r="L118" s="855"/>
    </row>
    <row r="119" spans="1:12" ht="20.25" customHeight="1" outlineLevel="1" x14ac:dyDescent="0.25">
      <c r="A119" s="1382">
        <v>3633</v>
      </c>
      <c r="B119" s="1383">
        <v>5169</v>
      </c>
      <c r="C119" s="1384"/>
      <c r="D119" s="1365">
        <v>0</v>
      </c>
      <c r="E119" s="1365">
        <v>0</v>
      </c>
      <c r="F119" s="1365">
        <v>0</v>
      </c>
      <c r="G119" s="1365">
        <v>0</v>
      </c>
      <c r="H119" s="1365">
        <f>'[4]Inženýrské sítě'!$B$6</f>
        <v>0</v>
      </c>
      <c r="I119" s="1361"/>
      <c r="J119" s="663"/>
      <c r="K119" s="743"/>
      <c r="L119" s="855"/>
    </row>
    <row r="120" spans="1:12" ht="20.25" customHeight="1" thickBot="1" x14ac:dyDescent="0.3">
      <c r="A120" s="1368"/>
      <c r="B120" s="1369"/>
      <c r="C120" s="1358" t="s">
        <v>294</v>
      </c>
      <c r="D120" s="1359">
        <v>60000</v>
      </c>
      <c r="E120" s="1359">
        <v>60000</v>
      </c>
      <c r="F120" s="1359">
        <v>60000</v>
      </c>
      <c r="G120" s="1359">
        <v>60000</v>
      </c>
      <c r="H120" s="1359">
        <f>SUM(H118:H119)</f>
        <v>60000</v>
      </c>
      <c r="I120" s="1360"/>
      <c r="J120" s="667">
        <f>'Výdaje kapitol celkem'!CI34</f>
        <v>60000</v>
      </c>
      <c r="K120" s="743">
        <f>+J120-H120</f>
        <v>0</v>
      </c>
      <c r="L120" s="855"/>
    </row>
    <row r="121" spans="1:12" ht="54.95" customHeight="1" outlineLevel="1" x14ac:dyDescent="0.25">
      <c r="A121" s="1379">
        <v>3749</v>
      </c>
      <c r="B121" s="1380">
        <v>5169</v>
      </c>
      <c r="C121" s="1377" t="s">
        <v>2018</v>
      </c>
      <c r="D121" s="1378">
        <v>20000</v>
      </c>
      <c r="E121" s="1378"/>
      <c r="F121" s="1378"/>
      <c r="G121" s="1378"/>
      <c r="H121" s="1378">
        <f>'[6]Příroda 3749'!$B$15</f>
        <v>495532</v>
      </c>
      <c r="I121" s="1355"/>
      <c r="J121" s="663"/>
      <c r="K121" s="743"/>
      <c r="L121" s="855"/>
    </row>
    <row r="122" spans="1:12" outlineLevel="1" x14ac:dyDescent="0.25">
      <c r="A122" s="1382">
        <v>3749</v>
      </c>
      <c r="B122" s="1383">
        <v>5169</v>
      </c>
      <c r="C122" s="1384" t="s">
        <v>2019</v>
      </c>
      <c r="D122" s="1387">
        <v>325000</v>
      </c>
      <c r="E122" s="1387">
        <v>367532</v>
      </c>
      <c r="F122" s="1387">
        <v>367532</v>
      </c>
      <c r="G122" s="1387">
        <v>67532</v>
      </c>
      <c r="H122" s="1387">
        <f>'[6]Příroda 3749'!$B$16</f>
        <v>750000</v>
      </c>
      <c r="I122" s="1366"/>
      <c r="J122" s="663"/>
      <c r="K122" s="743"/>
      <c r="L122" s="855"/>
    </row>
    <row r="123" spans="1:12" outlineLevel="1" x14ac:dyDescent="0.25">
      <c r="A123" s="1382">
        <v>3749</v>
      </c>
      <c r="B123" s="1383">
        <v>5169</v>
      </c>
      <c r="C123" s="1384" t="s">
        <v>1671</v>
      </c>
      <c r="D123" s="1387">
        <v>795000</v>
      </c>
      <c r="E123" s="1387"/>
      <c r="F123" s="1387"/>
      <c r="G123" s="1387"/>
      <c r="H123" s="1387">
        <f>'[6]Příroda 3749'!$B$17</f>
        <v>700000</v>
      </c>
      <c r="I123" s="1366"/>
      <c r="J123" s="663"/>
      <c r="K123" s="743"/>
      <c r="L123" s="855"/>
    </row>
    <row r="124" spans="1:12" outlineLevel="1" x14ac:dyDescent="0.25">
      <c r="A124" s="1382">
        <v>3749</v>
      </c>
      <c r="B124" s="1383">
        <v>5169</v>
      </c>
      <c r="C124" s="1384" t="s">
        <v>1672</v>
      </c>
      <c r="D124" s="1387">
        <v>517818</v>
      </c>
      <c r="E124" s="1387"/>
      <c r="F124" s="1387"/>
      <c r="G124" s="1387"/>
      <c r="H124" s="1387">
        <f>'[6]Příroda 3749'!$B$18</f>
        <v>850000</v>
      </c>
      <c r="I124" s="1366"/>
      <c r="J124" s="663"/>
      <c r="K124" s="743"/>
      <c r="L124" s="855"/>
    </row>
    <row r="125" spans="1:12" ht="20.25" customHeight="1" outlineLevel="1" x14ac:dyDescent="0.25">
      <c r="A125" s="1382">
        <v>3749</v>
      </c>
      <c r="B125" s="1383">
        <v>5169</v>
      </c>
      <c r="C125" s="1384"/>
      <c r="D125" s="1387">
        <v>0</v>
      </c>
      <c r="E125" s="1387">
        <v>750000</v>
      </c>
      <c r="F125" s="1387">
        <v>750000</v>
      </c>
      <c r="G125" s="1387">
        <v>750000</v>
      </c>
      <c r="H125" s="1387"/>
      <c r="I125" s="1366"/>
      <c r="J125" s="663"/>
      <c r="K125" s="743"/>
      <c r="L125" s="855"/>
    </row>
    <row r="126" spans="1:12" ht="20.25" customHeight="1" thickBot="1" x14ac:dyDescent="0.3">
      <c r="A126" s="1368"/>
      <c r="B126" s="1369"/>
      <c r="C126" s="1358" t="s">
        <v>192</v>
      </c>
      <c r="D126" s="1359">
        <f>SUM(D121:D125)</f>
        <v>1657818</v>
      </c>
      <c r="E126" s="1359">
        <v>2317532</v>
      </c>
      <c r="F126" s="1359">
        <v>2317532</v>
      </c>
      <c r="G126" s="1359">
        <v>1617532</v>
      </c>
      <c r="H126" s="1359">
        <f>SUM(H121:H125)</f>
        <v>2795532</v>
      </c>
      <c r="I126" s="1360"/>
      <c r="J126" s="667">
        <f>'Výdaje kapitol celkem'!CW34</f>
        <v>2795532</v>
      </c>
      <c r="K126" s="743">
        <f>+J126-H126</f>
        <v>0</v>
      </c>
      <c r="L126" s="855"/>
    </row>
    <row r="127" spans="1:12" ht="20.25" customHeight="1" outlineLevel="1" x14ac:dyDescent="0.25">
      <c r="A127" s="1379">
        <v>1036</v>
      </c>
      <c r="B127" s="1380">
        <v>5169</v>
      </c>
      <c r="C127" s="1377" t="s">
        <v>1169</v>
      </c>
      <c r="D127" s="1378">
        <v>101000</v>
      </c>
      <c r="E127" s="1378">
        <v>50000</v>
      </c>
      <c r="F127" s="1378">
        <v>50000</v>
      </c>
      <c r="G127" s="1378">
        <v>50000</v>
      </c>
      <c r="H127" s="1378">
        <f>'[6]Lesy 1036'!$B$6</f>
        <v>100000</v>
      </c>
      <c r="I127" s="1355"/>
      <c r="J127" s="663"/>
      <c r="K127" s="743"/>
      <c r="L127" s="855"/>
    </row>
    <row r="128" spans="1:12" ht="20.25" hidden="1" customHeight="1" outlineLevel="1" x14ac:dyDescent="0.25">
      <c r="A128" s="1382">
        <v>1036</v>
      </c>
      <c r="B128" s="1383">
        <v>5169</v>
      </c>
      <c r="C128" s="1384"/>
      <c r="D128" s="1387"/>
      <c r="E128" s="1387"/>
      <c r="F128" s="1387"/>
      <c r="G128" s="1387"/>
      <c r="H128" s="1387"/>
      <c r="I128" s="1366"/>
      <c r="J128" s="663"/>
      <c r="K128" s="743"/>
      <c r="L128" s="855"/>
    </row>
    <row r="129" spans="1:12" ht="20.25" customHeight="1" outlineLevel="1" x14ac:dyDescent="0.25">
      <c r="A129" s="1382">
        <v>1036</v>
      </c>
      <c r="B129" s="1383">
        <v>5169</v>
      </c>
      <c r="C129" s="1364"/>
      <c r="D129" s="1387"/>
      <c r="E129" s="1387"/>
      <c r="F129" s="1387"/>
      <c r="G129" s="1387"/>
      <c r="H129" s="1387"/>
      <c r="I129" s="1370"/>
      <c r="J129" s="663"/>
      <c r="K129" s="743"/>
      <c r="L129" s="855"/>
    </row>
    <row r="130" spans="1:12" ht="20.25" customHeight="1" thickBot="1" x14ac:dyDescent="0.3">
      <c r="A130" s="1368"/>
      <c r="B130" s="1369"/>
      <c r="C130" s="1358" t="s">
        <v>188</v>
      </c>
      <c r="D130" s="1359">
        <f>SUM(D127:D129)</f>
        <v>101000</v>
      </c>
      <c r="E130" s="1359">
        <v>50000</v>
      </c>
      <c r="F130" s="1359">
        <v>50000</v>
      </c>
      <c r="G130" s="1359">
        <v>50000</v>
      </c>
      <c r="H130" s="1359">
        <f>SUM(H127:H129)</f>
        <v>100000</v>
      </c>
      <c r="I130" s="1360"/>
      <c r="J130" s="667">
        <f>'Výdaje kapitol celkem'!CL34</f>
        <v>100000</v>
      </c>
      <c r="K130" s="743">
        <f>+J130-H130</f>
        <v>0</v>
      </c>
      <c r="L130" s="855"/>
    </row>
    <row r="131" spans="1:12" ht="20.25" hidden="1" customHeight="1" outlineLevel="1" x14ac:dyDescent="0.25">
      <c r="A131" s="1379" t="s">
        <v>257</v>
      </c>
      <c r="B131" s="1380">
        <v>5169</v>
      </c>
      <c r="C131" s="1377" t="s">
        <v>426</v>
      </c>
      <c r="D131" s="1378"/>
      <c r="E131" s="1378"/>
      <c r="F131" s="1378"/>
      <c r="G131" s="1378"/>
      <c r="H131" s="1378"/>
      <c r="I131" s="1355"/>
      <c r="J131" s="663"/>
      <c r="K131" s="743"/>
      <c r="L131" s="855"/>
    </row>
    <row r="132" spans="1:12" ht="20.25" hidden="1" customHeight="1" outlineLevel="1" x14ac:dyDescent="0.25">
      <c r="A132" s="1382" t="s">
        <v>257</v>
      </c>
      <c r="B132" s="1383">
        <v>5169</v>
      </c>
      <c r="C132" s="1384"/>
      <c r="D132" s="1387"/>
      <c r="E132" s="1387"/>
      <c r="F132" s="1387"/>
      <c r="G132" s="1387"/>
      <c r="H132" s="1387"/>
      <c r="I132" s="1366"/>
      <c r="J132" s="663"/>
      <c r="K132" s="743"/>
      <c r="L132" s="855"/>
    </row>
    <row r="133" spans="1:12" ht="20.25" hidden="1" customHeight="1" outlineLevel="1" x14ac:dyDescent="0.25">
      <c r="A133" s="1382" t="s">
        <v>257</v>
      </c>
      <c r="B133" s="1383">
        <v>5169</v>
      </c>
      <c r="C133" s="1364"/>
      <c r="D133" s="1387"/>
      <c r="E133" s="1387"/>
      <c r="F133" s="1387"/>
      <c r="G133" s="1387"/>
      <c r="H133" s="1387"/>
      <c r="I133" s="1370"/>
      <c r="J133" s="663"/>
      <c r="K133" s="743"/>
      <c r="L133" s="855"/>
    </row>
    <row r="134" spans="1:12" ht="20.25" customHeight="1" collapsed="1" thickBot="1" x14ac:dyDescent="0.3">
      <c r="A134" s="1368"/>
      <c r="B134" s="1369"/>
      <c r="C134" s="1358" t="s">
        <v>293</v>
      </c>
      <c r="D134" s="1359">
        <v>0</v>
      </c>
      <c r="E134" s="1359">
        <v>0</v>
      </c>
      <c r="F134" s="1359">
        <v>0</v>
      </c>
      <c r="G134" s="1359">
        <v>0</v>
      </c>
      <c r="H134" s="1359">
        <f>SUM(H131:H133)</f>
        <v>0</v>
      </c>
      <c r="I134" s="1360"/>
      <c r="J134" s="667">
        <f>'Výdaje kapitol celkem'!CF34</f>
        <v>0</v>
      </c>
      <c r="K134" s="743">
        <f>+J134-H134</f>
        <v>0</v>
      </c>
      <c r="L134" s="855"/>
    </row>
    <row r="135" spans="1:12" outlineLevel="1" x14ac:dyDescent="0.25">
      <c r="A135" s="1379" t="s">
        <v>231</v>
      </c>
      <c r="B135" s="1380">
        <v>5169</v>
      </c>
      <c r="C135" s="1377" t="s">
        <v>1170</v>
      </c>
      <c r="D135" s="1378">
        <v>50000</v>
      </c>
      <c r="E135" s="1378">
        <v>50000</v>
      </c>
      <c r="F135" s="1378">
        <v>50000</v>
      </c>
      <c r="G135" s="1378">
        <v>50000</v>
      </c>
      <c r="H135" s="1378">
        <f>[4]Kanalizace!$B$14</f>
        <v>50000</v>
      </c>
      <c r="I135" s="1355"/>
      <c r="J135" s="663"/>
      <c r="K135" s="743"/>
      <c r="L135" s="855"/>
    </row>
    <row r="136" spans="1:12" ht="20.25" customHeight="1" outlineLevel="1" x14ac:dyDescent="0.25">
      <c r="A136" s="1382" t="s">
        <v>231</v>
      </c>
      <c r="B136" s="1383">
        <v>5169</v>
      </c>
      <c r="C136" s="1364" t="s">
        <v>1171</v>
      </c>
      <c r="D136" s="1387">
        <v>100000</v>
      </c>
      <c r="E136" s="1387">
        <v>100000</v>
      </c>
      <c r="F136" s="1387">
        <v>100000</v>
      </c>
      <c r="G136" s="1387">
        <v>100000</v>
      </c>
      <c r="H136" s="1387">
        <f>[4]Kanalizace!$B$15</f>
        <v>100000</v>
      </c>
      <c r="I136" s="1370"/>
      <c r="J136" s="663"/>
      <c r="K136" s="743"/>
      <c r="L136" s="855"/>
    </row>
    <row r="137" spans="1:12" ht="20.25" customHeight="1" thickBot="1" x14ac:dyDescent="0.3">
      <c r="A137" s="1368"/>
      <c r="B137" s="1369"/>
      <c r="C137" s="1358" t="s">
        <v>842</v>
      </c>
      <c r="D137" s="1359">
        <v>150000</v>
      </c>
      <c r="E137" s="1359">
        <v>150000</v>
      </c>
      <c r="F137" s="1359">
        <v>150000</v>
      </c>
      <c r="G137" s="1359">
        <v>150000</v>
      </c>
      <c r="H137" s="1359">
        <f>SUM(H135:H136)</f>
        <v>150000</v>
      </c>
      <c r="I137" s="1360"/>
      <c r="J137" s="667">
        <f>'Výdaje kapitol celkem'!CC34</f>
        <v>150000</v>
      </c>
      <c r="K137" s="743">
        <f>+J137-H137</f>
        <v>0</v>
      </c>
      <c r="L137" s="855"/>
    </row>
    <row r="138" spans="1:12" ht="27" outlineLevel="1" x14ac:dyDescent="0.25">
      <c r="A138" s="1346" t="s">
        <v>593</v>
      </c>
      <c r="B138" s="1347">
        <v>5169</v>
      </c>
      <c r="C138" s="1348" t="s">
        <v>1172</v>
      </c>
      <c r="D138" s="1349">
        <v>4950000</v>
      </c>
      <c r="E138" s="1349">
        <v>4950000</v>
      </c>
      <c r="F138" s="1349">
        <v>4950000</v>
      </c>
      <c r="G138" s="1349">
        <v>4950000</v>
      </c>
      <c r="H138" s="1349">
        <f>'[6]Popelnice 3722-1'!$B$22</f>
        <v>4950000</v>
      </c>
      <c r="I138" s="1350"/>
      <c r="J138" s="663"/>
      <c r="K138" s="743"/>
      <c r="L138" s="855"/>
    </row>
    <row r="139" spans="1:12" ht="20.25" customHeight="1" outlineLevel="1" x14ac:dyDescent="0.25">
      <c r="A139" s="1379" t="s">
        <v>593</v>
      </c>
      <c r="B139" s="1380">
        <v>5169</v>
      </c>
      <c r="C139" s="1377" t="s">
        <v>1173</v>
      </c>
      <c r="D139" s="1386">
        <v>0</v>
      </c>
      <c r="E139" s="1386">
        <v>0</v>
      </c>
      <c r="F139" s="1386">
        <v>0</v>
      </c>
      <c r="G139" s="1386">
        <v>0</v>
      </c>
      <c r="H139" s="1386">
        <f>'[6]Popelnice 3722-1'!$B$23</f>
        <v>0</v>
      </c>
      <c r="I139" s="1361"/>
      <c r="J139" s="663"/>
      <c r="K139" s="743"/>
      <c r="L139" s="855"/>
    </row>
    <row r="140" spans="1:12" ht="20.25" customHeight="1" thickBot="1" x14ac:dyDescent="0.3">
      <c r="A140" s="1368"/>
      <c r="B140" s="1369"/>
      <c r="C140" s="1358" t="s">
        <v>189</v>
      </c>
      <c r="D140" s="1359">
        <v>4950000</v>
      </c>
      <c r="E140" s="1359">
        <v>4950000</v>
      </c>
      <c r="F140" s="1359">
        <v>4950000</v>
      </c>
      <c r="G140" s="1359">
        <v>4950000</v>
      </c>
      <c r="H140" s="1359">
        <f>SUM(H138:H139)</f>
        <v>4950000</v>
      </c>
      <c r="I140" s="1360"/>
      <c r="J140" s="667">
        <f>'Výdaje kapitol celkem'!CM34</f>
        <v>4950000</v>
      </c>
      <c r="K140" s="743">
        <f>+J140-H140</f>
        <v>0</v>
      </c>
      <c r="L140" s="855"/>
    </row>
    <row r="141" spans="1:12" ht="20.25" customHeight="1" outlineLevel="1" x14ac:dyDescent="0.25">
      <c r="A141" s="1346" t="s">
        <v>214</v>
      </c>
      <c r="B141" s="1347">
        <v>5169</v>
      </c>
      <c r="C141" s="1348" t="s">
        <v>1174</v>
      </c>
      <c r="D141" s="1349">
        <v>750000</v>
      </c>
      <c r="E141" s="1349">
        <v>750000</v>
      </c>
      <c r="F141" s="1349">
        <v>750000</v>
      </c>
      <c r="G141" s="1349">
        <v>750000</v>
      </c>
      <c r="H141" s="1349">
        <f>'[6]Odpady 3722-34'!$B$6</f>
        <v>750000</v>
      </c>
      <c r="I141" s="1350"/>
      <c r="J141" s="663"/>
      <c r="K141" s="743"/>
      <c r="L141" s="855"/>
    </row>
    <row r="142" spans="1:12" ht="20.25" hidden="1" customHeight="1" outlineLevel="1" x14ac:dyDescent="0.25">
      <c r="A142" s="1363" t="s">
        <v>214</v>
      </c>
      <c r="B142" s="1367">
        <v>5169</v>
      </c>
      <c r="C142" s="1364" t="s">
        <v>1175</v>
      </c>
      <c r="D142" s="1371">
        <v>0</v>
      </c>
      <c r="E142" s="1371"/>
      <c r="F142" s="1371"/>
      <c r="G142" s="1371"/>
      <c r="H142" s="1371"/>
      <c r="I142" s="1370"/>
      <c r="J142" s="663"/>
      <c r="K142" s="743"/>
      <c r="L142" s="855"/>
    </row>
    <row r="143" spans="1:12" ht="20.25" hidden="1" customHeight="1" outlineLevel="1" x14ac:dyDescent="0.25">
      <c r="A143" s="1363" t="s">
        <v>214</v>
      </c>
      <c r="B143" s="1367">
        <v>5169</v>
      </c>
      <c r="C143" s="1364" t="s">
        <v>1175</v>
      </c>
      <c r="D143" s="1371"/>
      <c r="E143" s="1371">
        <v>100000</v>
      </c>
      <c r="F143" s="1371">
        <v>100000</v>
      </c>
      <c r="G143" s="1371">
        <v>0</v>
      </c>
      <c r="H143" s="1365">
        <f>'[6]Odpady 3722-34'!$B$7</f>
        <v>0</v>
      </c>
      <c r="I143" s="1370"/>
      <c r="J143" s="663"/>
      <c r="K143" s="743"/>
      <c r="L143" s="855"/>
    </row>
    <row r="144" spans="1:12" ht="20.25" customHeight="1" outlineLevel="1" x14ac:dyDescent="0.25">
      <c r="A144" s="1379" t="s">
        <v>214</v>
      </c>
      <c r="B144" s="1380">
        <v>5169</v>
      </c>
      <c r="C144" s="1377" t="s">
        <v>1670</v>
      </c>
      <c r="D144" s="1386">
        <v>0</v>
      </c>
      <c r="E144" s="1386">
        <v>4500</v>
      </c>
      <c r="F144" s="1386">
        <v>4500</v>
      </c>
      <c r="G144" s="1386">
        <v>4500</v>
      </c>
      <c r="H144" s="1378">
        <f>'[6]Odpady 3722-34'!$B$8</f>
        <v>4500</v>
      </c>
      <c r="I144" s="1361"/>
      <c r="J144" s="663"/>
      <c r="K144" s="743"/>
      <c r="L144" s="855"/>
    </row>
    <row r="145" spans="1:12" ht="20.25" customHeight="1" thickBot="1" x14ac:dyDescent="0.3">
      <c r="A145" s="1368"/>
      <c r="B145" s="1369"/>
      <c r="C145" s="1358" t="s">
        <v>190</v>
      </c>
      <c r="D145" s="1359">
        <v>750000</v>
      </c>
      <c r="E145" s="1359">
        <v>854500</v>
      </c>
      <c r="F145" s="1359">
        <v>854500</v>
      </c>
      <c r="G145" s="1359">
        <v>754500</v>
      </c>
      <c r="H145" s="1359">
        <f>SUM(H141:H144)</f>
        <v>754500</v>
      </c>
      <c r="I145" s="1360"/>
      <c r="J145" s="667">
        <f>'Výdaje kapitol celkem'!CP34</f>
        <v>754500</v>
      </c>
      <c r="K145" s="743">
        <f>+J145-H145</f>
        <v>0</v>
      </c>
      <c r="L145" s="855"/>
    </row>
    <row r="146" spans="1:12" ht="20.25" customHeight="1" outlineLevel="1" x14ac:dyDescent="0.25">
      <c r="A146" s="1346">
        <v>3729</v>
      </c>
      <c r="B146" s="1347">
        <v>5169</v>
      </c>
      <c r="C146" s="1348" t="s">
        <v>1176</v>
      </c>
      <c r="D146" s="1349">
        <v>70000</v>
      </c>
      <c r="E146" s="1349">
        <v>70000</v>
      </c>
      <c r="F146" s="1349">
        <v>70000</v>
      </c>
      <c r="G146" s="1349">
        <v>70000</v>
      </c>
      <c r="H146" s="1349">
        <f>'[6]Černé skládky 3729'!$B$6</f>
        <v>70000</v>
      </c>
      <c r="I146" s="1350"/>
      <c r="J146" s="663"/>
      <c r="K146" s="743"/>
      <c r="L146" s="855"/>
    </row>
    <row r="147" spans="1:12" ht="20.25" customHeight="1" x14ac:dyDescent="0.25">
      <c r="A147" s="1379">
        <v>3729</v>
      </c>
      <c r="B147" s="1380">
        <v>5169</v>
      </c>
      <c r="C147" s="1377"/>
      <c r="D147" s="1386"/>
      <c r="E147" s="1386">
        <v>0</v>
      </c>
      <c r="F147" s="1386">
        <v>0</v>
      </c>
      <c r="G147" s="1386">
        <v>0</v>
      </c>
      <c r="H147" s="1386">
        <f>'[6]Černé skládky 3729'!$B$7</f>
        <v>0</v>
      </c>
      <c r="I147" s="1361"/>
      <c r="J147" s="663"/>
      <c r="K147" s="743"/>
      <c r="L147" s="855"/>
    </row>
    <row r="148" spans="1:12" ht="20.25" customHeight="1" thickBot="1" x14ac:dyDescent="0.3">
      <c r="A148" s="1368"/>
      <c r="B148" s="1369"/>
      <c r="C148" s="1358" t="s">
        <v>594</v>
      </c>
      <c r="D148" s="1359">
        <v>70000</v>
      </c>
      <c r="E148" s="1359">
        <v>70000</v>
      </c>
      <c r="F148" s="1359">
        <v>70000</v>
      </c>
      <c r="G148" s="1359">
        <v>70000</v>
      </c>
      <c r="H148" s="1359">
        <f>SUM(H146:H147)</f>
        <v>70000</v>
      </c>
      <c r="I148" s="1360"/>
      <c r="J148" s="667">
        <f>'Výdaje kapitol celkem'!CS34</f>
        <v>70000</v>
      </c>
      <c r="K148" s="743">
        <f>+J148-H148</f>
        <v>0</v>
      </c>
      <c r="L148" s="855"/>
    </row>
    <row r="149" spans="1:12" ht="20.25" customHeight="1" outlineLevel="1" x14ac:dyDescent="0.25">
      <c r="A149" s="1346">
        <v>3744</v>
      </c>
      <c r="B149" s="1347">
        <v>5169</v>
      </c>
      <c r="C149" s="1348" t="s">
        <v>1177</v>
      </c>
      <c r="D149" s="1349">
        <v>60000</v>
      </c>
      <c r="E149" s="1349">
        <v>60000</v>
      </c>
      <c r="F149" s="1349">
        <v>60000</v>
      </c>
      <c r="G149" s="1349">
        <v>60000</v>
      </c>
      <c r="H149" s="1349">
        <f>'[6]Povodeň 3744'!$B$14</f>
        <v>60000</v>
      </c>
      <c r="I149" s="1350"/>
      <c r="J149" s="663"/>
      <c r="K149" s="743"/>
      <c r="L149" s="855"/>
    </row>
    <row r="150" spans="1:12" ht="20.25" customHeight="1" outlineLevel="1" x14ac:dyDescent="0.25">
      <c r="A150" s="1363">
        <v>3744</v>
      </c>
      <c r="B150" s="1367">
        <v>5169</v>
      </c>
      <c r="C150" s="1364" t="s">
        <v>1178</v>
      </c>
      <c r="D150" s="1365">
        <v>6500</v>
      </c>
      <c r="E150" s="1365">
        <v>6500</v>
      </c>
      <c r="F150" s="1365">
        <v>6500</v>
      </c>
      <c r="G150" s="1365">
        <v>6500</v>
      </c>
      <c r="H150" s="1365">
        <f>'[6]Povodeň 3744'!$B$15</f>
        <v>6500</v>
      </c>
      <c r="I150" s="1366"/>
      <c r="J150" s="663"/>
      <c r="K150" s="743"/>
      <c r="L150" s="855"/>
    </row>
    <row r="151" spans="1:12" ht="20.25" customHeight="1" x14ac:dyDescent="0.25">
      <c r="A151" s="1379">
        <v>3744</v>
      </c>
      <c r="B151" s="1380">
        <v>5169</v>
      </c>
      <c r="C151" s="1377" t="s">
        <v>2015</v>
      </c>
      <c r="D151" s="1378">
        <v>62000</v>
      </c>
      <c r="E151" s="1378">
        <v>0</v>
      </c>
      <c r="F151" s="1378">
        <v>0</v>
      </c>
      <c r="G151" s="1378">
        <v>0</v>
      </c>
      <c r="H151" s="1378">
        <f>'[6]Povodeň 3744'!$B$16</f>
        <v>0</v>
      </c>
      <c r="I151" s="1355"/>
      <c r="J151" s="663"/>
      <c r="K151" s="743"/>
      <c r="L151" s="855"/>
    </row>
    <row r="152" spans="1:12" ht="20.25" customHeight="1" thickBot="1" x14ac:dyDescent="0.3">
      <c r="A152" s="1368"/>
      <c r="B152" s="1369"/>
      <c r="C152" s="1358" t="s">
        <v>191</v>
      </c>
      <c r="D152" s="1359">
        <v>128500</v>
      </c>
      <c r="E152" s="1359">
        <v>66500</v>
      </c>
      <c r="F152" s="1359">
        <v>66500</v>
      </c>
      <c r="G152" s="1359">
        <v>66500</v>
      </c>
      <c r="H152" s="1359">
        <f>SUM(H149:H151)</f>
        <v>66500</v>
      </c>
      <c r="I152" s="1360"/>
      <c r="J152" s="667">
        <f>'Výdaje kapitol celkem'!CV34</f>
        <v>66500</v>
      </c>
      <c r="K152" s="743">
        <f>+J152-H152</f>
        <v>0</v>
      </c>
      <c r="L152" s="855"/>
    </row>
    <row r="153" spans="1:12" ht="20.25" customHeight="1" outlineLevel="1" x14ac:dyDescent="0.25">
      <c r="A153" s="1346" t="s">
        <v>348</v>
      </c>
      <c r="B153" s="1347">
        <v>5169</v>
      </c>
      <c r="C153" s="1348" t="s">
        <v>564</v>
      </c>
      <c r="D153" s="1349">
        <v>5000</v>
      </c>
      <c r="E153" s="1349">
        <v>5000</v>
      </c>
      <c r="F153" s="1349">
        <v>5000</v>
      </c>
      <c r="G153" s="1349">
        <v>5000</v>
      </c>
      <c r="H153" s="1349">
        <f>[4]Rybníky!$B$5</f>
        <v>5000</v>
      </c>
      <c r="I153" s="1350"/>
      <c r="J153" s="663"/>
      <c r="K153" s="743"/>
      <c r="L153" s="855"/>
    </row>
    <row r="154" spans="1:12" ht="20.25" customHeight="1" outlineLevel="1" x14ac:dyDescent="0.25">
      <c r="A154" s="1363" t="s">
        <v>348</v>
      </c>
      <c r="B154" s="1367">
        <v>5169</v>
      </c>
      <c r="C154" s="1364">
        <v>0</v>
      </c>
      <c r="D154" s="1365">
        <v>0</v>
      </c>
      <c r="E154" s="1365"/>
      <c r="F154" s="1365"/>
      <c r="G154" s="1365"/>
      <c r="H154" s="1365">
        <f>[4]Rybníky!$B$6</f>
        <v>0</v>
      </c>
      <c r="I154" s="1370"/>
      <c r="J154" s="663"/>
      <c r="K154" s="743"/>
      <c r="L154" s="855"/>
    </row>
    <row r="155" spans="1:12" outlineLevel="1" x14ac:dyDescent="0.25">
      <c r="A155" s="1363" t="s">
        <v>348</v>
      </c>
      <c r="B155" s="1367">
        <v>5169</v>
      </c>
      <c r="C155" s="1364"/>
      <c r="D155" s="1365">
        <v>0</v>
      </c>
      <c r="E155" s="1365">
        <v>400000</v>
      </c>
      <c r="F155" s="1365">
        <v>400000</v>
      </c>
      <c r="G155" s="1365">
        <v>400000</v>
      </c>
      <c r="H155" s="1365"/>
      <c r="I155" s="1366"/>
      <c r="J155" s="663"/>
      <c r="K155" s="743"/>
      <c r="L155" s="855"/>
    </row>
    <row r="156" spans="1:12" ht="20.25" customHeight="1" thickBot="1" x14ac:dyDescent="0.3">
      <c r="A156" s="1368"/>
      <c r="B156" s="1369"/>
      <c r="C156" s="1358" t="s">
        <v>349</v>
      </c>
      <c r="D156" s="1359">
        <f>SUM(D153:D155)</f>
        <v>5000</v>
      </c>
      <c r="E156" s="1359">
        <v>405000</v>
      </c>
      <c r="F156" s="1359">
        <v>405000</v>
      </c>
      <c r="G156" s="1359">
        <v>405000</v>
      </c>
      <c r="H156" s="1359">
        <f>SUM(H153:H155)</f>
        <v>5000</v>
      </c>
      <c r="I156" s="1360"/>
      <c r="J156" s="667">
        <f>'Výdaje kapitol celkem'!DA34</f>
        <v>5000</v>
      </c>
      <c r="K156" s="743">
        <f>+J156-H156</f>
        <v>0</v>
      </c>
      <c r="L156" s="855"/>
    </row>
    <row r="157" spans="1:12" ht="20.25" hidden="1" customHeight="1" outlineLevel="1" x14ac:dyDescent="0.25">
      <c r="A157" s="1346" t="s">
        <v>313</v>
      </c>
      <c r="B157" s="1347">
        <v>5169</v>
      </c>
      <c r="C157" s="1899"/>
      <c r="D157" s="1900">
        <v>0</v>
      </c>
      <c r="E157" s="1900"/>
      <c r="F157" s="1900">
        <v>5000</v>
      </c>
      <c r="G157" s="1900">
        <v>5000</v>
      </c>
      <c r="H157" s="1349"/>
      <c r="I157" s="1404"/>
      <c r="J157" s="667"/>
      <c r="K157" s="743"/>
      <c r="L157" s="855"/>
    </row>
    <row r="158" spans="1:12" ht="20.25" hidden="1" customHeight="1" outlineLevel="1" x14ac:dyDescent="0.25">
      <c r="A158" s="1363" t="s">
        <v>313</v>
      </c>
      <c r="B158" s="1367">
        <v>5169</v>
      </c>
      <c r="C158" s="1901"/>
      <c r="D158" s="1371"/>
      <c r="E158" s="1371"/>
      <c r="F158" s="1371"/>
      <c r="G158" s="1371"/>
      <c r="H158" s="1371"/>
      <c r="I158" s="1370"/>
      <c r="J158" s="667"/>
      <c r="K158" s="743"/>
      <c r="L158" s="855"/>
    </row>
    <row r="159" spans="1:12" ht="20.25" customHeight="1" collapsed="1" thickBot="1" x14ac:dyDescent="0.3">
      <c r="A159" s="1368"/>
      <c r="B159" s="1369"/>
      <c r="C159" s="1358" t="s">
        <v>312</v>
      </c>
      <c r="D159" s="1359">
        <f>SUM(D157:D158)</f>
        <v>0</v>
      </c>
      <c r="E159" s="1359">
        <v>0</v>
      </c>
      <c r="F159" s="1359">
        <v>5000</v>
      </c>
      <c r="G159" s="1359">
        <v>5000</v>
      </c>
      <c r="H159" s="1359">
        <f>SUM(H157:H158)</f>
        <v>0</v>
      </c>
      <c r="I159" s="1360"/>
      <c r="J159" s="667">
        <f>'Výdaje kapitol celkem'!DE34</f>
        <v>0</v>
      </c>
      <c r="K159" s="743">
        <f>+J159-H159</f>
        <v>0</v>
      </c>
      <c r="L159" s="855"/>
    </row>
    <row r="160" spans="1:12" ht="20.25" hidden="1" customHeight="1" outlineLevel="1" x14ac:dyDescent="0.25">
      <c r="A160" s="1346" t="s">
        <v>950</v>
      </c>
      <c r="B160" s="1347">
        <v>5169</v>
      </c>
      <c r="C160" s="1348"/>
      <c r="D160" s="1349">
        <v>276525</v>
      </c>
      <c r="E160" s="1349"/>
      <c r="F160" s="1349"/>
      <c r="G160" s="1349"/>
      <c r="H160" s="1349"/>
      <c r="I160" s="1350"/>
      <c r="J160" s="663"/>
      <c r="K160" s="743"/>
      <c r="L160" s="855"/>
    </row>
    <row r="161" spans="1:12" ht="20.25" hidden="1" customHeight="1" outlineLevel="1" x14ac:dyDescent="0.25">
      <c r="A161" s="1379" t="s">
        <v>950</v>
      </c>
      <c r="B161" s="1380">
        <v>5169</v>
      </c>
      <c r="C161" s="1377"/>
      <c r="D161" s="1386"/>
      <c r="E161" s="1386"/>
      <c r="F161" s="1386"/>
      <c r="G161" s="1386"/>
      <c r="H161" s="1386"/>
      <c r="I161" s="1361"/>
      <c r="J161" s="663"/>
      <c r="K161" s="743"/>
      <c r="L161" s="855"/>
    </row>
    <row r="162" spans="1:12" ht="20.25" customHeight="1" collapsed="1" thickBot="1" x14ac:dyDescent="0.3">
      <c r="A162" s="1368"/>
      <c r="B162" s="1369"/>
      <c r="C162" s="1358" t="s">
        <v>930</v>
      </c>
      <c r="D162" s="1359">
        <f>SUM(D160:D161)</f>
        <v>276525</v>
      </c>
      <c r="E162" s="1359">
        <v>0</v>
      </c>
      <c r="F162" s="1359">
        <v>0</v>
      </c>
      <c r="G162" s="1359">
        <v>0</v>
      </c>
      <c r="H162" s="1359">
        <f>SUM(H160:H161)</f>
        <v>0</v>
      </c>
      <c r="I162" s="1360"/>
      <c r="J162" s="667">
        <f>'Výdaje kapitol celkem'!DB34</f>
        <v>0</v>
      </c>
      <c r="K162" s="743">
        <f>+J162-H162</f>
        <v>0</v>
      </c>
      <c r="L162" s="855"/>
    </row>
    <row r="163" spans="1:12" ht="20.25" hidden="1" customHeight="1" outlineLevel="1" x14ac:dyDescent="0.25">
      <c r="A163" s="1346" t="s">
        <v>951</v>
      </c>
      <c r="B163" s="1347">
        <v>5169</v>
      </c>
      <c r="C163" s="1348" t="s">
        <v>1179</v>
      </c>
      <c r="D163" s="1349">
        <v>0</v>
      </c>
      <c r="E163" s="1349">
        <v>0</v>
      </c>
      <c r="F163" s="1349">
        <v>0</v>
      </c>
      <c r="G163" s="1349">
        <v>0</v>
      </c>
      <c r="H163" s="1349"/>
      <c r="I163" s="1350"/>
      <c r="J163" s="663"/>
      <c r="K163" s="743"/>
      <c r="L163" s="855"/>
    </row>
    <row r="164" spans="1:12" ht="20.25" hidden="1" customHeight="1" outlineLevel="1" x14ac:dyDescent="0.25">
      <c r="A164" s="1379" t="s">
        <v>951</v>
      </c>
      <c r="B164" s="1380">
        <v>5169</v>
      </c>
      <c r="C164" s="1377"/>
      <c r="D164" s="1386"/>
      <c r="E164" s="1386"/>
      <c r="F164" s="1386"/>
      <c r="G164" s="1386"/>
      <c r="H164" s="1386"/>
      <c r="I164" s="1361"/>
      <c r="J164" s="663"/>
      <c r="K164" s="743"/>
      <c r="L164" s="855"/>
    </row>
    <row r="165" spans="1:12" ht="20.25" customHeight="1" collapsed="1" thickBot="1" x14ac:dyDescent="0.3">
      <c r="A165" s="1368"/>
      <c r="B165" s="1369"/>
      <c r="C165" s="1358" t="s">
        <v>931</v>
      </c>
      <c r="D165" s="1359">
        <v>0</v>
      </c>
      <c r="E165" s="1359">
        <v>0</v>
      </c>
      <c r="F165" s="1359">
        <v>0</v>
      </c>
      <c r="G165" s="1359">
        <v>0</v>
      </c>
      <c r="H165" s="1359">
        <f>SUM(H163:H164)</f>
        <v>0</v>
      </c>
      <c r="I165" s="1360"/>
      <c r="J165" s="667">
        <f>'Výdaje kapitol celkem'!DC34</f>
        <v>0</v>
      </c>
      <c r="K165" s="743">
        <f>+J165-H165</f>
        <v>0</v>
      </c>
      <c r="L165" s="855"/>
    </row>
    <row r="166" spans="1:12" ht="29.25" customHeight="1" outlineLevel="1" x14ac:dyDescent="0.25">
      <c r="A166" s="1346" t="s">
        <v>215</v>
      </c>
      <c r="B166" s="1347">
        <v>5169</v>
      </c>
      <c r="C166" s="1348" t="s">
        <v>1675</v>
      </c>
      <c r="D166" s="1349">
        <v>2660000</v>
      </c>
      <c r="E166" s="1349">
        <v>2000000</v>
      </c>
      <c r="F166" s="1349">
        <v>2000000</v>
      </c>
      <c r="G166" s="1349">
        <v>2000000</v>
      </c>
      <c r="H166" s="1349">
        <f>'[6]TSÚ-Sběrný dvůr 3722-36'!$B$15</f>
        <v>1000000</v>
      </c>
      <c r="I166" s="1350"/>
      <c r="J166" s="663"/>
      <c r="K166" s="743"/>
      <c r="L166" s="855"/>
    </row>
    <row r="167" spans="1:12" ht="29.25" customHeight="1" outlineLevel="1" x14ac:dyDescent="0.25">
      <c r="A167" s="1363" t="s">
        <v>215</v>
      </c>
      <c r="B167" s="1352">
        <v>5169</v>
      </c>
      <c r="C167" s="1353" t="s">
        <v>1887</v>
      </c>
      <c r="D167" s="1354"/>
      <c r="E167" s="1354"/>
      <c r="F167" s="1354"/>
      <c r="G167" s="1354">
        <v>79000</v>
      </c>
      <c r="H167" s="1354">
        <f>'[6]TSÚ-Sběrný dvůr 3722-36'!$B$16</f>
        <v>79000</v>
      </c>
      <c r="I167" s="1355"/>
      <c r="J167" s="663"/>
      <c r="K167" s="743"/>
      <c r="L167" s="855"/>
    </row>
    <row r="168" spans="1:12" ht="20.25" customHeight="1" outlineLevel="1" x14ac:dyDescent="0.25">
      <c r="A168" s="1363" t="s">
        <v>215</v>
      </c>
      <c r="B168" s="1367">
        <v>5169</v>
      </c>
      <c r="C168" s="1364" t="s">
        <v>2020</v>
      </c>
      <c r="D168" s="1365">
        <v>45980</v>
      </c>
      <c r="E168" s="1365">
        <v>45980</v>
      </c>
      <c r="F168" s="1365">
        <v>45980</v>
      </c>
      <c r="G168" s="1365">
        <v>45980</v>
      </c>
      <c r="H168" s="1365">
        <f>'[6]TSÚ-Sběrný dvůr 3722-36'!$B$17</f>
        <v>45980</v>
      </c>
      <c r="I168" s="1366"/>
      <c r="J168" s="663"/>
      <c r="K168" s="743"/>
      <c r="L168" s="855"/>
    </row>
    <row r="169" spans="1:12" x14ac:dyDescent="0.25">
      <c r="A169" s="1379" t="s">
        <v>215</v>
      </c>
      <c r="B169" s="1380">
        <v>5169</v>
      </c>
      <c r="C169" s="1377"/>
      <c r="D169" s="1386">
        <v>160000</v>
      </c>
      <c r="E169" s="1386"/>
      <c r="F169" s="1386"/>
      <c r="G169" s="1386"/>
      <c r="H169" s="1378"/>
      <c r="I169" s="1361"/>
      <c r="J169" s="663"/>
      <c r="K169" s="743"/>
      <c r="L169" s="855"/>
    </row>
    <row r="170" spans="1:12" ht="20.25" customHeight="1" thickBot="1" x14ac:dyDescent="0.3">
      <c r="A170" s="1368"/>
      <c r="B170" s="1369"/>
      <c r="C170" s="1358" t="s">
        <v>595</v>
      </c>
      <c r="D170" s="1359">
        <f>SUM(D166:D169)</f>
        <v>2865980</v>
      </c>
      <c r="E170" s="1359">
        <v>2045980</v>
      </c>
      <c r="F170" s="1359">
        <v>2045980</v>
      </c>
      <c r="G170" s="1359">
        <v>2124980</v>
      </c>
      <c r="H170" s="1359">
        <f>SUM(H166:H169)</f>
        <v>1124980</v>
      </c>
      <c r="I170" s="1360"/>
      <c r="J170" s="667">
        <f>'Výdaje kapitol celkem'!DH34</f>
        <v>1124980</v>
      </c>
      <c r="K170" s="743">
        <f>+J170-H170</f>
        <v>0</v>
      </c>
      <c r="L170" s="855"/>
    </row>
    <row r="171" spans="1:12" ht="20.25" customHeight="1" outlineLevel="1" x14ac:dyDescent="0.25">
      <c r="A171" s="1346">
        <v>3114</v>
      </c>
      <c r="B171" s="1347">
        <v>5169</v>
      </c>
      <c r="C171" s="1348" t="s">
        <v>1180</v>
      </c>
      <c r="D171" s="1349">
        <v>0</v>
      </c>
      <c r="E171" s="1349">
        <v>20000</v>
      </c>
      <c r="F171" s="1349">
        <v>20000</v>
      </c>
      <c r="G171" s="1349">
        <v>20000</v>
      </c>
      <c r="H171" s="1349">
        <f>[3]č.p.65!$B$26</f>
        <v>20000</v>
      </c>
      <c r="I171" s="1350"/>
      <c r="J171" s="663"/>
      <c r="K171" s="743"/>
      <c r="L171" s="855"/>
    </row>
    <row r="172" spans="1:12" ht="20.25" hidden="1" customHeight="1" outlineLevel="1" x14ac:dyDescent="0.25">
      <c r="A172" s="1363">
        <v>3114</v>
      </c>
      <c r="B172" s="1367">
        <v>5169</v>
      </c>
      <c r="C172" s="1364">
        <v>0</v>
      </c>
      <c r="D172" s="1365">
        <v>0</v>
      </c>
      <c r="E172" s="1365"/>
      <c r="F172" s="1365"/>
      <c r="G172" s="1365"/>
      <c r="H172" s="1365"/>
      <c r="I172" s="1370"/>
      <c r="J172" s="663"/>
      <c r="K172" s="743"/>
      <c r="L172" s="855"/>
    </row>
    <row r="173" spans="1:12" ht="20.25" customHeight="1" outlineLevel="1" x14ac:dyDescent="0.25">
      <c r="A173" s="1363">
        <v>3114</v>
      </c>
      <c r="B173" s="1367">
        <v>5169</v>
      </c>
      <c r="C173" s="1364" t="s">
        <v>602</v>
      </c>
      <c r="D173" s="1365">
        <v>10000</v>
      </c>
      <c r="E173" s="1365">
        <v>10000</v>
      </c>
      <c r="F173" s="1365">
        <v>10000</v>
      </c>
      <c r="G173" s="1365">
        <v>10000</v>
      </c>
      <c r="H173" s="1365">
        <f>'[4]Č.p. 65'!$B$5</f>
        <v>10000</v>
      </c>
      <c r="I173" s="1370"/>
      <c r="J173" s="663"/>
      <c r="K173" s="743"/>
      <c r="L173" s="855"/>
    </row>
    <row r="174" spans="1:12" ht="20.25" customHeight="1" outlineLevel="1" x14ac:dyDescent="0.25">
      <c r="A174" s="1379">
        <v>3114</v>
      </c>
      <c r="B174" s="1380">
        <v>5169</v>
      </c>
      <c r="C174" s="1377" t="s">
        <v>1181</v>
      </c>
      <c r="D174" s="1378">
        <v>6000</v>
      </c>
      <c r="E174" s="1378">
        <v>6000</v>
      </c>
      <c r="F174" s="1378">
        <v>6000</v>
      </c>
      <c r="G174" s="1378">
        <v>6000</v>
      </c>
      <c r="H174" s="1378">
        <f>'[4]Č.p. 65'!$B$6</f>
        <v>6000</v>
      </c>
      <c r="I174" s="1370"/>
      <c r="J174" s="663"/>
      <c r="K174" s="743"/>
      <c r="L174" s="855"/>
    </row>
    <row r="175" spans="1:12" ht="20.25" customHeight="1" thickBot="1" x14ac:dyDescent="0.3">
      <c r="A175" s="1368"/>
      <c r="B175" s="1369"/>
      <c r="C175" s="1358" t="s">
        <v>248</v>
      </c>
      <c r="D175" s="1359">
        <f>SUM(D171:D174)</f>
        <v>16000</v>
      </c>
      <c r="E175" s="1359">
        <v>36000</v>
      </c>
      <c r="F175" s="1359">
        <v>36000</v>
      </c>
      <c r="G175" s="1359">
        <v>36000</v>
      </c>
      <c r="H175" s="1359">
        <f>SUM(H171:H174)</f>
        <v>36000</v>
      </c>
      <c r="I175" s="1360"/>
      <c r="J175" s="667">
        <f>'Výdaje kapitol celkem'!AV34</f>
        <v>36000</v>
      </c>
      <c r="K175" s="743">
        <f>+J175-H175</f>
        <v>0</v>
      </c>
      <c r="L175" s="855"/>
    </row>
    <row r="176" spans="1:12" ht="20.25" hidden="1" customHeight="1" outlineLevel="1" x14ac:dyDescent="0.25">
      <c r="A176" s="1379" t="s">
        <v>234</v>
      </c>
      <c r="B176" s="1380">
        <v>5169</v>
      </c>
      <c r="C176" s="1377" t="s">
        <v>299</v>
      </c>
      <c r="D176" s="1378"/>
      <c r="E176" s="1378"/>
      <c r="F176" s="1378"/>
      <c r="G176" s="1378"/>
      <c r="H176" s="1378"/>
      <c r="I176" s="1355"/>
      <c r="J176" s="663"/>
      <c r="K176" s="743"/>
      <c r="L176" s="855"/>
    </row>
    <row r="177" spans="1:12" ht="20.25" hidden="1" customHeight="1" outlineLevel="1" x14ac:dyDescent="0.25">
      <c r="A177" s="1363" t="s">
        <v>234</v>
      </c>
      <c r="B177" s="1367">
        <v>5169</v>
      </c>
      <c r="C177" s="1364"/>
      <c r="D177" s="1365"/>
      <c r="E177" s="1365"/>
      <c r="F177" s="1365"/>
      <c r="G177" s="1365"/>
      <c r="H177" s="1365"/>
      <c r="I177" s="1366"/>
      <c r="J177" s="663"/>
      <c r="K177" s="743"/>
      <c r="L177" s="855"/>
    </row>
    <row r="178" spans="1:12" ht="20.25" hidden="1" customHeight="1" outlineLevel="1" x14ac:dyDescent="0.25">
      <c r="A178" s="1351" t="s">
        <v>234</v>
      </c>
      <c r="B178" s="1352">
        <v>5169</v>
      </c>
      <c r="C178" s="1353"/>
      <c r="D178" s="1362"/>
      <c r="E178" s="1362"/>
      <c r="F178" s="1362"/>
      <c r="G178" s="1362"/>
      <c r="H178" s="1362"/>
      <c r="I178" s="1361"/>
      <c r="J178" s="663"/>
      <c r="K178" s="743"/>
      <c r="L178" s="855"/>
    </row>
    <row r="179" spans="1:12" ht="20.25" customHeight="1" collapsed="1" thickBot="1" x14ac:dyDescent="0.3">
      <c r="A179" s="1382"/>
      <c r="B179" s="1383"/>
      <c r="C179" s="1389" t="s">
        <v>251</v>
      </c>
      <c r="D179" s="1385">
        <v>0</v>
      </c>
      <c r="E179" s="1385">
        <v>0</v>
      </c>
      <c r="F179" s="1385">
        <v>0</v>
      </c>
      <c r="G179" s="1385">
        <v>0</v>
      </c>
      <c r="H179" s="1385">
        <f>SUM(H176:H178)</f>
        <v>0</v>
      </c>
      <c r="I179" s="1370"/>
      <c r="J179" s="667">
        <f>'Výdaje kapitol celkem'!BZ34</f>
        <v>0</v>
      </c>
      <c r="K179" s="743">
        <f>+J179-H179</f>
        <v>0</v>
      </c>
      <c r="L179" s="855"/>
    </row>
    <row r="180" spans="1:12" s="652" customFormat="1" ht="17.25" thickBot="1" x14ac:dyDescent="0.35">
      <c r="A180" s="2319" t="s">
        <v>596</v>
      </c>
      <c r="B180" s="2320"/>
      <c r="C180" s="2321"/>
      <c r="D180" s="1372">
        <f>+D7+D10+D20+D23+D26+D29+D32+D35+D37+D44+D47+D50+D53+D58+D61+D65+D69+D75+D80+D83+D86+D89+D93+D96+D99+D102+D108+D114+D117+D120+D126+D130+D134+D137+D140+D145+D148+D152+D156+D170+D175+D179+D162+D14+D165</f>
        <v>16676923</v>
      </c>
      <c r="E180" s="1372">
        <v>16592612</v>
      </c>
      <c r="F180" s="1372">
        <v>16706912</v>
      </c>
      <c r="G180" s="1372">
        <v>15785912</v>
      </c>
      <c r="H180" s="1372">
        <f>+H7+H10+H20+H23+H26+H29+H32+H35+H37+H44+H47+H50+H53+H58+H61+H65+H69+H75+H80+H83+H86+H89+H93+H96+H99+H102+H108+H114+H117+H120+H126+H130+H134+H137+H140+H145+H148+H152+H156+H170+H175+H179+H162+H14+H165+H159</f>
        <v>15609612</v>
      </c>
      <c r="I180" s="1373"/>
      <c r="J180" s="667"/>
      <c r="K180" s="702"/>
      <c r="L180" s="855"/>
    </row>
    <row r="181" spans="1:12" x14ac:dyDescent="0.25">
      <c r="A181" s="446"/>
      <c r="B181" s="446"/>
      <c r="C181" s="446"/>
      <c r="D181" s="527">
        <f>'Výdaje kapitol celkem'!D34</f>
        <v>17553923</v>
      </c>
      <c r="E181" s="527">
        <v>16592612</v>
      </c>
      <c r="F181" s="527">
        <v>16706912</v>
      </c>
      <c r="G181" s="527">
        <v>15785912</v>
      </c>
      <c r="H181" s="527">
        <f>'Výdaje kapitol celkem'!H34</f>
        <v>15609612</v>
      </c>
      <c r="I181" s="656"/>
      <c r="J181" s="663"/>
      <c r="K181" s="1400"/>
    </row>
    <row r="182" spans="1:12" s="768" customFormat="1" x14ac:dyDescent="0.25">
      <c r="A182" s="517"/>
      <c r="B182" s="517"/>
      <c r="C182" s="517" t="s">
        <v>253</v>
      </c>
      <c r="D182" s="656">
        <f>+D180-D181</f>
        <v>-877000</v>
      </c>
      <c r="E182" s="656">
        <v>0</v>
      </c>
      <c r="F182" s="656">
        <v>0</v>
      </c>
      <c r="G182" s="656">
        <v>0</v>
      </c>
      <c r="H182" s="656">
        <f>+H180-H181</f>
        <v>0</v>
      </c>
      <c r="I182" s="656"/>
      <c r="J182" s="663"/>
      <c r="K182" s="1400"/>
    </row>
    <row r="183" spans="1:12" x14ac:dyDescent="0.25">
      <c r="A183" s="1319" t="s">
        <v>650</v>
      </c>
      <c r="B183" s="446"/>
      <c r="C183" s="446"/>
      <c r="D183" s="527"/>
      <c r="E183" s="527"/>
      <c r="F183" s="527"/>
      <c r="G183" s="527"/>
      <c r="H183" s="527"/>
      <c r="I183" s="656"/>
      <c r="J183" s="663"/>
      <c r="K183" s="1400"/>
    </row>
  </sheetData>
  <sheetProtection algorithmName="SHA-512" hashValue="SbK/Ejl5ecFMUG3V9rGsr4mGHE0h/+9V+CkaVdxSP/OsHB6zPljE6OIeXIQI2JVo9ypwf3OpWdyuZD7bLrTdAg==" saltValue="umLAKN1sPL2KzguDSnSReQ==" spinCount="100000" sheet="1" objects="1" scenarios="1"/>
  <mergeCells count="2">
    <mergeCell ref="A2:C2"/>
    <mergeCell ref="A180:C180"/>
  </mergeCells>
  <pageMargins left="0.51181102362204722" right="0.51181102362204722" top="0.19685039370078741" bottom="0.19685039370078741" header="0.31496062992125984" footer="0.31496062992125984"/>
  <pageSetup paperSize="9" scale="58" fitToHeight="3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L139"/>
  <sheetViews>
    <sheetView zoomScale="83" zoomScaleNormal="83" workbookViewId="0">
      <pane xSplit="7" ySplit="4" topLeftCell="H121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ColWidth="9.140625" defaultRowHeight="13.5" outlineLevelRow="1" x14ac:dyDescent="0.25"/>
  <cols>
    <col min="1" max="2" width="9.7109375" style="759" customWidth="1"/>
    <col min="3" max="3" width="77" style="759" customWidth="1"/>
    <col min="4" max="4" width="15.7109375" style="762" hidden="1" customWidth="1"/>
    <col min="5" max="7" width="12.85546875" style="762" hidden="1" customWidth="1"/>
    <col min="8" max="8" width="14.140625" style="762" bestFit="1" customWidth="1"/>
    <col min="9" max="9" width="15.5703125" style="763" customWidth="1"/>
    <col min="10" max="10" width="11.5703125" style="1402" bestFit="1" customWidth="1"/>
    <col min="11" max="11" width="10.42578125" style="993" bestFit="1" customWidth="1"/>
    <col min="12" max="16384" width="9.140625" style="759"/>
  </cols>
  <sheetData>
    <row r="1" spans="1:12" s="780" customFormat="1" ht="24" customHeight="1" x14ac:dyDescent="0.3">
      <c r="A1" s="445" t="s">
        <v>1955</v>
      </c>
      <c r="B1" s="445"/>
      <c r="C1" s="1391"/>
      <c r="D1" s="1392"/>
      <c r="E1" s="1392"/>
      <c r="F1" s="1392"/>
      <c r="G1" s="1392"/>
      <c r="H1" s="1392"/>
      <c r="I1" s="1393"/>
      <c r="J1" s="1394"/>
      <c r="K1" s="1395"/>
    </row>
    <row r="2" spans="1:12" s="1336" customFormat="1" ht="20.25" customHeight="1" x14ac:dyDescent="0.3">
      <c r="A2" s="2322" t="s">
        <v>651</v>
      </c>
      <c r="B2" s="2322"/>
      <c r="C2" s="2323"/>
      <c r="D2" s="1396"/>
      <c r="E2" s="1396"/>
      <c r="F2" s="1396"/>
      <c r="G2" s="1396"/>
      <c r="H2" s="1396"/>
      <c r="I2" s="1397"/>
      <c r="J2" s="1398"/>
      <c r="K2" s="1399"/>
    </row>
    <row r="3" spans="1:12" ht="14.25" thickBot="1" x14ac:dyDescent="0.3">
      <c r="A3" s="446"/>
      <c r="B3" s="446"/>
      <c r="C3" s="446"/>
      <c r="D3" s="527"/>
      <c r="E3" s="527"/>
      <c r="F3" s="527"/>
      <c r="G3" s="527"/>
      <c r="H3" s="527"/>
      <c r="I3" s="656"/>
      <c r="J3" s="663"/>
      <c r="K3" s="1400"/>
    </row>
    <row r="4" spans="1:12" ht="27.75" thickBot="1" x14ac:dyDescent="0.3">
      <c r="A4" s="1341" t="s">
        <v>1</v>
      </c>
      <c r="B4" s="1342" t="s">
        <v>90</v>
      </c>
      <c r="C4" s="1343" t="s">
        <v>6</v>
      </c>
      <c r="D4" s="1344" t="s">
        <v>1701</v>
      </c>
      <c r="E4" s="1344" t="s">
        <v>1289</v>
      </c>
      <c r="F4" s="1344" t="s">
        <v>1677</v>
      </c>
      <c r="G4" s="1344" t="s">
        <v>1748</v>
      </c>
      <c r="H4" s="1344" t="s">
        <v>1957</v>
      </c>
      <c r="I4" s="1345" t="s">
        <v>5</v>
      </c>
      <c r="J4" s="1401" t="s">
        <v>1067</v>
      </c>
      <c r="K4" s="1400" t="s">
        <v>883</v>
      </c>
    </row>
    <row r="5" spans="1:12" ht="15.75" customHeight="1" outlineLevel="1" x14ac:dyDescent="0.25">
      <c r="A5" s="1346">
        <v>6171</v>
      </c>
      <c r="B5" s="1347">
        <v>5171</v>
      </c>
      <c r="C5" s="1348" t="s">
        <v>1113</v>
      </c>
      <c r="D5" s="1349">
        <v>300000</v>
      </c>
      <c r="E5" s="1349">
        <v>300000</v>
      </c>
      <c r="F5" s="1349">
        <v>300000</v>
      </c>
      <c r="G5" s="1349">
        <v>300000</v>
      </c>
      <c r="H5" s="1349">
        <f>[3]Správa!$B$71</f>
        <v>400000</v>
      </c>
      <c r="I5" s="1350"/>
      <c r="J5" s="663"/>
      <c r="K5" s="1400"/>
    </row>
    <row r="6" spans="1:12" ht="15.75" customHeight="1" outlineLevel="1" x14ac:dyDescent="0.25">
      <c r="A6" s="1351">
        <v>6171</v>
      </c>
      <c r="B6" s="1352">
        <v>5171</v>
      </c>
      <c r="C6" s="1353" t="s">
        <v>1114</v>
      </c>
      <c r="D6" s="1354">
        <v>80000</v>
      </c>
      <c r="E6" s="1354">
        <v>30000</v>
      </c>
      <c r="F6" s="1354">
        <v>30000</v>
      </c>
      <c r="G6" s="1354">
        <v>30000</v>
      </c>
      <c r="H6" s="1354">
        <f>[3]Správa!$B$72</f>
        <v>30000</v>
      </c>
      <c r="I6" s="1355"/>
      <c r="J6" s="663"/>
      <c r="K6" s="1400"/>
    </row>
    <row r="7" spans="1:12" ht="15.75" customHeight="1" outlineLevel="1" x14ac:dyDescent="0.25">
      <c r="A7" s="1351">
        <v>6171</v>
      </c>
      <c r="B7" s="1352">
        <v>5171</v>
      </c>
      <c r="C7" s="1353" t="s">
        <v>1647</v>
      </c>
      <c r="D7" s="1354">
        <v>0</v>
      </c>
      <c r="E7" s="1354">
        <v>20000</v>
      </c>
      <c r="F7" s="1354">
        <v>20000</v>
      </c>
      <c r="G7" s="1354">
        <v>20000</v>
      </c>
      <c r="H7" s="1354">
        <f>[4]Správa!$B$12</f>
        <v>20000</v>
      </c>
      <c r="I7" s="1355"/>
      <c r="J7" s="663"/>
      <c r="K7" s="1400"/>
    </row>
    <row r="8" spans="1:12" s="991" customFormat="1" ht="16.5" customHeight="1" thickBot="1" x14ac:dyDescent="0.3">
      <c r="A8" s="1356"/>
      <c r="B8" s="1357"/>
      <c r="C8" s="1358" t="s">
        <v>249</v>
      </c>
      <c r="D8" s="1359">
        <f>SUM(D5:D7)</f>
        <v>380000</v>
      </c>
      <c r="E8" s="1359">
        <v>350000</v>
      </c>
      <c r="F8" s="1359">
        <v>350000</v>
      </c>
      <c r="G8" s="1359">
        <v>350000</v>
      </c>
      <c r="H8" s="1359">
        <f>SUM(H5:H7)</f>
        <v>450000</v>
      </c>
      <c r="I8" s="1360"/>
      <c r="J8" s="667">
        <f>'Výdaje kapitol celkem'!O35</f>
        <v>450000</v>
      </c>
      <c r="K8" s="743">
        <f>+J8-H8</f>
        <v>0</v>
      </c>
      <c r="L8" s="855"/>
    </row>
    <row r="9" spans="1:12" ht="15.75" customHeight="1" outlineLevel="1" x14ac:dyDescent="0.25">
      <c r="A9" s="1346">
        <v>4351</v>
      </c>
      <c r="B9" s="1347">
        <v>5171</v>
      </c>
      <c r="C9" s="1348" t="s">
        <v>1115</v>
      </c>
      <c r="D9" s="1349">
        <v>50000</v>
      </c>
      <c r="E9" s="1349">
        <v>40000</v>
      </c>
      <c r="F9" s="1349">
        <v>40000</v>
      </c>
      <c r="G9" s="1349">
        <v>40000</v>
      </c>
      <c r="H9" s="1349">
        <f>'[3]Pečovatelská služba'!$B$60</f>
        <v>40000</v>
      </c>
      <c r="I9" s="1350"/>
      <c r="J9" s="663"/>
      <c r="K9" s="743"/>
      <c r="L9" s="855"/>
    </row>
    <row r="10" spans="1:12" ht="15.75" customHeight="1" outlineLevel="1" x14ac:dyDescent="0.25">
      <c r="A10" s="1351">
        <v>4351</v>
      </c>
      <c r="B10" s="1352">
        <v>5171</v>
      </c>
      <c r="C10" s="1353" t="s">
        <v>1116</v>
      </c>
      <c r="D10" s="1354">
        <v>20000</v>
      </c>
      <c r="E10" s="1354">
        <v>20000</v>
      </c>
      <c r="F10" s="1354">
        <v>20000</v>
      </c>
      <c r="G10" s="1354">
        <v>20000</v>
      </c>
      <c r="H10" s="1354">
        <f>'[3]Pečovatelská služba'!$B$61</f>
        <v>20000</v>
      </c>
      <c r="I10" s="1355"/>
      <c r="J10" s="663"/>
      <c r="K10" s="743"/>
      <c r="L10" s="855"/>
    </row>
    <row r="11" spans="1:12" ht="15.75" customHeight="1" outlineLevel="1" x14ac:dyDescent="0.25">
      <c r="A11" s="1351">
        <v>4351</v>
      </c>
      <c r="B11" s="1352">
        <v>5171</v>
      </c>
      <c r="C11" s="1353"/>
      <c r="D11" s="1362"/>
      <c r="E11" s="1362"/>
      <c r="F11" s="1362"/>
      <c r="G11" s="1362"/>
      <c r="H11" s="1362"/>
      <c r="I11" s="1361"/>
      <c r="J11" s="663"/>
      <c r="K11" s="743"/>
      <c r="L11" s="855"/>
    </row>
    <row r="12" spans="1:12" s="991" customFormat="1" ht="16.5" customHeight="1" thickBot="1" x14ac:dyDescent="0.3">
      <c r="A12" s="1356"/>
      <c r="B12" s="1357"/>
      <c r="C12" s="1358" t="s">
        <v>250</v>
      </c>
      <c r="D12" s="1359">
        <f>SUM(D9:D11)</f>
        <v>70000</v>
      </c>
      <c r="E12" s="1359">
        <v>60000</v>
      </c>
      <c r="F12" s="1359">
        <v>60000</v>
      </c>
      <c r="G12" s="1359">
        <v>60000</v>
      </c>
      <c r="H12" s="1359">
        <f>SUM(H9:H11)</f>
        <v>60000</v>
      </c>
      <c r="I12" s="1360"/>
      <c r="J12" s="667">
        <f>'Výdaje kapitol celkem'!T35</f>
        <v>60000</v>
      </c>
      <c r="K12" s="743">
        <f>+J12-H12</f>
        <v>0</v>
      </c>
      <c r="L12" s="855"/>
    </row>
    <row r="13" spans="1:12" ht="15.75" customHeight="1" outlineLevel="1" x14ac:dyDescent="0.25">
      <c r="A13" s="1346" t="s">
        <v>233</v>
      </c>
      <c r="B13" s="1347">
        <v>5171</v>
      </c>
      <c r="C13" s="1348" t="s">
        <v>1117</v>
      </c>
      <c r="D13" s="1349">
        <v>55000</v>
      </c>
      <c r="E13" s="1349">
        <v>75000</v>
      </c>
      <c r="F13" s="1349">
        <v>75000</v>
      </c>
      <c r="G13" s="1349">
        <v>75000</v>
      </c>
      <c r="H13" s="1349">
        <f>'[3]Městská policie'!$B$85</f>
        <v>100000</v>
      </c>
      <c r="I13" s="1350"/>
      <c r="J13" s="663"/>
      <c r="K13" s="743"/>
      <c r="L13" s="855"/>
    </row>
    <row r="14" spans="1:12" ht="15.75" customHeight="1" outlineLevel="1" x14ac:dyDescent="0.25">
      <c r="A14" s="1351" t="s">
        <v>233</v>
      </c>
      <c r="B14" s="1352">
        <v>5171</v>
      </c>
      <c r="C14" s="1353">
        <v>0</v>
      </c>
      <c r="D14" s="1362">
        <v>0</v>
      </c>
      <c r="E14" s="1362">
        <v>0</v>
      </c>
      <c r="F14" s="1362">
        <v>0</v>
      </c>
      <c r="G14" s="1362">
        <v>0</v>
      </c>
      <c r="H14" s="1362">
        <f>'[3]Městská policie'!$B$86</f>
        <v>0</v>
      </c>
      <c r="I14" s="1361"/>
      <c r="J14" s="663"/>
      <c r="K14" s="743"/>
      <c r="L14" s="855"/>
    </row>
    <row r="15" spans="1:12" s="991" customFormat="1" ht="16.5" customHeight="1" thickBot="1" x14ac:dyDescent="0.3">
      <c r="A15" s="1356"/>
      <c r="B15" s="1357"/>
      <c r="C15" s="1358" t="s">
        <v>296</v>
      </c>
      <c r="D15" s="1359">
        <f>SUM(D13:D14)</f>
        <v>55000</v>
      </c>
      <c r="E15" s="1359">
        <v>75000</v>
      </c>
      <c r="F15" s="1359">
        <v>75000</v>
      </c>
      <c r="G15" s="1359">
        <v>75000</v>
      </c>
      <c r="H15" s="1359">
        <f>SUM(H13:H14)</f>
        <v>100000</v>
      </c>
      <c r="I15" s="1360"/>
      <c r="J15" s="667">
        <f>'Výdaje kapitol celkem'!V35</f>
        <v>100000</v>
      </c>
      <c r="K15" s="743">
        <f>+J15-H15</f>
        <v>0</v>
      </c>
      <c r="L15" s="855"/>
    </row>
    <row r="16" spans="1:12" ht="15.75" customHeight="1" outlineLevel="1" x14ac:dyDescent="0.25">
      <c r="A16" s="1346">
        <v>3314</v>
      </c>
      <c r="B16" s="1347">
        <v>5171</v>
      </c>
      <c r="C16" s="1348" t="s">
        <v>2001</v>
      </c>
      <c r="D16" s="1349">
        <v>0</v>
      </c>
      <c r="E16" s="1349">
        <v>15000</v>
      </c>
      <c r="F16" s="1349">
        <v>15000</v>
      </c>
      <c r="G16" s="1349">
        <v>15000</v>
      </c>
      <c r="H16" s="1349">
        <f>[3]Knihovna!$B$62</f>
        <v>15000</v>
      </c>
      <c r="I16" s="1350"/>
      <c r="J16" s="663"/>
      <c r="K16" s="743"/>
      <c r="L16" s="855"/>
    </row>
    <row r="17" spans="1:12" ht="15.75" customHeight="1" outlineLevel="1" x14ac:dyDescent="0.25">
      <c r="A17" s="1351">
        <v>3314</v>
      </c>
      <c r="B17" s="1352">
        <v>5171</v>
      </c>
      <c r="C17" s="1353">
        <v>0</v>
      </c>
      <c r="D17" s="1362">
        <v>0</v>
      </c>
      <c r="E17" s="1362">
        <v>0</v>
      </c>
      <c r="F17" s="1362">
        <v>0</v>
      </c>
      <c r="G17" s="1362">
        <v>0</v>
      </c>
      <c r="H17" s="1354">
        <f>[3]Knihovna!$B$63</f>
        <v>0</v>
      </c>
      <c r="I17" s="1361"/>
      <c r="J17" s="663"/>
      <c r="K17" s="743"/>
      <c r="L17" s="855"/>
    </row>
    <row r="18" spans="1:12" s="991" customFormat="1" ht="16.5" customHeight="1" thickBot="1" x14ac:dyDescent="0.3">
      <c r="A18" s="1356"/>
      <c r="B18" s="1357"/>
      <c r="C18" s="1358" t="s">
        <v>226</v>
      </c>
      <c r="D18" s="1359">
        <v>0</v>
      </c>
      <c r="E18" s="1359">
        <v>15000</v>
      </c>
      <c r="F18" s="1359">
        <v>15000</v>
      </c>
      <c r="G18" s="1359">
        <v>15000</v>
      </c>
      <c r="H18" s="1359">
        <f>SUM(H16:H17)</f>
        <v>15000</v>
      </c>
      <c r="I18" s="1360"/>
      <c r="J18" s="667">
        <f>'Výdaje kapitol celkem'!X35</f>
        <v>15000</v>
      </c>
      <c r="K18" s="743">
        <f>+J18-H18</f>
        <v>0</v>
      </c>
      <c r="L18" s="855"/>
    </row>
    <row r="19" spans="1:12" ht="15.75" customHeight="1" outlineLevel="1" x14ac:dyDescent="0.25">
      <c r="A19" s="1346">
        <v>3612</v>
      </c>
      <c r="B19" s="1347">
        <v>5171</v>
      </c>
      <c r="C19" s="1348" t="s">
        <v>1979</v>
      </c>
      <c r="D19" s="1349">
        <v>80000</v>
      </c>
      <c r="E19" s="1349">
        <v>150000</v>
      </c>
      <c r="F19" s="1349">
        <v>150000</v>
      </c>
      <c r="G19" s="1349">
        <v>150000</v>
      </c>
      <c r="H19" s="1349">
        <f>[4]Byty!$B$33</f>
        <v>150000</v>
      </c>
      <c r="I19" s="1350"/>
      <c r="J19" s="663"/>
      <c r="K19" s="743"/>
      <c r="L19" s="855"/>
    </row>
    <row r="20" spans="1:12" ht="15.75" customHeight="1" outlineLevel="1" x14ac:dyDescent="0.25">
      <c r="A20" s="1351">
        <v>3612</v>
      </c>
      <c r="B20" s="1352">
        <v>5171</v>
      </c>
      <c r="C20" s="1353" t="s">
        <v>1118</v>
      </c>
      <c r="D20" s="1354">
        <v>160000</v>
      </c>
      <c r="E20" s="1354">
        <v>200000</v>
      </c>
      <c r="F20" s="1354">
        <v>200000</v>
      </c>
      <c r="G20" s="1354">
        <v>200000</v>
      </c>
      <c r="H20" s="1354">
        <f>[4]Byty!$B$34</f>
        <v>200000</v>
      </c>
      <c r="I20" s="1355"/>
      <c r="J20" s="663"/>
      <c r="K20" s="743"/>
      <c r="L20" s="855"/>
    </row>
    <row r="21" spans="1:12" ht="18" customHeight="1" outlineLevel="1" x14ac:dyDescent="0.25">
      <c r="A21" s="1363">
        <v>3612</v>
      </c>
      <c r="B21" s="1367">
        <v>5171</v>
      </c>
      <c r="C21" s="1364" t="s">
        <v>1119</v>
      </c>
      <c r="D21" s="1365">
        <v>50000</v>
      </c>
      <c r="E21" s="1365">
        <v>50000</v>
      </c>
      <c r="F21" s="1365">
        <v>50000</v>
      </c>
      <c r="G21" s="1365">
        <v>50000</v>
      </c>
      <c r="H21" s="1365">
        <f>[4]Byty!$B$35</f>
        <v>50000</v>
      </c>
      <c r="I21" s="1366"/>
      <c r="J21" s="663"/>
      <c r="K21" s="743"/>
      <c r="L21" s="855"/>
    </row>
    <row r="22" spans="1:12" ht="18" customHeight="1" outlineLevel="1" x14ac:dyDescent="0.25">
      <c r="A22" s="1363">
        <v>3612</v>
      </c>
      <c r="B22" s="1367">
        <v>5171</v>
      </c>
      <c r="C22" s="1364" t="s">
        <v>1120</v>
      </c>
      <c r="D22" s="1365">
        <v>50000</v>
      </c>
      <c r="E22" s="1365">
        <v>150000</v>
      </c>
      <c r="F22" s="1365">
        <v>150000</v>
      </c>
      <c r="G22" s="1365">
        <v>150000</v>
      </c>
      <c r="H22" s="1365">
        <f>[4]Byty!$B$36</f>
        <v>150000</v>
      </c>
      <c r="I22" s="1366"/>
      <c r="J22" s="663"/>
      <c r="K22" s="743"/>
      <c r="L22" s="855"/>
    </row>
    <row r="23" spans="1:12" ht="18" customHeight="1" outlineLevel="1" x14ac:dyDescent="0.25">
      <c r="A23" s="1363"/>
      <c r="B23" s="1367"/>
      <c r="C23" s="1364" t="s">
        <v>1121</v>
      </c>
      <c r="D23" s="1365">
        <v>60000</v>
      </c>
      <c r="E23" s="1365"/>
      <c r="F23" s="1365"/>
      <c r="G23" s="1365"/>
      <c r="H23" s="1365">
        <f>[4]Byty!$B$37</f>
        <v>300000</v>
      </c>
      <c r="I23" s="1366"/>
      <c r="J23" s="663"/>
      <c r="K23" s="743"/>
      <c r="L23" s="855"/>
    </row>
    <row r="24" spans="1:12" ht="22.5" customHeight="1" outlineLevel="1" x14ac:dyDescent="0.25">
      <c r="A24" s="1363">
        <v>3612</v>
      </c>
      <c r="B24" s="1367">
        <v>5171</v>
      </c>
      <c r="C24" s="1364"/>
      <c r="D24" s="1365">
        <v>500000</v>
      </c>
      <c r="E24" s="1365">
        <v>300000</v>
      </c>
      <c r="F24" s="1365">
        <v>300000</v>
      </c>
      <c r="G24" s="1365">
        <v>300000</v>
      </c>
      <c r="H24" s="1365">
        <f>[4]Byty!$B$38</f>
        <v>0</v>
      </c>
      <c r="I24" s="1366"/>
      <c r="J24" s="663"/>
      <c r="K24" s="743"/>
      <c r="L24" s="855"/>
    </row>
    <row r="25" spans="1:12" s="991" customFormat="1" ht="16.5" customHeight="1" thickBot="1" x14ac:dyDescent="0.3">
      <c r="A25" s="1356"/>
      <c r="B25" s="1357"/>
      <c r="C25" s="1358" t="s">
        <v>236</v>
      </c>
      <c r="D25" s="1359">
        <f>SUM(D19:D24)</f>
        <v>900000</v>
      </c>
      <c r="E25" s="1359">
        <v>850000</v>
      </c>
      <c r="F25" s="1359">
        <v>850000</v>
      </c>
      <c r="G25" s="1359">
        <v>850000</v>
      </c>
      <c r="H25" s="1359">
        <f>SUM(H19:H24)</f>
        <v>850000</v>
      </c>
      <c r="I25" s="1360"/>
      <c r="J25" s="667">
        <f>'Výdaje kapitol celkem'!AA35</f>
        <v>850000</v>
      </c>
      <c r="K25" s="743">
        <f>+J25-H25</f>
        <v>0</v>
      </c>
      <c r="L25" s="855"/>
    </row>
    <row r="26" spans="1:12" ht="16.5" customHeight="1" outlineLevel="1" x14ac:dyDescent="0.25">
      <c r="A26" s="1363" t="s">
        <v>235</v>
      </c>
      <c r="B26" s="1367">
        <v>5171</v>
      </c>
      <c r="C26" s="1364" t="s">
        <v>1122</v>
      </c>
      <c r="D26" s="1365">
        <v>180000</v>
      </c>
      <c r="E26" s="1365">
        <v>300000</v>
      </c>
      <c r="F26" s="1365">
        <v>300000</v>
      </c>
      <c r="G26" s="1365">
        <v>300000</v>
      </c>
      <c r="H26" s="1365">
        <f>[4]DPS!$B$34</f>
        <v>300000</v>
      </c>
      <c r="I26" s="1366"/>
      <c r="J26" s="663"/>
      <c r="K26" s="743"/>
      <c r="L26" s="855"/>
    </row>
    <row r="27" spans="1:12" ht="16.5" customHeight="1" outlineLevel="1" x14ac:dyDescent="0.25">
      <c r="A27" s="1363" t="s">
        <v>235</v>
      </c>
      <c r="B27" s="1367">
        <v>5171</v>
      </c>
      <c r="C27" s="1364" t="s">
        <v>1123</v>
      </c>
      <c r="D27" s="1365">
        <v>40000</v>
      </c>
      <c r="E27" s="1365">
        <v>40000</v>
      </c>
      <c r="F27" s="1365">
        <v>40000</v>
      </c>
      <c r="G27" s="1365">
        <v>40000</v>
      </c>
      <c r="H27" s="1365">
        <f>[4]DPS!$B$35</f>
        <v>40000</v>
      </c>
      <c r="I27" s="1366"/>
      <c r="J27" s="663"/>
      <c r="K27" s="743"/>
      <c r="L27" s="855"/>
    </row>
    <row r="28" spans="1:12" ht="26.25" customHeight="1" outlineLevel="1" x14ac:dyDescent="0.25">
      <c r="A28" s="1363" t="s">
        <v>235</v>
      </c>
      <c r="B28" s="1367">
        <v>5171</v>
      </c>
      <c r="C28" s="1364" t="s">
        <v>1124</v>
      </c>
      <c r="D28" s="1365">
        <v>0</v>
      </c>
      <c r="E28" s="1365">
        <v>0</v>
      </c>
      <c r="F28" s="1365">
        <v>0</v>
      </c>
      <c r="G28" s="1365">
        <v>0</v>
      </c>
      <c r="H28" s="1365">
        <f>[4]DPS!$B$36</f>
        <v>0</v>
      </c>
      <c r="I28" s="1366"/>
      <c r="J28" s="663"/>
      <c r="K28" s="743"/>
      <c r="L28" s="855"/>
    </row>
    <row r="29" spans="1:12" ht="16.5" customHeight="1" outlineLevel="1" x14ac:dyDescent="0.25">
      <c r="A29" s="1363" t="s">
        <v>235</v>
      </c>
      <c r="B29" s="1367">
        <v>5171</v>
      </c>
      <c r="C29" s="1364" t="s">
        <v>1125</v>
      </c>
      <c r="D29" s="1365">
        <v>120000</v>
      </c>
      <c r="E29" s="1365">
        <v>120000</v>
      </c>
      <c r="F29" s="1365">
        <v>120000</v>
      </c>
      <c r="G29" s="1365">
        <v>120000</v>
      </c>
      <c r="H29" s="1365">
        <f>[4]DPS!$B$37</f>
        <v>120000</v>
      </c>
      <c r="I29" s="1366"/>
      <c r="J29" s="663"/>
      <c r="K29" s="743"/>
      <c r="L29" s="855"/>
    </row>
    <row r="30" spans="1:12" ht="16.5" customHeight="1" thickBot="1" x14ac:dyDescent="0.3">
      <c r="A30" s="1368"/>
      <c r="B30" s="1369"/>
      <c r="C30" s="1358" t="s">
        <v>237</v>
      </c>
      <c r="D30" s="1359">
        <f>SUM(D26:D29)</f>
        <v>340000</v>
      </c>
      <c r="E30" s="1359">
        <v>460000</v>
      </c>
      <c r="F30" s="1359">
        <v>460000</v>
      </c>
      <c r="G30" s="1359">
        <v>460000</v>
      </c>
      <c r="H30" s="1359">
        <f>SUM(H26:H29)</f>
        <v>460000</v>
      </c>
      <c r="I30" s="1360"/>
      <c r="J30" s="667">
        <f>'Výdaje kapitol celkem'!AD35</f>
        <v>460000</v>
      </c>
      <c r="K30" s="743">
        <f>+J30-H30</f>
        <v>0</v>
      </c>
      <c r="L30" s="855"/>
    </row>
    <row r="31" spans="1:12" ht="27" outlineLevel="1" x14ac:dyDescent="0.25">
      <c r="A31" s="1351">
        <v>3613</v>
      </c>
      <c r="B31" s="1352">
        <v>5171</v>
      </c>
      <c r="C31" s="1353" t="s">
        <v>1126</v>
      </c>
      <c r="D31" s="1354">
        <v>150000</v>
      </c>
      <c r="E31" s="1354">
        <v>150000</v>
      </c>
      <c r="F31" s="1354">
        <v>150000</v>
      </c>
      <c r="G31" s="1354">
        <v>150000</v>
      </c>
      <c r="H31" s="1354">
        <f>[4]Nebyty!$B$12</f>
        <v>150000</v>
      </c>
      <c r="I31" s="1355"/>
      <c r="J31" s="663"/>
      <c r="K31" s="743"/>
      <c r="L31" s="855"/>
    </row>
    <row r="32" spans="1:12" ht="16.5" customHeight="1" outlineLevel="1" x14ac:dyDescent="0.25">
      <c r="A32" s="1363">
        <v>3613</v>
      </c>
      <c r="B32" s="1367">
        <v>5171</v>
      </c>
      <c r="C32" s="1364" t="s">
        <v>1980</v>
      </c>
      <c r="D32" s="1365">
        <v>90000</v>
      </c>
      <c r="E32" s="1365">
        <v>90000</v>
      </c>
      <c r="F32" s="1365">
        <v>90000</v>
      </c>
      <c r="G32" s="1365">
        <v>90000</v>
      </c>
      <c r="H32" s="1365">
        <f>[4]Nebyty!$B$13</f>
        <v>100000</v>
      </c>
      <c r="I32" s="1366"/>
      <c r="J32" s="663"/>
      <c r="K32" s="743"/>
      <c r="L32" s="855"/>
    </row>
    <row r="33" spans="1:12" ht="16.5" customHeight="1" outlineLevel="1" x14ac:dyDescent="0.25">
      <c r="A33" s="1363">
        <v>3613</v>
      </c>
      <c r="B33" s="1367">
        <v>5171</v>
      </c>
      <c r="C33" s="1384" t="s">
        <v>1981</v>
      </c>
      <c r="D33" s="1387">
        <v>100000</v>
      </c>
      <c r="E33" s="1387">
        <v>100000</v>
      </c>
      <c r="F33" s="1387">
        <v>100000</v>
      </c>
      <c r="G33" s="1387">
        <v>100000</v>
      </c>
      <c r="H33" s="1387">
        <f>[4]Nebyty!$B$14</f>
        <v>0</v>
      </c>
      <c r="I33" s="1403"/>
      <c r="J33" s="663"/>
      <c r="K33" s="743"/>
      <c r="L33" s="855"/>
    </row>
    <row r="34" spans="1:12" ht="16.5" customHeight="1" thickBot="1" x14ac:dyDescent="0.3">
      <c r="A34" s="1368"/>
      <c r="B34" s="1369"/>
      <c r="C34" s="1358" t="s">
        <v>238</v>
      </c>
      <c r="D34" s="1359">
        <v>340000</v>
      </c>
      <c r="E34" s="1359">
        <v>340000</v>
      </c>
      <c r="F34" s="1359">
        <v>340000</v>
      </c>
      <c r="G34" s="1359">
        <v>340000</v>
      </c>
      <c r="H34" s="1359">
        <f>SUM(H31:H33)</f>
        <v>250000</v>
      </c>
      <c r="I34" s="1360"/>
      <c r="J34" s="667">
        <f>'Výdaje kapitol celkem'!AG35</f>
        <v>250000</v>
      </c>
      <c r="K34" s="743">
        <f>+J34-H34</f>
        <v>0</v>
      </c>
      <c r="L34" s="855"/>
    </row>
    <row r="35" spans="1:12" ht="20.25" customHeight="1" outlineLevel="1" x14ac:dyDescent="0.25">
      <c r="A35" s="1351">
        <v>5512</v>
      </c>
      <c r="B35" s="1352">
        <v>5171</v>
      </c>
      <c r="C35" s="1353" t="s">
        <v>1127</v>
      </c>
      <c r="D35" s="1354">
        <v>100000</v>
      </c>
      <c r="E35" s="1354"/>
      <c r="F35" s="1354"/>
      <c r="G35" s="1354"/>
      <c r="H35" s="1354"/>
      <c r="I35" s="1355"/>
      <c r="J35" s="663"/>
      <c r="K35" s="743"/>
      <c r="L35" s="855"/>
    </row>
    <row r="36" spans="1:12" ht="20.25" customHeight="1" outlineLevel="1" x14ac:dyDescent="0.25">
      <c r="A36" s="1363">
        <v>5512</v>
      </c>
      <c r="B36" s="1367">
        <v>5171</v>
      </c>
      <c r="C36" s="1364" t="s">
        <v>1651</v>
      </c>
      <c r="D36" s="1365">
        <v>141000</v>
      </c>
      <c r="E36" s="1365">
        <v>35000</v>
      </c>
      <c r="F36" s="1365">
        <v>35000</v>
      </c>
      <c r="G36" s="1365">
        <v>35000</v>
      </c>
      <c r="H36" s="1365">
        <f>[4]Hasiči!$B$26</f>
        <v>35000</v>
      </c>
      <c r="I36" s="1355"/>
      <c r="J36" s="663"/>
      <c r="K36" s="743"/>
      <c r="L36" s="855"/>
    </row>
    <row r="37" spans="1:12" ht="20.25" customHeight="1" outlineLevel="1" x14ac:dyDescent="0.25">
      <c r="A37" s="1363">
        <v>5512</v>
      </c>
      <c r="B37" s="1367">
        <v>5171</v>
      </c>
      <c r="C37" s="1364" t="s">
        <v>232</v>
      </c>
      <c r="D37" s="1365">
        <v>100000</v>
      </c>
      <c r="E37" s="1365">
        <v>65000</v>
      </c>
      <c r="F37" s="1365">
        <v>65000</v>
      </c>
      <c r="G37" s="1365">
        <v>65000</v>
      </c>
      <c r="H37" s="1365">
        <f>[4]Hasiči!$B$27</f>
        <v>65000</v>
      </c>
      <c r="I37" s="1355"/>
      <c r="J37" s="663"/>
      <c r="K37" s="743"/>
      <c r="L37" s="855"/>
    </row>
    <row r="38" spans="1:12" ht="20.25" customHeight="1" outlineLevel="1" x14ac:dyDescent="0.25">
      <c r="A38" s="1363">
        <v>5512</v>
      </c>
      <c r="B38" s="1367">
        <v>5171</v>
      </c>
      <c r="C38" s="1364" t="s">
        <v>2014</v>
      </c>
      <c r="D38" s="1365"/>
      <c r="E38" s="1365">
        <v>60000</v>
      </c>
      <c r="F38" s="1365">
        <v>60000</v>
      </c>
      <c r="G38" s="1365">
        <v>60000</v>
      </c>
      <c r="H38" s="1365">
        <f>[3]Hasiči!$B$63</f>
        <v>60000</v>
      </c>
      <c r="I38" s="1355"/>
      <c r="J38" s="663"/>
      <c r="K38" s="743"/>
      <c r="L38" s="855"/>
    </row>
    <row r="39" spans="1:12" ht="20.25" customHeight="1" outlineLevel="1" x14ac:dyDescent="0.25">
      <c r="A39" s="1363">
        <v>5512</v>
      </c>
      <c r="B39" s="1367">
        <v>5171</v>
      </c>
      <c r="C39" s="1364" t="s">
        <v>2001</v>
      </c>
      <c r="D39" s="1365">
        <v>0</v>
      </c>
      <c r="E39" s="1365">
        <v>40000</v>
      </c>
      <c r="F39" s="1365">
        <v>40000</v>
      </c>
      <c r="G39" s="1365">
        <v>40000</v>
      </c>
      <c r="H39" s="1365">
        <f>[3]Hasiči!$B$64</f>
        <v>40000</v>
      </c>
      <c r="I39" s="1366"/>
      <c r="J39" s="663"/>
      <c r="K39" s="743"/>
      <c r="L39" s="855"/>
    </row>
    <row r="40" spans="1:12" ht="20.25" customHeight="1" thickBot="1" x14ac:dyDescent="0.3">
      <c r="A40" s="1368"/>
      <c r="B40" s="1369"/>
      <c r="C40" s="1358" t="s">
        <v>239</v>
      </c>
      <c r="D40" s="1359">
        <f>SUM(D35:D39)</f>
        <v>341000</v>
      </c>
      <c r="E40" s="1359">
        <v>200000</v>
      </c>
      <c r="F40" s="1359">
        <v>200000</v>
      </c>
      <c r="G40" s="1359">
        <v>200000</v>
      </c>
      <c r="H40" s="1359">
        <f>SUM(H35:H39)</f>
        <v>200000</v>
      </c>
      <c r="I40" s="1360"/>
      <c r="J40" s="667">
        <f>'Výdaje kapitol celkem'!AJ35</f>
        <v>200000</v>
      </c>
      <c r="K40" s="743">
        <f>+J40-H40</f>
        <v>0</v>
      </c>
      <c r="L40" s="855"/>
    </row>
    <row r="41" spans="1:12" ht="20.25" customHeight="1" outlineLevel="1" x14ac:dyDescent="0.25">
      <c r="A41" s="1351">
        <v>3519</v>
      </c>
      <c r="B41" s="1352">
        <v>5171</v>
      </c>
      <c r="C41" s="1353" t="s">
        <v>1128</v>
      </c>
      <c r="D41" s="1354">
        <v>100000</v>
      </c>
      <c r="E41" s="1354">
        <v>100000</v>
      </c>
      <c r="F41" s="1354">
        <v>100000</v>
      </c>
      <c r="G41" s="1354">
        <v>100000</v>
      </c>
      <c r="H41" s="1354">
        <f>'[4]Zdrav. středisko'!$B$12</f>
        <v>100000</v>
      </c>
      <c r="I41" s="1355"/>
      <c r="J41" s="663"/>
      <c r="K41" s="743"/>
      <c r="L41" s="855"/>
    </row>
    <row r="42" spans="1:12" ht="20.25" customHeight="1" outlineLevel="1" x14ac:dyDescent="0.25">
      <c r="A42" s="1363">
        <v>3519</v>
      </c>
      <c r="B42" s="1367">
        <v>5171</v>
      </c>
      <c r="C42" s="1364" t="s">
        <v>1129</v>
      </c>
      <c r="D42" s="1365">
        <v>70000</v>
      </c>
      <c r="E42" s="1365">
        <v>100000</v>
      </c>
      <c r="F42" s="1365">
        <v>100000</v>
      </c>
      <c r="G42" s="1365">
        <v>100000</v>
      </c>
      <c r="H42" s="1365">
        <f>'[4]Zdrav. středisko'!$B$13</f>
        <v>100000</v>
      </c>
      <c r="I42" s="1366"/>
      <c r="J42" s="663"/>
      <c r="K42" s="743"/>
      <c r="L42" s="855"/>
    </row>
    <row r="43" spans="1:12" ht="20.25" customHeight="1" collapsed="1" thickBot="1" x14ac:dyDescent="0.3">
      <c r="A43" s="1368"/>
      <c r="B43" s="1369"/>
      <c r="C43" s="1358" t="s">
        <v>240</v>
      </c>
      <c r="D43" s="1359">
        <v>170000</v>
      </c>
      <c r="E43" s="1359">
        <v>200000</v>
      </c>
      <c r="F43" s="1359">
        <v>200000</v>
      </c>
      <c r="G43" s="1359">
        <v>200000</v>
      </c>
      <c r="H43" s="1359">
        <f>SUM(H41:H42)</f>
        <v>200000</v>
      </c>
      <c r="I43" s="1360"/>
      <c r="J43" s="667">
        <f>'Výdaje kapitol celkem'!AK35</f>
        <v>200000</v>
      </c>
      <c r="K43" s="743">
        <f>+J43-H43</f>
        <v>0</v>
      </c>
      <c r="L43" s="855"/>
    </row>
    <row r="44" spans="1:12" ht="20.25" hidden="1" customHeight="1" outlineLevel="1" x14ac:dyDescent="0.25">
      <c r="A44" s="1351">
        <v>3632</v>
      </c>
      <c r="B44" s="1352">
        <v>5171</v>
      </c>
      <c r="C44" s="1353" t="s">
        <v>926</v>
      </c>
      <c r="D44" s="1354">
        <v>10000</v>
      </c>
      <c r="E44" s="1354">
        <v>10000</v>
      </c>
      <c r="F44" s="1354">
        <v>10000</v>
      </c>
      <c r="G44" s="1354">
        <v>10000</v>
      </c>
      <c r="H44" s="1354">
        <f>[4]Tesko!$B$12</f>
        <v>0</v>
      </c>
      <c r="I44" s="1355"/>
      <c r="J44" s="663"/>
      <c r="K44" s="743"/>
      <c r="L44" s="855"/>
    </row>
    <row r="45" spans="1:12" ht="20.25" hidden="1" customHeight="1" outlineLevel="1" x14ac:dyDescent="0.25">
      <c r="A45" s="1351"/>
      <c r="B45" s="1352"/>
      <c r="C45" s="1353">
        <v>0</v>
      </c>
      <c r="D45" s="1362">
        <v>0</v>
      </c>
      <c r="E45" s="1354">
        <v>0</v>
      </c>
      <c r="F45" s="1354">
        <v>0</v>
      </c>
      <c r="G45" s="1354">
        <v>0</v>
      </c>
      <c r="H45" s="1354">
        <f>[4]Tesko!$B$13</f>
        <v>0</v>
      </c>
      <c r="I45" s="1355"/>
      <c r="J45" s="663"/>
      <c r="K45" s="743"/>
      <c r="L45" s="855"/>
    </row>
    <row r="46" spans="1:12" ht="20.25" customHeight="1" thickBot="1" x14ac:dyDescent="0.3">
      <c r="A46" s="1368"/>
      <c r="B46" s="1369"/>
      <c r="C46" s="1358" t="s">
        <v>174</v>
      </c>
      <c r="D46" s="1359">
        <v>10000</v>
      </c>
      <c r="E46" s="1359">
        <v>10000</v>
      </c>
      <c r="F46" s="1359">
        <v>10000</v>
      </c>
      <c r="G46" s="1359">
        <v>10000</v>
      </c>
      <c r="H46" s="1359">
        <f>SUM(H44:H45)</f>
        <v>0</v>
      </c>
      <c r="I46" s="1360"/>
      <c r="J46" s="667">
        <f>'Výdaje kapitol celkem'!AL35</f>
        <v>0</v>
      </c>
      <c r="K46" s="743">
        <f>+J46-H46</f>
        <v>0</v>
      </c>
      <c r="L46" s="855"/>
    </row>
    <row r="47" spans="1:12" ht="20.25" customHeight="1" outlineLevel="1" x14ac:dyDescent="0.25">
      <c r="A47" s="1351">
        <v>3632</v>
      </c>
      <c r="B47" s="1352">
        <v>5171</v>
      </c>
      <c r="C47" s="1353" t="s">
        <v>1133</v>
      </c>
      <c r="D47" s="1354">
        <v>50000</v>
      </c>
      <c r="E47" s="1354">
        <v>100000</v>
      </c>
      <c r="F47" s="1354">
        <v>100000</v>
      </c>
      <c r="G47" s="1354">
        <v>100000</v>
      </c>
      <c r="H47" s="1354">
        <f>[4]Hřbitov!$B$26</f>
        <v>100000</v>
      </c>
      <c r="I47" s="1355"/>
      <c r="J47" s="663"/>
      <c r="K47" s="743"/>
      <c r="L47" s="855"/>
    </row>
    <row r="48" spans="1:12" ht="20.25" customHeight="1" outlineLevel="1" x14ac:dyDescent="0.25">
      <c r="A48" s="1351"/>
      <c r="B48" s="1352"/>
      <c r="C48" s="1353">
        <v>0</v>
      </c>
      <c r="D48" s="1362">
        <v>0</v>
      </c>
      <c r="E48" s="1354">
        <v>0</v>
      </c>
      <c r="F48" s="1354">
        <v>0</v>
      </c>
      <c r="G48" s="1354">
        <v>0</v>
      </c>
      <c r="H48" s="1354">
        <f>[4]Hřbitov!$B$27</f>
        <v>0</v>
      </c>
      <c r="I48" s="1355"/>
      <c r="J48" s="663"/>
      <c r="K48" s="743"/>
      <c r="L48" s="855"/>
    </row>
    <row r="49" spans="1:12" ht="20.25" customHeight="1" thickBot="1" x14ac:dyDescent="0.3">
      <c r="A49" s="1368"/>
      <c r="B49" s="1369"/>
      <c r="C49" s="1358" t="s">
        <v>297</v>
      </c>
      <c r="D49" s="1359">
        <v>50000</v>
      </c>
      <c r="E49" s="1359">
        <v>100000</v>
      </c>
      <c r="F49" s="1359">
        <v>100000</v>
      </c>
      <c r="G49" s="1359">
        <v>100000</v>
      </c>
      <c r="H49" s="1359">
        <f>SUM(H47:H48)</f>
        <v>100000</v>
      </c>
      <c r="I49" s="1360"/>
      <c r="J49" s="667">
        <f>'Výdaje kapitol celkem'!AM35</f>
        <v>100000</v>
      </c>
      <c r="K49" s="743">
        <f>+J49-H49</f>
        <v>0</v>
      </c>
      <c r="L49" s="855"/>
    </row>
    <row r="50" spans="1:12" ht="18" customHeight="1" outlineLevel="1" x14ac:dyDescent="0.25">
      <c r="A50" s="1351">
        <v>3412</v>
      </c>
      <c r="B50" s="1352">
        <v>5171</v>
      </c>
      <c r="C50" s="1353" t="s">
        <v>1064</v>
      </c>
      <c r="D50" s="1354">
        <v>150000</v>
      </c>
      <c r="E50" s="1354">
        <v>150000</v>
      </c>
      <c r="F50" s="1354">
        <v>150000</v>
      </c>
      <c r="G50" s="1354">
        <v>150000</v>
      </c>
      <c r="H50" s="1354">
        <f>'[4]Sportovní zařízen+koup'!$B$25</f>
        <v>150000</v>
      </c>
      <c r="I50" s="1355"/>
      <c r="J50" s="663"/>
      <c r="K50" s="743"/>
      <c r="L50" s="855"/>
    </row>
    <row r="51" spans="1:12" ht="18" customHeight="1" outlineLevel="1" x14ac:dyDescent="0.25">
      <c r="A51" s="1363">
        <v>3412</v>
      </c>
      <c r="B51" s="1367">
        <v>5171</v>
      </c>
      <c r="C51" s="1353" t="s">
        <v>1982</v>
      </c>
      <c r="D51" s="1354">
        <v>230000</v>
      </c>
      <c r="E51" s="1354">
        <v>350000</v>
      </c>
      <c r="F51" s="1354">
        <v>350000</v>
      </c>
      <c r="G51" s="1354">
        <v>0</v>
      </c>
      <c r="H51" s="1354">
        <f>'[4]Sportovní zařízen+koup'!$B$26</f>
        <v>350000</v>
      </c>
      <c r="I51" s="1355"/>
      <c r="J51" s="663"/>
      <c r="K51" s="743"/>
      <c r="L51" s="855"/>
    </row>
    <row r="52" spans="1:12" ht="18" customHeight="1" outlineLevel="1" x14ac:dyDescent="0.25">
      <c r="A52" s="1363">
        <v>3412</v>
      </c>
      <c r="B52" s="1367">
        <v>5171</v>
      </c>
      <c r="C52" s="1353" t="s">
        <v>1983</v>
      </c>
      <c r="D52" s="1354">
        <v>122500</v>
      </c>
      <c r="E52" s="1354">
        <v>100000</v>
      </c>
      <c r="F52" s="1354">
        <v>100000</v>
      </c>
      <c r="G52" s="1354">
        <v>100000</v>
      </c>
      <c r="H52" s="1354">
        <f>'[4]Sportovní zařízen+koup'!$B$27</f>
        <v>0</v>
      </c>
      <c r="I52" s="1355"/>
      <c r="J52" s="663"/>
      <c r="K52" s="743"/>
      <c r="L52" s="855"/>
    </row>
    <row r="53" spans="1:12" ht="20.25" customHeight="1" collapsed="1" thickBot="1" x14ac:dyDescent="0.3">
      <c r="A53" s="1368">
        <v>3412</v>
      </c>
      <c r="B53" s="1369">
        <v>5171</v>
      </c>
      <c r="C53" s="1358" t="s">
        <v>588</v>
      </c>
      <c r="D53" s="1359">
        <f>SUM(D50:D52)</f>
        <v>502500</v>
      </c>
      <c r="E53" s="1359">
        <v>600000</v>
      </c>
      <c r="F53" s="1359">
        <v>600000</v>
      </c>
      <c r="G53" s="1359">
        <v>250000</v>
      </c>
      <c r="H53" s="1359">
        <f>SUM(H50:H52)</f>
        <v>500000</v>
      </c>
      <c r="I53" s="1360"/>
      <c r="J53" s="667">
        <f>'Výdaje kapitol celkem'!AP35</f>
        <v>500000</v>
      </c>
      <c r="K53" s="743">
        <f>+J53-H53</f>
        <v>0</v>
      </c>
      <c r="L53" s="855"/>
    </row>
    <row r="54" spans="1:12" hidden="1" outlineLevel="1" x14ac:dyDescent="0.25">
      <c r="A54" s="1346">
        <v>3113</v>
      </c>
      <c r="B54" s="1347">
        <v>5171</v>
      </c>
      <c r="C54" s="1348" t="s">
        <v>1134</v>
      </c>
      <c r="D54" s="1349">
        <v>150000</v>
      </c>
      <c r="E54" s="1349">
        <v>0</v>
      </c>
      <c r="F54" s="1349">
        <v>0</v>
      </c>
      <c r="G54" s="1349">
        <v>0</v>
      </c>
      <c r="H54" s="1349">
        <f>[4]ZŠ!$B$14</f>
        <v>0</v>
      </c>
      <c r="I54" s="1355"/>
      <c r="J54" s="663"/>
      <c r="K54" s="743"/>
      <c r="L54" s="855"/>
    </row>
    <row r="55" spans="1:12" ht="20.25" hidden="1" customHeight="1" outlineLevel="1" x14ac:dyDescent="0.25">
      <c r="A55" s="1382">
        <v>3113</v>
      </c>
      <c r="B55" s="1383">
        <v>5171</v>
      </c>
      <c r="C55" s="1384" t="s">
        <v>1135</v>
      </c>
      <c r="D55" s="1387">
        <v>99921</v>
      </c>
      <c r="E55" s="1387">
        <v>0</v>
      </c>
      <c r="F55" s="1387">
        <v>0</v>
      </c>
      <c r="G55" s="1387">
        <v>0</v>
      </c>
      <c r="H55" s="1387">
        <f>[4]ZŠ!$B$15</f>
        <v>0</v>
      </c>
      <c r="I55" s="1366"/>
      <c r="J55" s="663"/>
      <c r="K55" s="743"/>
      <c r="L55" s="855"/>
    </row>
    <row r="56" spans="1:12" ht="20.25" customHeight="1" thickBot="1" x14ac:dyDescent="0.3">
      <c r="A56" s="1368"/>
      <c r="B56" s="1369"/>
      <c r="C56" s="1358" t="s">
        <v>241</v>
      </c>
      <c r="D56" s="1359">
        <v>249921</v>
      </c>
      <c r="E56" s="1359">
        <v>0</v>
      </c>
      <c r="F56" s="1359">
        <v>0</v>
      </c>
      <c r="G56" s="1359">
        <v>0</v>
      </c>
      <c r="H56" s="1359">
        <f>SUM(H54:H55)</f>
        <v>0</v>
      </c>
      <c r="I56" s="1360"/>
      <c r="J56" s="667">
        <f>'Výdaje kapitol celkem'!AS35</f>
        <v>0</v>
      </c>
      <c r="K56" s="743">
        <f>+J56-H56</f>
        <v>0</v>
      </c>
      <c r="L56" s="855"/>
    </row>
    <row r="57" spans="1:12" ht="26.25" customHeight="1" outlineLevel="1" x14ac:dyDescent="0.25">
      <c r="A57" s="1346">
        <v>3114</v>
      </c>
      <c r="B57" s="1347">
        <v>5171</v>
      </c>
      <c r="C57" s="1348" t="s">
        <v>1131</v>
      </c>
      <c r="D57" s="1349">
        <v>200000</v>
      </c>
      <c r="E57" s="1349"/>
      <c r="F57" s="1349"/>
      <c r="G57" s="1349"/>
      <c r="H57" s="1349"/>
      <c r="I57" s="1350"/>
      <c r="J57" s="663"/>
      <c r="K57" s="743"/>
      <c r="L57" s="855"/>
    </row>
    <row r="58" spans="1:12" ht="26.25" customHeight="1" outlineLevel="1" x14ac:dyDescent="0.25">
      <c r="A58" s="1382">
        <v>3114</v>
      </c>
      <c r="B58" s="1383">
        <v>5171</v>
      </c>
      <c r="C58" s="1364" t="s">
        <v>1654</v>
      </c>
      <c r="D58" s="1365"/>
      <c r="E58" s="1365">
        <v>50000</v>
      </c>
      <c r="F58" s="1365">
        <v>50000</v>
      </c>
      <c r="G58" s="1365">
        <v>50000</v>
      </c>
      <c r="H58" s="1365">
        <f>[4]MDDM!$B$12</f>
        <v>50000</v>
      </c>
      <c r="I58" s="1366"/>
      <c r="J58" s="663"/>
      <c r="K58" s="743"/>
      <c r="L58" s="855"/>
    </row>
    <row r="59" spans="1:12" ht="26.25" customHeight="1" outlineLevel="1" x14ac:dyDescent="0.25">
      <c r="A59" s="1382">
        <v>3114</v>
      </c>
      <c r="B59" s="1383">
        <v>5171</v>
      </c>
      <c r="C59" s="1377" t="s">
        <v>232</v>
      </c>
      <c r="D59" s="1378"/>
      <c r="E59" s="1378">
        <v>150000</v>
      </c>
      <c r="F59" s="1378">
        <v>150000</v>
      </c>
      <c r="G59" s="1378">
        <v>150000</v>
      </c>
      <c r="H59" s="1378">
        <f>[4]MDDM!$B$13</f>
        <v>100000</v>
      </c>
      <c r="I59" s="1366"/>
      <c r="J59" s="663"/>
      <c r="K59" s="743"/>
      <c r="L59" s="855"/>
    </row>
    <row r="60" spans="1:12" ht="20.25" customHeight="1" outlineLevel="1" x14ac:dyDescent="0.25">
      <c r="A60" s="1382">
        <v>3114</v>
      </c>
      <c r="B60" s="1383">
        <v>5171</v>
      </c>
      <c r="C60" s="1384" t="s">
        <v>1132</v>
      </c>
      <c r="D60" s="1387">
        <v>20000</v>
      </c>
      <c r="E60" s="1387"/>
      <c r="F60" s="1387"/>
      <c r="G60" s="1387"/>
      <c r="H60" s="1387"/>
      <c r="I60" s="1366"/>
      <c r="J60" s="663"/>
      <c r="K60" s="743"/>
      <c r="L60" s="855"/>
    </row>
    <row r="61" spans="1:12" ht="20.25" customHeight="1" thickBot="1" x14ac:dyDescent="0.3">
      <c r="A61" s="1368"/>
      <c r="B61" s="1369"/>
      <c r="C61" s="1358" t="s">
        <v>242</v>
      </c>
      <c r="D61" s="1359">
        <v>220000</v>
      </c>
      <c r="E61" s="1359">
        <v>200000</v>
      </c>
      <c r="F61" s="1359">
        <v>200000</v>
      </c>
      <c r="G61" s="1359">
        <v>200000</v>
      </c>
      <c r="H61" s="1359">
        <f>SUM(H57:H60)</f>
        <v>150000</v>
      </c>
      <c r="I61" s="1360"/>
      <c r="J61" s="667">
        <f>'Výdaje kapitol celkem'!AY35</f>
        <v>150000</v>
      </c>
      <c r="K61" s="743">
        <f>+J61-H61</f>
        <v>0</v>
      </c>
      <c r="L61" s="855"/>
    </row>
    <row r="62" spans="1:12" ht="20.25" customHeight="1" outlineLevel="1" x14ac:dyDescent="0.25">
      <c r="A62" s="1346" t="s">
        <v>227</v>
      </c>
      <c r="B62" s="1347">
        <v>5171</v>
      </c>
      <c r="C62" s="1348" t="s">
        <v>1130</v>
      </c>
      <c r="D62" s="1349">
        <v>100000</v>
      </c>
      <c r="E62" s="1349"/>
      <c r="F62" s="1349"/>
      <c r="G62" s="1349"/>
      <c r="H62" s="1349"/>
      <c r="I62" s="1350"/>
      <c r="J62" s="663"/>
      <c r="K62" s="743"/>
      <c r="L62" s="855"/>
    </row>
    <row r="63" spans="1:12" ht="20.25" customHeight="1" outlineLevel="1" x14ac:dyDescent="0.25">
      <c r="A63" s="1363" t="s">
        <v>227</v>
      </c>
      <c r="B63" s="1367">
        <v>5171</v>
      </c>
      <c r="C63" s="1353" t="s">
        <v>1656</v>
      </c>
      <c r="D63" s="1354"/>
      <c r="E63" s="1354">
        <v>100000</v>
      </c>
      <c r="F63" s="1354">
        <v>100000</v>
      </c>
      <c r="G63" s="1354">
        <v>0</v>
      </c>
      <c r="H63" s="1354">
        <f>'[4]MŠ Kollárova'!$B$12</f>
        <v>100000</v>
      </c>
      <c r="I63" s="1355"/>
      <c r="J63" s="663"/>
      <c r="K63" s="743"/>
      <c r="L63" s="855"/>
    </row>
    <row r="64" spans="1:12" ht="20.25" customHeight="1" outlineLevel="1" x14ac:dyDescent="0.25">
      <c r="A64" s="1363" t="s">
        <v>227</v>
      </c>
      <c r="B64" s="1367">
        <v>5171</v>
      </c>
      <c r="C64" s="1353" t="s">
        <v>1657</v>
      </c>
      <c r="D64" s="1354"/>
      <c r="E64" s="1354">
        <v>150000</v>
      </c>
      <c r="F64" s="1354">
        <v>150000</v>
      </c>
      <c r="G64" s="1354">
        <v>0</v>
      </c>
      <c r="H64" s="1354">
        <f>'[4]MŠ Kollárova'!$B$13</f>
        <v>150000</v>
      </c>
      <c r="I64" s="1355"/>
      <c r="J64" s="663"/>
      <c r="K64" s="743"/>
      <c r="L64" s="855"/>
    </row>
    <row r="65" spans="1:12" ht="20.25" customHeight="1" outlineLevel="1" x14ac:dyDescent="0.25">
      <c r="A65" s="1363" t="s">
        <v>227</v>
      </c>
      <c r="B65" s="1367">
        <v>5171</v>
      </c>
      <c r="C65" s="1364" t="s">
        <v>1985</v>
      </c>
      <c r="D65" s="1365">
        <v>50000</v>
      </c>
      <c r="E65" s="1365"/>
      <c r="F65" s="1365"/>
      <c r="G65" s="1365"/>
      <c r="H65" s="1365">
        <f>'[4]MŠ Kollárova'!$B$14</f>
        <v>126000</v>
      </c>
      <c r="I65" s="1366"/>
      <c r="J65" s="663"/>
      <c r="K65" s="743"/>
      <c r="L65" s="855"/>
    </row>
    <row r="66" spans="1:12" ht="20.25" customHeight="1" outlineLevel="1" x14ac:dyDescent="0.25">
      <c r="A66" s="1363" t="s">
        <v>227</v>
      </c>
      <c r="B66" s="1367">
        <v>5171</v>
      </c>
      <c r="C66" s="1364" t="s">
        <v>1658</v>
      </c>
      <c r="D66" s="1365">
        <v>0</v>
      </c>
      <c r="E66" s="1365">
        <v>0</v>
      </c>
      <c r="F66" s="1365">
        <v>0</v>
      </c>
      <c r="G66" s="1365">
        <v>0</v>
      </c>
      <c r="H66" s="1365">
        <f>'[4]MŠ Kollárova'!$B$15</f>
        <v>80000</v>
      </c>
      <c r="I66" s="1366"/>
      <c r="J66" s="663"/>
      <c r="K66" s="743"/>
      <c r="L66" s="855"/>
    </row>
    <row r="67" spans="1:12" ht="20.25" customHeight="1" outlineLevel="1" x14ac:dyDescent="0.25">
      <c r="A67" s="1363" t="s">
        <v>227</v>
      </c>
      <c r="B67" s="1367">
        <v>5171</v>
      </c>
      <c r="C67" s="1377" t="s">
        <v>1986</v>
      </c>
      <c r="D67" s="1378">
        <v>0</v>
      </c>
      <c r="E67" s="1378">
        <v>80000</v>
      </c>
      <c r="F67" s="1378">
        <v>80000</v>
      </c>
      <c r="G67" s="1378">
        <v>80000</v>
      </c>
      <c r="H67" s="1378">
        <f>'[4]MŠ Kollárova'!$B$16</f>
        <v>520000</v>
      </c>
      <c r="I67" s="1355"/>
      <c r="J67" s="663"/>
      <c r="K67" s="743"/>
      <c r="L67" s="855"/>
    </row>
    <row r="68" spans="1:12" ht="20.25" customHeight="1" outlineLevel="1" x14ac:dyDescent="0.25">
      <c r="A68" s="1382" t="s">
        <v>227</v>
      </c>
      <c r="B68" s="1383">
        <v>5171</v>
      </c>
      <c r="C68" s="1384" t="s">
        <v>232</v>
      </c>
      <c r="D68" s="1387">
        <v>20000</v>
      </c>
      <c r="E68" s="1387">
        <v>20000</v>
      </c>
      <c r="F68" s="1387">
        <v>20000</v>
      </c>
      <c r="G68" s="1387">
        <v>20000</v>
      </c>
      <c r="H68" s="1387"/>
      <c r="I68" s="1366"/>
      <c r="J68" s="663"/>
      <c r="K68" s="743"/>
      <c r="L68" s="855"/>
    </row>
    <row r="69" spans="1:12" ht="20.25" customHeight="1" x14ac:dyDescent="0.25">
      <c r="A69" s="1382" t="s">
        <v>227</v>
      </c>
      <c r="B69" s="1383">
        <v>5171</v>
      </c>
      <c r="C69" s="1384"/>
      <c r="D69" s="1385"/>
      <c r="E69" s="1385"/>
      <c r="F69" s="1385"/>
      <c r="G69" s="1385"/>
      <c r="H69" s="1385"/>
      <c r="I69" s="1366"/>
      <c r="J69" s="663"/>
      <c r="K69" s="743"/>
      <c r="L69" s="855"/>
    </row>
    <row r="70" spans="1:12" ht="20.25" customHeight="1" thickBot="1" x14ac:dyDescent="0.3">
      <c r="A70" s="1368"/>
      <c r="B70" s="1369"/>
      <c r="C70" s="1358" t="s">
        <v>243</v>
      </c>
      <c r="D70" s="1359">
        <v>170000</v>
      </c>
      <c r="E70" s="1359">
        <v>350000</v>
      </c>
      <c r="F70" s="1359">
        <v>350000</v>
      </c>
      <c r="G70" s="1359">
        <v>100000</v>
      </c>
      <c r="H70" s="1359">
        <f>SUM(H62:H69)</f>
        <v>976000</v>
      </c>
      <c r="I70" s="1360"/>
      <c r="J70" s="667">
        <f>'Výdaje kapitol celkem'!BE35</f>
        <v>976000</v>
      </c>
      <c r="K70" s="743">
        <f>+J70-H70</f>
        <v>0</v>
      </c>
      <c r="L70" s="855"/>
    </row>
    <row r="71" spans="1:12" ht="20.25" customHeight="1" outlineLevel="1" x14ac:dyDescent="0.25">
      <c r="A71" s="1346" t="s">
        <v>228</v>
      </c>
      <c r="B71" s="1347">
        <v>5171</v>
      </c>
      <c r="C71" s="1348" t="s">
        <v>1984</v>
      </c>
      <c r="D71" s="1349">
        <v>20000</v>
      </c>
      <c r="E71" s="1349">
        <v>40000</v>
      </c>
      <c r="F71" s="1349">
        <v>40000</v>
      </c>
      <c r="G71" s="1349">
        <v>40000</v>
      </c>
      <c r="H71" s="1349">
        <f>'[4]MŠ Pražská'!$B$19</f>
        <v>40000</v>
      </c>
      <c r="I71" s="1350"/>
      <c r="J71" s="663"/>
      <c r="K71" s="743"/>
      <c r="L71" s="855"/>
    </row>
    <row r="72" spans="1:12" ht="20.25" customHeight="1" outlineLevel="1" x14ac:dyDescent="0.25">
      <c r="A72" s="1379" t="s">
        <v>228</v>
      </c>
      <c r="B72" s="1380">
        <v>5171</v>
      </c>
      <c r="C72" s="1377" t="s">
        <v>1655</v>
      </c>
      <c r="D72" s="1378"/>
      <c r="E72" s="1378">
        <v>20000</v>
      </c>
      <c r="F72" s="1378">
        <v>20000</v>
      </c>
      <c r="G72" s="1378">
        <v>20000</v>
      </c>
      <c r="H72" s="1378">
        <f>'[4]MŠ Pražská'!$B$20</f>
        <v>20000</v>
      </c>
      <c r="I72" s="1355"/>
      <c r="J72" s="663"/>
      <c r="K72" s="743"/>
      <c r="L72" s="855"/>
    </row>
    <row r="73" spans="1:12" ht="20.25" customHeight="1" outlineLevel="1" x14ac:dyDescent="0.25">
      <c r="A73" s="1382" t="s">
        <v>228</v>
      </c>
      <c r="B73" s="1383">
        <v>5171</v>
      </c>
      <c r="C73" s="1384"/>
      <c r="D73" s="1387">
        <v>80000</v>
      </c>
      <c r="E73" s="1387"/>
      <c r="F73" s="1387"/>
      <c r="G73" s="1387"/>
      <c r="H73" s="1387"/>
      <c r="I73" s="1366"/>
      <c r="J73" s="663"/>
      <c r="K73" s="743"/>
      <c r="L73" s="855"/>
    </row>
    <row r="74" spans="1:12" ht="20.25" customHeight="1" thickBot="1" x14ac:dyDescent="0.3">
      <c r="A74" s="1368"/>
      <c r="B74" s="1369"/>
      <c r="C74" s="1358" t="s">
        <v>244</v>
      </c>
      <c r="D74" s="1359">
        <v>100000</v>
      </c>
      <c r="E74" s="1359">
        <v>60000</v>
      </c>
      <c r="F74" s="1359">
        <v>60000</v>
      </c>
      <c r="G74" s="1359">
        <v>60000</v>
      </c>
      <c r="H74" s="1359">
        <f>SUM(H71:H73)</f>
        <v>60000</v>
      </c>
      <c r="I74" s="1360"/>
      <c r="J74" s="667">
        <f>'Výdaje kapitol celkem'!BB35</f>
        <v>60000</v>
      </c>
      <c r="K74" s="743">
        <f>+J74-H74</f>
        <v>0</v>
      </c>
      <c r="L74" s="855"/>
    </row>
    <row r="75" spans="1:12" ht="20.25" customHeight="1" outlineLevel="1" x14ac:dyDescent="0.25">
      <c r="A75" s="1346" t="s">
        <v>255</v>
      </c>
      <c r="B75" s="1347">
        <v>5171</v>
      </c>
      <c r="C75" s="1348" t="s">
        <v>943</v>
      </c>
      <c r="D75" s="1349">
        <v>80000</v>
      </c>
      <c r="E75" s="1349">
        <v>80000</v>
      </c>
      <c r="F75" s="1349">
        <v>80000</v>
      </c>
      <c r="G75" s="1349">
        <v>80000</v>
      </c>
      <c r="H75" s="1349">
        <f>'[4]MŠ Cukrovar'!$B$13</f>
        <v>80000</v>
      </c>
      <c r="I75" s="1404"/>
      <c r="J75" s="663"/>
      <c r="K75" s="743"/>
      <c r="L75" s="855"/>
    </row>
    <row r="76" spans="1:12" ht="20.25" customHeight="1" outlineLevel="1" x14ac:dyDescent="0.25">
      <c r="A76" s="1379" t="s">
        <v>255</v>
      </c>
      <c r="B76" s="1380">
        <v>5171</v>
      </c>
      <c r="C76" s="1377" t="s">
        <v>944</v>
      </c>
      <c r="D76" s="1378">
        <v>20000</v>
      </c>
      <c r="E76" s="1378">
        <v>20000</v>
      </c>
      <c r="F76" s="1378">
        <v>20000</v>
      </c>
      <c r="G76" s="1378">
        <v>20000</v>
      </c>
      <c r="H76" s="1378">
        <f>'[4]MŠ Cukrovar'!$B$14</f>
        <v>20000</v>
      </c>
      <c r="I76" s="1370"/>
      <c r="J76" s="663"/>
      <c r="K76" s="743"/>
      <c r="L76" s="855"/>
    </row>
    <row r="77" spans="1:12" ht="20.25" customHeight="1" outlineLevel="1" x14ac:dyDescent="0.25">
      <c r="A77" s="1382" t="s">
        <v>255</v>
      </c>
      <c r="B77" s="1383">
        <v>5171</v>
      </c>
      <c r="C77" s="1384" t="s">
        <v>945</v>
      </c>
      <c r="D77" s="1385">
        <v>20000</v>
      </c>
      <c r="E77" s="1387">
        <v>20000</v>
      </c>
      <c r="F77" s="1387">
        <v>20000</v>
      </c>
      <c r="G77" s="1387">
        <v>20000</v>
      </c>
      <c r="H77" s="1387">
        <f>'[4]MŠ Cukrovar'!$B$15</f>
        <v>20000</v>
      </c>
      <c r="I77" s="1361"/>
      <c r="J77" s="663"/>
      <c r="K77" s="743"/>
      <c r="L77" s="855"/>
    </row>
    <row r="78" spans="1:12" ht="20.25" customHeight="1" outlineLevel="1" x14ac:dyDescent="0.25">
      <c r="A78" s="1382" t="s">
        <v>790</v>
      </c>
      <c r="B78" s="1383">
        <v>5172</v>
      </c>
      <c r="C78" s="1384"/>
      <c r="D78" s="1385"/>
      <c r="E78" s="1387">
        <v>0</v>
      </c>
      <c r="F78" s="1387">
        <v>0</v>
      </c>
      <c r="G78" s="1387">
        <v>0</v>
      </c>
      <c r="H78" s="1387">
        <f>'[4]MŠ Cukrovar'!$B$16</f>
        <v>0</v>
      </c>
      <c r="I78" s="1361"/>
      <c r="J78" s="663"/>
      <c r="K78" s="743"/>
      <c r="L78" s="855"/>
    </row>
    <row r="79" spans="1:12" ht="20.25" customHeight="1" collapsed="1" thickBot="1" x14ac:dyDescent="0.3">
      <c r="A79" s="1368"/>
      <c r="B79" s="1369"/>
      <c r="C79" s="1358" t="s">
        <v>292</v>
      </c>
      <c r="D79" s="1359">
        <v>120000</v>
      </c>
      <c r="E79" s="1359">
        <v>120000</v>
      </c>
      <c r="F79" s="1359">
        <v>120000</v>
      </c>
      <c r="G79" s="1359">
        <v>120000</v>
      </c>
      <c r="H79" s="1359">
        <f>SUM(H75:H78)</f>
        <v>120000</v>
      </c>
      <c r="I79" s="1360"/>
      <c r="J79" s="667">
        <f>'Výdaje kapitol celkem'!BL35</f>
        <v>120000</v>
      </c>
      <c r="K79" s="743">
        <f>+J79-H79</f>
        <v>0</v>
      </c>
      <c r="L79" s="855"/>
    </row>
    <row r="80" spans="1:12" ht="20.25" hidden="1" customHeight="1" outlineLevel="1" x14ac:dyDescent="0.25">
      <c r="A80" s="1379" t="s">
        <v>229</v>
      </c>
      <c r="B80" s="1380">
        <v>5171</v>
      </c>
      <c r="C80" s="1377" t="s">
        <v>941</v>
      </c>
      <c r="D80" s="1378">
        <v>182069</v>
      </c>
      <c r="E80" s="1378">
        <v>0</v>
      </c>
      <c r="F80" s="1378">
        <v>0</v>
      </c>
      <c r="G80" s="1378">
        <v>60000</v>
      </c>
      <c r="H80" s="1378">
        <f>'[4]Jídelna ZŠ'!$B$12</f>
        <v>0</v>
      </c>
      <c r="I80" s="1355"/>
      <c r="J80" s="663"/>
      <c r="K80" s="743"/>
      <c r="L80" s="855"/>
    </row>
    <row r="81" spans="1:12" ht="20.25" hidden="1" customHeight="1" outlineLevel="1" x14ac:dyDescent="0.25">
      <c r="A81" s="1382" t="s">
        <v>229</v>
      </c>
      <c r="B81" s="1383">
        <v>5171</v>
      </c>
      <c r="C81" s="1384" t="s">
        <v>942</v>
      </c>
      <c r="D81" s="1387">
        <v>20000</v>
      </c>
      <c r="E81" s="1387">
        <v>20000</v>
      </c>
      <c r="F81" s="1387">
        <v>20000</v>
      </c>
      <c r="G81" s="1387">
        <v>20000</v>
      </c>
      <c r="H81" s="1387">
        <f>'[4]Jídelna ZŠ'!$B$13</f>
        <v>0</v>
      </c>
      <c r="I81" s="1366"/>
      <c r="J81" s="663"/>
      <c r="K81" s="743"/>
      <c r="L81" s="855"/>
    </row>
    <row r="82" spans="1:12" ht="20.25" customHeight="1" thickBot="1" x14ac:dyDescent="0.3">
      <c r="A82" s="1368"/>
      <c r="B82" s="1369"/>
      <c r="C82" s="1358" t="s">
        <v>245</v>
      </c>
      <c r="D82" s="1359">
        <v>202069</v>
      </c>
      <c r="E82" s="1359">
        <v>20000</v>
      </c>
      <c r="F82" s="1359">
        <v>20000</v>
      </c>
      <c r="G82" s="1359">
        <v>80000</v>
      </c>
      <c r="H82" s="1359">
        <f>SUM(H80:H81)</f>
        <v>0</v>
      </c>
      <c r="I82" s="1360"/>
      <c r="J82" s="667">
        <f>'Výdaje kapitol celkem'!BH35</f>
        <v>0</v>
      </c>
      <c r="K82" s="743">
        <f>+J82-H82</f>
        <v>0</v>
      </c>
      <c r="L82" s="855"/>
    </row>
    <row r="83" spans="1:12" ht="20.25" customHeight="1" outlineLevel="1" x14ac:dyDescent="0.25">
      <c r="A83" s="1379" t="s">
        <v>230</v>
      </c>
      <c r="B83" s="1380">
        <v>5171</v>
      </c>
      <c r="C83" s="1377" t="s">
        <v>1136</v>
      </c>
      <c r="D83" s="1378">
        <v>20000</v>
      </c>
      <c r="E83" s="1378">
        <v>50000</v>
      </c>
      <c r="F83" s="1378">
        <v>50000</v>
      </c>
      <c r="G83" s="1378">
        <v>50000</v>
      </c>
      <c r="H83" s="1378">
        <f>'[4]Jídelna MŠ'!$B$12</f>
        <v>50000</v>
      </c>
      <c r="I83" s="1355"/>
      <c r="J83" s="663"/>
      <c r="K83" s="743"/>
      <c r="L83" s="855"/>
    </row>
    <row r="84" spans="1:12" ht="16.5" customHeight="1" outlineLevel="1" x14ac:dyDescent="0.25">
      <c r="A84" s="1382" t="s">
        <v>230</v>
      </c>
      <c r="B84" s="1383">
        <v>5171</v>
      </c>
      <c r="C84" s="1384">
        <v>0</v>
      </c>
      <c r="D84" s="1385">
        <v>0</v>
      </c>
      <c r="E84" s="1387">
        <v>0</v>
      </c>
      <c r="F84" s="1387">
        <v>0</v>
      </c>
      <c r="G84" s="1387">
        <v>0</v>
      </c>
      <c r="H84" s="1387">
        <f>'[4]Jídelna MŠ'!$B$13</f>
        <v>0</v>
      </c>
      <c r="I84" s="1370"/>
      <c r="J84" s="663"/>
      <c r="K84" s="743"/>
      <c r="L84" s="855"/>
    </row>
    <row r="85" spans="1:12" ht="20.25" customHeight="1" thickBot="1" x14ac:dyDescent="0.3">
      <c r="A85" s="1368"/>
      <c r="B85" s="1369"/>
      <c r="C85" s="1358" t="s">
        <v>246</v>
      </c>
      <c r="D85" s="1359">
        <v>20000</v>
      </c>
      <c r="E85" s="1359">
        <v>50000</v>
      </c>
      <c r="F85" s="1359">
        <v>50000</v>
      </c>
      <c r="G85" s="1359">
        <v>50000</v>
      </c>
      <c r="H85" s="1359">
        <f>SUM(H83:H84)</f>
        <v>50000</v>
      </c>
      <c r="I85" s="1360"/>
      <c r="J85" s="667">
        <f>'Výdaje kapitol celkem'!BK35</f>
        <v>50000</v>
      </c>
      <c r="K85" s="743">
        <f>+J85-H85</f>
        <v>0</v>
      </c>
      <c r="L85" s="855"/>
    </row>
    <row r="86" spans="1:12" ht="20.25" customHeight="1" outlineLevel="1" x14ac:dyDescent="0.25">
      <c r="A86" s="1346">
        <v>3631</v>
      </c>
      <c r="B86" s="1347">
        <v>5171</v>
      </c>
      <c r="C86" s="1348" t="s">
        <v>937</v>
      </c>
      <c r="D86" s="1349">
        <v>250000</v>
      </c>
      <c r="E86" s="1349">
        <v>250000</v>
      </c>
      <c r="F86" s="1349">
        <v>250000</v>
      </c>
      <c r="G86" s="1349">
        <v>250000</v>
      </c>
      <c r="H86" s="1349">
        <f>[4]VO!$B$30</f>
        <v>250000</v>
      </c>
      <c r="I86" s="1350"/>
      <c r="J86" s="667"/>
      <c r="K86" s="743"/>
      <c r="L86" s="855"/>
    </row>
    <row r="87" spans="1:12" ht="20.25" customHeight="1" outlineLevel="1" x14ac:dyDescent="0.25">
      <c r="A87" s="1363">
        <v>3631</v>
      </c>
      <c r="B87" s="1367">
        <v>5171</v>
      </c>
      <c r="C87" s="1364" t="s">
        <v>938</v>
      </c>
      <c r="D87" s="1365">
        <v>0</v>
      </c>
      <c r="E87" s="1365">
        <v>0</v>
      </c>
      <c r="F87" s="1365">
        <v>0</v>
      </c>
      <c r="G87" s="1365">
        <v>0</v>
      </c>
      <c r="H87" s="1365">
        <f>[4]VO!$B$31</f>
        <v>0</v>
      </c>
      <c r="I87" s="1366"/>
      <c r="J87" s="667"/>
      <c r="K87" s="743"/>
      <c r="L87" s="855"/>
    </row>
    <row r="88" spans="1:12" ht="20.25" customHeight="1" outlineLevel="1" x14ac:dyDescent="0.25">
      <c r="A88" s="1363">
        <v>3631</v>
      </c>
      <c r="B88" s="1367">
        <v>5171</v>
      </c>
      <c r="C88" s="1377" t="s">
        <v>939</v>
      </c>
      <c r="D88" s="1378">
        <v>47275</v>
      </c>
      <c r="E88" s="1378">
        <v>70000</v>
      </c>
      <c r="F88" s="1378">
        <v>70000</v>
      </c>
      <c r="G88" s="1378">
        <v>70000</v>
      </c>
      <c r="H88" s="1378">
        <f>[4]VO!$B$32</f>
        <v>70000</v>
      </c>
      <c r="I88" s="1355"/>
      <c r="J88" s="667"/>
      <c r="K88" s="743"/>
      <c r="L88" s="855"/>
    </row>
    <row r="89" spans="1:12" ht="20.25" customHeight="1" outlineLevel="1" x14ac:dyDescent="0.25">
      <c r="A89" s="1379">
        <v>3631</v>
      </c>
      <c r="B89" s="1383">
        <v>5171</v>
      </c>
      <c r="C89" s="1384" t="s">
        <v>940</v>
      </c>
      <c r="D89" s="1387">
        <v>100000</v>
      </c>
      <c r="E89" s="1387">
        <v>20000</v>
      </c>
      <c r="F89" s="1387">
        <v>20000</v>
      </c>
      <c r="G89" s="1387">
        <v>20000</v>
      </c>
      <c r="H89" s="1387">
        <f>[4]VO!$B$33</f>
        <v>20000</v>
      </c>
      <c r="I89" s="1366"/>
      <c r="J89" s="667"/>
      <c r="K89" s="743"/>
      <c r="L89" s="855"/>
    </row>
    <row r="90" spans="1:12" ht="20.25" customHeight="1" thickBot="1" x14ac:dyDescent="0.3">
      <c r="A90" s="1368"/>
      <c r="B90" s="1369"/>
      <c r="C90" s="1358" t="s">
        <v>183</v>
      </c>
      <c r="D90" s="1359">
        <v>397275</v>
      </c>
      <c r="E90" s="1359">
        <v>340000</v>
      </c>
      <c r="F90" s="1359">
        <v>340000</v>
      </c>
      <c r="G90" s="1359">
        <v>340000</v>
      </c>
      <c r="H90" s="1359">
        <f>SUM(H86:H89)</f>
        <v>340000</v>
      </c>
      <c r="I90" s="1360"/>
      <c r="J90" s="667">
        <f>'Výdaje kapitol celkem'!BP35</f>
        <v>340000</v>
      </c>
      <c r="K90" s="743">
        <f>+J90-H90</f>
        <v>0</v>
      </c>
      <c r="L90" s="855"/>
    </row>
    <row r="91" spans="1:12" ht="20.25" customHeight="1" outlineLevel="1" x14ac:dyDescent="0.25">
      <c r="A91" s="1382">
        <v>2212</v>
      </c>
      <c r="B91" s="1383">
        <v>5171</v>
      </c>
      <c r="C91" s="1384" t="s">
        <v>1987</v>
      </c>
      <c r="D91" s="1387">
        <v>50000</v>
      </c>
      <c r="E91" s="1387">
        <v>100000</v>
      </c>
      <c r="F91" s="1387">
        <v>100000</v>
      </c>
      <c r="G91" s="1387">
        <v>100000</v>
      </c>
      <c r="H91" s="1387">
        <f>[4]Silnice!$B$41</f>
        <v>100000</v>
      </c>
      <c r="I91" s="1366"/>
      <c r="J91" s="663"/>
      <c r="K91" s="743"/>
      <c r="L91" s="855"/>
    </row>
    <row r="92" spans="1:12" ht="20.25" customHeight="1" outlineLevel="1" x14ac:dyDescent="0.25">
      <c r="A92" s="1382">
        <v>2212</v>
      </c>
      <c r="B92" s="1383">
        <v>5171</v>
      </c>
      <c r="C92" s="1384" t="s">
        <v>1988</v>
      </c>
      <c r="D92" s="1387">
        <v>400000</v>
      </c>
      <c r="E92" s="1387">
        <v>500000</v>
      </c>
      <c r="F92" s="1387">
        <v>500000</v>
      </c>
      <c r="G92" s="1387">
        <v>0</v>
      </c>
      <c r="H92" s="1387">
        <f>[4]Silnice!$B$42</f>
        <v>500000</v>
      </c>
      <c r="I92" s="1366"/>
      <c r="J92" s="663"/>
      <c r="K92" s="743"/>
      <c r="L92" s="855"/>
    </row>
    <row r="93" spans="1:12" ht="20.25" customHeight="1" outlineLevel="1" x14ac:dyDescent="0.25">
      <c r="A93" s="1382">
        <v>2212</v>
      </c>
      <c r="B93" s="1383">
        <v>5171</v>
      </c>
      <c r="C93" s="1384" t="s">
        <v>1665</v>
      </c>
      <c r="D93" s="1387">
        <v>600000</v>
      </c>
      <c r="E93" s="1387">
        <v>300000</v>
      </c>
      <c r="F93" s="1387">
        <v>300000</v>
      </c>
      <c r="G93" s="1387">
        <v>600000</v>
      </c>
      <c r="H93" s="1387">
        <f>[4]Silnice!$B$43</f>
        <v>700000</v>
      </c>
      <c r="I93" s="1366"/>
      <c r="J93" s="663"/>
      <c r="K93" s="743"/>
      <c r="L93" s="855"/>
    </row>
    <row r="94" spans="1:12" ht="20.25" customHeight="1" outlineLevel="1" x14ac:dyDescent="0.25">
      <c r="A94" s="1382">
        <v>2212</v>
      </c>
      <c r="B94" s="1383">
        <v>5171</v>
      </c>
      <c r="C94" s="1384" t="s">
        <v>1666</v>
      </c>
      <c r="D94" s="1387"/>
      <c r="E94" s="1387">
        <v>200000</v>
      </c>
      <c r="F94" s="1387">
        <v>200000</v>
      </c>
      <c r="G94" s="1387">
        <v>200000</v>
      </c>
      <c r="H94" s="1387">
        <f>[4]Silnice!$B$44</f>
        <v>200000</v>
      </c>
      <c r="I94" s="1366"/>
      <c r="J94" s="663"/>
      <c r="K94" s="743"/>
      <c r="L94" s="855"/>
    </row>
    <row r="95" spans="1:12" ht="20.25" customHeight="1" outlineLevel="1" x14ac:dyDescent="0.25">
      <c r="A95" s="1382">
        <v>2212</v>
      </c>
      <c r="B95" s="1383">
        <v>5171</v>
      </c>
      <c r="C95" s="1384" t="s">
        <v>1989</v>
      </c>
      <c r="D95" s="1387"/>
      <c r="E95" s="1387">
        <v>200000</v>
      </c>
      <c r="F95" s="1387">
        <v>200000</v>
      </c>
      <c r="G95" s="1387">
        <v>0</v>
      </c>
      <c r="H95" s="1387">
        <f>[4]Silnice!$B$45</f>
        <v>711480</v>
      </c>
      <c r="I95" s="1366"/>
      <c r="J95" s="663"/>
      <c r="K95" s="743"/>
      <c r="L95" s="855"/>
    </row>
    <row r="96" spans="1:12" ht="20.25" customHeight="1" outlineLevel="1" x14ac:dyDescent="0.25">
      <c r="A96" s="1382">
        <v>2212</v>
      </c>
      <c r="B96" s="1383">
        <v>5171</v>
      </c>
      <c r="C96" s="1384" t="s">
        <v>1061</v>
      </c>
      <c r="D96" s="1387">
        <v>100000</v>
      </c>
      <c r="E96" s="1387"/>
      <c r="F96" s="1387"/>
      <c r="G96" s="1387"/>
      <c r="H96" s="1387">
        <f>[4]Silnice!$B$46</f>
        <v>200000</v>
      </c>
      <c r="I96" s="1366"/>
      <c r="J96" s="663"/>
      <c r="K96" s="743"/>
      <c r="L96" s="855"/>
    </row>
    <row r="97" spans="1:12" ht="20.25" customHeight="1" outlineLevel="1" x14ac:dyDescent="0.25">
      <c r="A97" s="1382">
        <v>2212</v>
      </c>
      <c r="B97" s="1383">
        <v>5171</v>
      </c>
      <c r="C97" s="1384" t="s">
        <v>1990</v>
      </c>
      <c r="D97" s="1387">
        <v>300000</v>
      </c>
      <c r="E97" s="1387"/>
      <c r="F97" s="1387"/>
      <c r="G97" s="1387"/>
      <c r="H97" s="1387">
        <f>[4]Silnice!$B$47</f>
        <v>304000</v>
      </c>
      <c r="I97" s="1366"/>
      <c r="J97" s="663"/>
      <c r="K97" s="743"/>
      <c r="L97" s="855"/>
    </row>
    <row r="98" spans="1:12" ht="20.25" customHeight="1" outlineLevel="1" x14ac:dyDescent="0.25">
      <c r="A98" s="1382">
        <v>2212</v>
      </c>
      <c r="B98" s="1383">
        <v>5171</v>
      </c>
      <c r="C98" s="1384" t="s">
        <v>1991</v>
      </c>
      <c r="D98" s="1387">
        <v>0</v>
      </c>
      <c r="E98" s="1387"/>
      <c r="F98" s="1387"/>
      <c r="G98" s="1387"/>
      <c r="H98" s="1387">
        <f>[4]Silnice!$B$48</f>
        <v>390000</v>
      </c>
      <c r="I98" s="1366"/>
      <c r="J98" s="663"/>
      <c r="K98" s="743"/>
      <c r="L98" s="855"/>
    </row>
    <row r="99" spans="1:12" ht="20.25" customHeight="1" outlineLevel="1" x14ac:dyDescent="0.25">
      <c r="A99" s="1382">
        <v>2212</v>
      </c>
      <c r="B99" s="1383">
        <v>5171</v>
      </c>
      <c r="C99" s="1384" t="s">
        <v>1992</v>
      </c>
      <c r="D99" s="1387">
        <v>0</v>
      </c>
      <c r="E99" s="1387"/>
      <c r="F99" s="1387"/>
      <c r="G99" s="1387"/>
      <c r="H99" s="1387">
        <f>[4]Silnice!$B$49</f>
        <v>260000</v>
      </c>
      <c r="I99" s="1366"/>
      <c r="J99" s="663"/>
      <c r="K99" s="743"/>
      <c r="L99" s="855"/>
    </row>
    <row r="100" spans="1:12" outlineLevel="1" x14ac:dyDescent="0.25">
      <c r="A100" s="1382">
        <v>2212</v>
      </c>
      <c r="B100" s="1383">
        <v>5171</v>
      </c>
      <c r="C100" s="1384" t="s">
        <v>1993</v>
      </c>
      <c r="D100" s="1387">
        <v>300000</v>
      </c>
      <c r="E100" s="1387">
        <v>300000</v>
      </c>
      <c r="F100" s="1387">
        <v>300000</v>
      </c>
      <c r="G100" s="1387">
        <v>0</v>
      </c>
      <c r="H100" s="1387">
        <f>[4]Silnice!$B$50</f>
        <v>396000</v>
      </c>
      <c r="I100" s="1366"/>
      <c r="J100" s="663"/>
      <c r="K100" s="743"/>
      <c r="L100" s="855"/>
    </row>
    <row r="101" spans="1:12" ht="20.25" customHeight="1" outlineLevel="1" x14ac:dyDescent="0.25">
      <c r="A101" s="1382">
        <v>2212</v>
      </c>
      <c r="B101" s="1383">
        <v>5171</v>
      </c>
      <c r="C101" s="1384" t="s">
        <v>1994</v>
      </c>
      <c r="D101" s="1387">
        <v>100000</v>
      </c>
      <c r="E101" s="1387">
        <v>100000</v>
      </c>
      <c r="F101" s="1387">
        <v>100000</v>
      </c>
      <c r="G101" s="1387">
        <v>100000</v>
      </c>
      <c r="H101" s="1387">
        <f>[4]Silnice!$B$51</f>
        <v>250000</v>
      </c>
      <c r="I101" s="1366"/>
      <c r="J101" s="663"/>
      <c r="K101" s="743"/>
      <c r="L101" s="855"/>
    </row>
    <row r="102" spans="1:12" ht="20.25" customHeight="1" outlineLevel="1" x14ac:dyDescent="0.25">
      <c r="A102" s="1382">
        <v>2212</v>
      </c>
      <c r="B102" s="1383">
        <v>5171</v>
      </c>
      <c r="C102" s="1384" t="s">
        <v>1062</v>
      </c>
      <c r="D102" s="1387"/>
      <c r="E102" s="1387"/>
      <c r="F102" s="1387"/>
      <c r="G102" s="1387"/>
      <c r="H102" s="1387">
        <f>[4]Silnice!$B$52</f>
        <v>300000</v>
      </c>
      <c r="I102" s="1366"/>
      <c r="J102" s="663"/>
      <c r="K102" s="743"/>
      <c r="L102" s="855"/>
    </row>
    <row r="103" spans="1:12" ht="20.25" customHeight="1" outlineLevel="1" x14ac:dyDescent="0.25">
      <c r="A103" s="1382">
        <v>2212</v>
      </c>
      <c r="B103" s="1383">
        <v>5171</v>
      </c>
      <c r="C103" s="1384" t="s">
        <v>1063</v>
      </c>
      <c r="D103" s="1387"/>
      <c r="E103" s="1387"/>
      <c r="F103" s="1387"/>
      <c r="G103" s="1387"/>
      <c r="H103" s="1387">
        <f>[4]Silnice!$B$53</f>
        <v>300000</v>
      </c>
      <c r="I103" s="1366"/>
      <c r="J103" s="663"/>
      <c r="K103" s="743"/>
      <c r="L103" s="855"/>
    </row>
    <row r="104" spans="1:12" ht="20.25" customHeight="1" outlineLevel="1" x14ac:dyDescent="0.25">
      <c r="A104" s="1382"/>
      <c r="B104" s="1383"/>
      <c r="C104" s="1384"/>
      <c r="D104" s="1387"/>
      <c r="E104" s="1387"/>
      <c r="F104" s="1387"/>
      <c r="G104" s="1387"/>
      <c r="H104" s="1387"/>
      <c r="I104" s="1366"/>
      <c r="J104" s="663"/>
      <c r="K104" s="743"/>
      <c r="L104" s="855"/>
    </row>
    <row r="105" spans="1:12" ht="20.25" customHeight="1" thickBot="1" x14ac:dyDescent="0.3">
      <c r="A105" s="1368"/>
      <c r="B105" s="1369"/>
      <c r="C105" s="1358" t="s">
        <v>298</v>
      </c>
      <c r="D105" s="1359">
        <v>2441500</v>
      </c>
      <c r="E105" s="1359">
        <v>1700000</v>
      </c>
      <c r="F105" s="1359">
        <v>1700000</v>
      </c>
      <c r="G105" s="1359">
        <v>1000000</v>
      </c>
      <c r="H105" s="1359">
        <f>SUM(H91:H104)</f>
        <v>4611480</v>
      </c>
      <c r="I105" s="1360"/>
      <c r="J105" s="667">
        <f>'Výdaje kapitol celkem'!BS35</f>
        <v>4611480</v>
      </c>
      <c r="K105" s="743">
        <f>+J105-H105</f>
        <v>0</v>
      </c>
      <c r="L105" s="855"/>
    </row>
    <row r="106" spans="1:12" ht="19.5" customHeight="1" outlineLevel="1" x14ac:dyDescent="0.25">
      <c r="A106" s="1346">
        <v>2310</v>
      </c>
      <c r="B106" s="1347">
        <v>5171</v>
      </c>
      <c r="C106" s="1348" t="s">
        <v>1995</v>
      </c>
      <c r="D106" s="1349">
        <v>500000</v>
      </c>
      <c r="E106" s="1349">
        <v>500000</v>
      </c>
      <c r="F106" s="1349">
        <v>500000</v>
      </c>
      <c r="G106" s="1349">
        <v>250000</v>
      </c>
      <c r="H106" s="1349">
        <f>[4]Vodovod!$B$20</f>
        <v>500000</v>
      </c>
      <c r="I106" s="1350"/>
      <c r="J106" s="663"/>
      <c r="K106" s="743"/>
      <c r="L106" s="855"/>
    </row>
    <row r="107" spans="1:12" ht="19.5" customHeight="1" outlineLevel="1" x14ac:dyDescent="0.25">
      <c r="A107" s="1382">
        <v>2310</v>
      </c>
      <c r="B107" s="1383">
        <v>5171</v>
      </c>
      <c r="C107" s="1377" t="s">
        <v>1667</v>
      </c>
      <c r="D107" s="1387">
        <v>100000</v>
      </c>
      <c r="E107" s="1378">
        <v>100000</v>
      </c>
      <c r="F107" s="1378">
        <v>100000</v>
      </c>
      <c r="G107" s="1378">
        <v>100000</v>
      </c>
      <c r="H107" s="1378">
        <f>[4]Vodovod!$B$21</f>
        <v>100000</v>
      </c>
      <c r="I107" s="1355"/>
      <c r="J107" s="663"/>
      <c r="K107" s="743"/>
      <c r="L107" s="855"/>
    </row>
    <row r="108" spans="1:12" ht="15" customHeight="1" outlineLevel="1" x14ac:dyDescent="0.25">
      <c r="A108" s="1382">
        <v>2310</v>
      </c>
      <c r="B108" s="1383">
        <v>5171</v>
      </c>
      <c r="C108" s="1384" t="s">
        <v>1065</v>
      </c>
      <c r="D108" s="1387">
        <v>56000</v>
      </c>
      <c r="E108" s="1387"/>
      <c r="F108" s="1387"/>
      <c r="G108" s="1387"/>
      <c r="H108" s="1387"/>
      <c r="I108" s="1366"/>
      <c r="J108" s="663"/>
      <c r="K108" s="743"/>
      <c r="L108" s="855"/>
    </row>
    <row r="109" spans="1:12" ht="20.25" customHeight="1" thickBot="1" x14ac:dyDescent="0.3">
      <c r="A109" s="1368"/>
      <c r="B109" s="1369"/>
      <c r="C109" s="1358" t="s">
        <v>247</v>
      </c>
      <c r="D109" s="1359">
        <v>656000</v>
      </c>
      <c r="E109" s="1359">
        <v>600000</v>
      </c>
      <c r="F109" s="1359">
        <v>600000</v>
      </c>
      <c r="G109" s="1359">
        <v>350000</v>
      </c>
      <c r="H109" s="1359">
        <f>SUM(H106:H108)</f>
        <v>600000</v>
      </c>
      <c r="I109" s="1360"/>
      <c r="J109" s="667">
        <f>'Výdaje kapitol celkem'!BW35</f>
        <v>600000</v>
      </c>
      <c r="K109" s="743">
        <f>+J109-H109</f>
        <v>0</v>
      </c>
      <c r="L109" s="855"/>
    </row>
    <row r="110" spans="1:12" ht="20.25" customHeight="1" outlineLevel="1" x14ac:dyDescent="0.25">
      <c r="A110" s="1379">
        <v>3633</v>
      </c>
      <c r="B110" s="1380">
        <v>5171</v>
      </c>
      <c r="C110" s="1377" t="s">
        <v>1137</v>
      </c>
      <c r="D110" s="1349">
        <v>250000</v>
      </c>
      <c r="E110" s="1349">
        <v>250000</v>
      </c>
      <c r="F110" s="1349">
        <v>250000</v>
      </c>
      <c r="G110" s="1349">
        <v>40000</v>
      </c>
      <c r="H110" s="1349">
        <f>'[4]Inženýrské sítě'!$B$12</f>
        <v>40000</v>
      </c>
      <c r="I110" s="1361"/>
      <c r="J110" s="663"/>
      <c r="K110" s="743"/>
      <c r="L110" s="855"/>
    </row>
    <row r="111" spans="1:12" ht="20.25" customHeight="1" outlineLevel="1" x14ac:dyDescent="0.25">
      <c r="A111" s="1382">
        <v>3633</v>
      </c>
      <c r="B111" s="1383">
        <v>5171</v>
      </c>
      <c r="C111" s="1384" t="s">
        <v>1669</v>
      </c>
      <c r="D111" s="1365">
        <v>50000</v>
      </c>
      <c r="E111" s="1365">
        <v>50000</v>
      </c>
      <c r="F111" s="1365">
        <v>50000</v>
      </c>
      <c r="G111" s="1365">
        <v>50000</v>
      </c>
      <c r="H111" s="1365">
        <f>'[4]Inženýrské sítě'!$B$13</f>
        <v>50000</v>
      </c>
      <c r="I111" s="1361"/>
      <c r="J111" s="663"/>
      <c r="K111" s="743"/>
      <c r="L111" s="855"/>
    </row>
    <row r="112" spans="1:12" ht="20.25" customHeight="1" outlineLevel="1" x14ac:dyDescent="0.25">
      <c r="A112" s="1382">
        <v>3633</v>
      </c>
      <c r="B112" s="1383">
        <v>5171</v>
      </c>
      <c r="C112" s="1384"/>
      <c r="D112" s="1378"/>
      <c r="E112" s="1378"/>
      <c r="F112" s="1378"/>
      <c r="G112" s="1378"/>
      <c r="H112" s="1378"/>
      <c r="I112" s="1361"/>
      <c r="J112" s="663"/>
      <c r="K112" s="743"/>
      <c r="L112" s="855"/>
    </row>
    <row r="113" spans="1:12" ht="20.25" customHeight="1" thickBot="1" x14ac:dyDescent="0.3">
      <c r="A113" s="1368"/>
      <c r="B113" s="1369"/>
      <c r="C113" s="1358" t="s">
        <v>294</v>
      </c>
      <c r="D113" s="1359">
        <v>300000</v>
      </c>
      <c r="E113" s="1359">
        <v>300000</v>
      </c>
      <c r="F113" s="1359">
        <v>300000</v>
      </c>
      <c r="G113" s="1359">
        <v>90000</v>
      </c>
      <c r="H113" s="1359">
        <f>SUM(H110:H112)</f>
        <v>90000</v>
      </c>
      <c r="I113" s="1360"/>
      <c r="J113" s="667">
        <f>'Výdaje kapitol celkem'!CI35</f>
        <v>90000</v>
      </c>
      <c r="K113" s="743">
        <f>+J113-H113</f>
        <v>0</v>
      </c>
      <c r="L113" s="855"/>
    </row>
    <row r="114" spans="1:12" ht="20.25" customHeight="1" outlineLevel="1" x14ac:dyDescent="0.25">
      <c r="A114" s="1379" t="s">
        <v>257</v>
      </c>
      <c r="B114" s="1380">
        <v>5171</v>
      </c>
      <c r="C114" s="1377" t="s">
        <v>426</v>
      </c>
      <c r="D114" s="1378">
        <v>416000</v>
      </c>
      <c r="E114" s="1378">
        <v>816000</v>
      </c>
      <c r="F114" s="1378">
        <v>816000</v>
      </c>
      <c r="G114" s="1378">
        <v>1066000</v>
      </c>
      <c r="H114" s="1378">
        <f>'[5]Kanalizace obnova'!$B$6</f>
        <v>1000000</v>
      </c>
      <c r="I114" s="1355"/>
      <c r="J114" s="663"/>
      <c r="K114" s="743"/>
      <c r="L114" s="855"/>
    </row>
    <row r="115" spans="1:12" ht="20.25" customHeight="1" outlineLevel="1" x14ac:dyDescent="0.25">
      <c r="A115" s="1382" t="s">
        <v>257</v>
      </c>
      <c r="B115" s="1383">
        <v>5171</v>
      </c>
      <c r="C115" s="1384" t="s">
        <v>426</v>
      </c>
      <c r="D115" s="1387">
        <v>200000</v>
      </c>
      <c r="E115" s="1387"/>
      <c r="F115" s="1387"/>
      <c r="G115" s="1387">
        <v>300000</v>
      </c>
      <c r="H115" s="1387">
        <f>'[5]Kanalizace obnova'!$B$7</f>
        <v>0</v>
      </c>
      <c r="I115" s="1366"/>
      <c r="J115" s="663"/>
      <c r="K115" s="743"/>
      <c r="L115" s="855"/>
    </row>
    <row r="116" spans="1:12" ht="20.25" customHeight="1" outlineLevel="1" x14ac:dyDescent="0.25">
      <c r="A116" s="1382" t="s">
        <v>257</v>
      </c>
      <c r="B116" s="1383">
        <v>5171</v>
      </c>
      <c r="C116" s="1364"/>
      <c r="D116" s="1387"/>
      <c r="E116" s="1387"/>
      <c r="F116" s="1387"/>
      <c r="G116" s="1387"/>
      <c r="H116" s="1387"/>
      <c r="I116" s="1370"/>
      <c r="J116" s="663"/>
      <c r="K116" s="743"/>
      <c r="L116" s="855"/>
    </row>
    <row r="117" spans="1:12" ht="20.25" customHeight="1" thickBot="1" x14ac:dyDescent="0.3">
      <c r="A117" s="1368"/>
      <c r="B117" s="1369"/>
      <c r="C117" s="1358" t="s">
        <v>293</v>
      </c>
      <c r="D117" s="1359">
        <f>SUM(D114:D116)</f>
        <v>616000</v>
      </c>
      <c r="E117" s="1359">
        <v>816000</v>
      </c>
      <c r="F117" s="1359">
        <v>816000</v>
      </c>
      <c r="G117" s="1359">
        <f>SUM(G114:G116)</f>
        <v>1366000</v>
      </c>
      <c r="H117" s="1359">
        <f>SUM(H114:H116)</f>
        <v>1000000</v>
      </c>
      <c r="I117" s="1360"/>
      <c r="J117" s="667">
        <f>'Výdaje kapitol celkem'!CF35</f>
        <v>1000000</v>
      </c>
      <c r="K117" s="743">
        <f>+J117-H117</f>
        <v>0</v>
      </c>
      <c r="L117" s="855"/>
    </row>
    <row r="118" spans="1:12" ht="20.25" customHeight="1" outlineLevel="1" x14ac:dyDescent="0.25">
      <c r="A118" s="1363" t="s">
        <v>231</v>
      </c>
      <c r="B118" s="1367">
        <v>5171</v>
      </c>
      <c r="C118" s="1364" t="s">
        <v>1138</v>
      </c>
      <c r="D118" s="1365">
        <v>0</v>
      </c>
      <c r="E118" s="1365">
        <v>500000</v>
      </c>
      <c r="F118" s="1365">
        <v>500000</v>
      </c>
      <c r="G118" s="1365">
        <v>100000</v>
      </c>
      <c r="H118" s="1365">
        <f>[4]Kanalizace!$B$23</f>
        <v>500000</v>
      </c>
      <c r="I118" s="1403"/>
      <c r="J118" s="663"/>
      <c r="K118" s="743"/>
      <c r="L118" s="855"/>
    </row>
    <row r="119" spans="1:12" ht="20.25" customHeight="1" outlineLevel="1" x14ac:dyDescent="0.25">
      <c r="A119" s="1382" t="s">
        <v>231</v>
      </c>
      <c r="B119" s="1383">
        <v>5171</v>
      </c>
      <c r="C119" s="1364" t="s">
        <v>1668</v>
      </c>
      <c r="D119" s="1365">
        <v>0</v>
      </c>
      <c r="E119" s="1365">
        <v>200000</v>
      </c>
      <c r="F119" s="1365">
        <v>200000</v>
      </c>
      <c r="G119" s="1365">
        <v>0</v>
      </c>
      <c r="H119" s="1365">
        <f>[4]Kanalizace!$B$24</f>
        <v>0</v>
      </c>
      <c r="I119" s="1366"/>
      <c r="J119" s="663"/>
      <c r="K119" s="743"/>
      <c r="L119" s="855"/>
    </row>
    <row r="120" spans="1:12" ht="20.25" customHeight="1" outlineLevel="1" x14ac:dyDescent="0.25">
      <c r="A120" s="1382" t="s">
        <v>231</v>
      </c>
      <c r="B120" s="1383">
        <v>5171</v>
      </c>
      <c r="C120" s="1364" t="s">
        <v>1139</v>
      </c>
      <c r="D120" s="1365">
        <v>200000</v>
      </c>
      <c r="E120" s="1365">
        <v>200000</v>
      </c>
      <c r="F120" s="1365">
        <v>200000</v>
      </c>
      <c r="G120" s="1365">
        <v>140000</v>
      </c>
      <c r="H120" s="1365">
        <f>[4]Kanalizace!$B$25</f>
        <v>140000</v>
      </c>
      <c r="I120" s="1355"/>
      <c r="J120" s="663"/>
      <c r="K120" s="743"/>
      <c r="L120" s="855"/>
    </row>
    <row r="121" spans="1:12" ht="20.25" customHeight="1" outlineLevel="1" x14ac:dyDescent="0.25">
      <c r="A121" s="1382" t="s">
        <v>231</v>
      </c>
      <c r="B121" s="1383">
        <v>5171</v>
      </c>
      <c r="C121" s="1364"/>
      <c r="D121" s="1387">
        <v>0</v>
      </c>
      <c r="E121" s="1387">
        <v>0</v>
      </c>
      <c r="F121" s="1387">
        <v>0</v>
      </c>
      <c r="G121" s="1387">
        <v>0</v>
      </c>
      <c r="H121" s="1387"/>
      <c r="I121" s="1370"/>
      <c r="J121" s="663"/>
      <c r="K121" s="743"/>
      <c r="L121" s="855"/>
    </row>
    <row r="122" spans="1:12" ht="20.25" customHeight="1" thickBot="1" x14ac:dyDescent="0.3">
      <c r="A122" s="1368"/>
      <c r="B122" s="1369"/>
      <c r="C122" s="1358" t="s">
        <v>842</v>
      </c>
      <c r="D122" s="1359">
        <f>SUM(D118:D121)</f>
        <v>200000</v>
      </c>
      <c r="E122" s="1359">
        <v>900000</v>
      </c>
      <c r="F122" s="1359">
        <v>900000</v>
      </c>
      <c r="G122" s="1359">
        <v>240000</v>
      </c>
      <c r="H122" s="1359">
        <f>SUM(H118:H121)</f>
        <v>640000</v>
      </c>
      <c r="I122" s="1360"/>
      <c r="J122" s="667">
        <f>'Výdaje kapitol celkem'!CC35</f>
        <v>640000</v>
      </c>
      <c r="K122" s="743">
        <f>+J122-H122</f>
        <v>0</v>
      </c>
      <c r="L122" s="855"/>
    </row>
    <row r="123" spans="1:12" ht="20.25" customHeight="1" outlineLevel="1" x14ac:dyDescent="0.25">
      <c r="A123" s="1346">
        <v>3114</v>
      </c>
      <c r="B123" s="1347">
        <v>5171</v>
      </c>
      <c r="C123" s="1348"/>
      <c r="D123" s="1349">
        <v>0</v>
      </c>
      <c r="E123" s="1349">
        <v>0</v>
      </c>
      <c r="F123" s="1349">
        <v>0</v>
      </c>
      <c r="G123" s="1349">
        <v>0</v>
      </c>
      <c r="H123" s="1349">
        <f>[3]č.p.65!$B$33</f>
        <v>0</v>
      </c>
      <c r="I123" s="1350"/>
      <c r="J123" s="663"/>
      <c r="K123" s="743"/>
      <c r="L123" s="855"/>
    </row>
    <row r="124" spans="1:12" ht="20.25" customHeight="1" outlineLevel="1" x14ac:dyDescent="0.25">
      <c r="A124" s="1363">
        <v>3114</v>
      </c>
      <c r="B124" s="1367">
        <v>5171</v>
      </c>
      <c r="C124" s="1364"/>
      <c r="D124" s="1365">
        <v>0</v>
      </c>
      <c r="E124" s="1365">
        <v>0</v>
      </c>
      <c r="F124" s="1365">
        <v>0</v>
      </c>
      <c r="G124" s="1365">
        <v>0</v>
      </c>
      <c r="H124" s="1365">
        <f>[3]č.p.65!$B$34</f>
        <v>0</v>
      </c>
      <c r="I124" s="1366"/>
      <c r="J124" s="663"/>
      <c r="K124" s="743"/>
      <c r="L124" s="855"/>
    </row>
    <row r="125" spans="1:12" ht="20.25" customHeight="1" outlineLevel="1" x14ac:dyDescent="0.25">
      <c r="A125" s="1363">
        <v>3114</v>
      </c>
      <c r="B125" s="1367">
        <v>5171</v>
      </c>
      <c r="C125" s="1364" t="s">
        <v>232</v>
      </c>
      <c r="D125" s="1365">
        <v>80000</v>
      </c>
      <c r="E125" s="1365">
        <v>80000</v>
      </c>
      <c r="F125" s="1365">
        <v>80000</v>
      </c>
      <c r="G125" s="1365">
        <v>80000</v>
      </c>
      <c r="H125" s="1365">
        <f>'[4]Č.p. 65'!$B$12</f>
        <v>80000</v>
      </c>
      <c r="I125" s="1355"/>
      <c r="J125" s="663"/>
      <c r="K125" s="743"/>
      <c r="L125" s="855"/>
    </row>
    <row r="126" spans="1:12" ht="20.25" customHeight="1" outlineLevel="1" x14ac:dyDescent="0.25">
      <c r="A126" s="1379">
        <v>3114</v>
      </c>
      <c r="B126" s="1380">
        <v>5171</v>
      </c>
      <c r="C126" s="1377" t="s">
        <v>1140</v>
      </c>
      <c r="D126" s="1378">
        <v>130000</v>
      </c>
      <c r="E126" s="1378">
        <v>0</v>
      </c>
      <c r="F126" s="1378">
        <v>0</v>
      </c>
      <c r="G126" s="1378">
        <v>0</v>
      </c>
      <c r="H126" s="1378">
        <f>'[4]Č.p. 65'!$B$13</f>
        <v>0</v>
      </c>
      <c r="I126" s="1355"/>
      <c r="J126" s="663"/>
      <c r="K126" s="743"/>
      <c r="L126" s="855"/>
    </row>
    <row r="127" spans="1:12" ht="20.25" customHeight="1" thickBot="1" x14ac:dyDescent="0.3">
      <c r="A127" s="1368"/>
      <c r="B127" s="1369"/>
      <c r="C127" s="1358" t="s">
        <v>248</v>
      </c>
      <c r="D127" s="1359">
        <f>SUM(D123:D126)</f>
        <v>210000</v>
      </c>
      <c r="E127" s="1359">
        <v>80000</v>
      </c>
      <c r="F127" s="1359">
        <v>80000</v>
      </c>
      <c r="G127" s="1359">
        <v>80000</v>
      </c>
      <c r="H127" s="1359">
        <f>SUM(H123:H126)</f>
        <v>80000</v>
      </c>
      <c r="I127" s="1360"/>
      <c r="J127" s="667">
        <f>'Výdaje kapitol celkem'!AV35</f>
        <v>80000</v>
      </c>
      <c r="K127" s="743">
        <f>+J127-H127</f>
        <v>0</v>
      </c>
      <c r="L127" s="855"/>
    </row>
    <row r="128" spans="1:12" ht="20.25" customHeight="1" outlineLevel="1" x14ac:dyDescent="0.25">
      <c r="A128" s="1379">
        <v>3749</v>
      </c>
      <c r="B128" s="1380">
        <v>5171</v>
      </c>
      <c r="C128" s="1377" t="s">
        <v>564</v>
      </c>
      <c r="D128" s="1378">
        <v>475000</v>
      </c>
      <c r="E128" s="1378">
        <v>537500</v>
      </c>
      <c r="F128" s="1378">
        <v>537500</v>
      </c>
      <c r="G128" s="1378">
        <v>1037500</v>
      </c>
      <c r="H128" s="1378">
        <f>[4]Rybníky!$B$5</f>
        <v>5000</v>
      </c>
      <c r="I128" s="1355"/>
      <c r="J128" s="663"/>
      <c r="K128" s="743"/>
      <c r="L128" s="855"/>
    </row>
    <row r="129" spans="1:12" ht="20.25" customHeight="1" outlineLevel="1" x14ac:dyDescent="0.25">
      <c r="A129" s="1363">
        <v>3749</v>
      </c>
      <c r="B129" s="1367">
        <v>5171</v>
      </c>
      <c r="C129" s="1364"/>
      <c r="D129" s="1365">
        <v>0</v>
      </c>
      <c r="E129" s="1365">
        <v>0</v>
      </c>
      <c r="F129" s="1365">
        <v>0</v>
      </c>
      <c r="G129" s="1365">
        <v>0</v>
      </c>
      <c r="H129" s="1365">
        <f>[4]Rybníky!$B$6</f>
        <v>0</v>
      </c>
      <c r="I129" s="1366"/>
      <c r="J129" s="663"/>
      <c r="K129" s="743"/>
      <c r="L129" s="855"/>
    </row>
    <row r="130" spans="1:12" ht="20.25" customHeight="1" outlineLevel="1" x14ac:dyDescent="0.25">
      <c r="A130" s="1351">
        <v>3749</v>
      </c>
      <c r="B130" s="1352">
        <v>5171</v>
      </c>
      <c r="C130" s="1353"/>
      <c r="D130" s="1362"/>
      <c r="E130" s="1362"/>
      <c r="F130" s="1362"/>
      <c r="G130" s="1362"/>
      <c r="H130" s="1362">
        <f>[4]Rybníky!$B$7</f>
        <v>0</v>
      </c>
      <c r="I130" s="1361"/>
      <c r="J130" s="663"/>
      <c r="K130" s="743"/>
      <c r="L130" s="855"/>
    </row>
    <row r="131" spans="1:12" ht="20.25" customHeight="1" thickBot="1" x14ac:dyDescent="0.3">
      <c r="A131" s="1368"/>
      <c r="B131" s="1369"/>
      <c r="C131" s="1358" t="s">
        <v>349</v>
      </c>
      <c r="D131" s="1359">
        <f>SUM(D128:D130)</f>
        <v>475000</v>
      </c>
      <c r="E131" s="1359">
        <v>537500</v>
      </c>
      <c r="F131" s="1359">
        <v>537500</v>
      </c>
      <c r="G131" s="1359">
        <v>1037500</v>
      </c>
      <c r="H131" s="1359">
        <f>SUM(H128:H130)</f>
        <v>5000</v>
      </c>
      <c r="I131" s="1360"/>
      <c r="J131" s="667">
        <f>'Výdaje kapitol celkem'!DA34</f>
        <v>5000</v>
      </c>
      <c r="K131" s="743">
        <f>+J131-H131</f>
        <v>0</v>
      </c>
      <c r="L131" s="855"/>
    </row>
    <row r="132" spans="1:12" ht="20.25" customHeight="1" outlineLevel="1" x14ac:dyDescent="0.25">
      <c r="A132" s="1379" t="s">
        <v>234</v>
      </c>
      <c r="B132" s="1380">
        <v>5171</v>
      </c>
      <c r="C132" s="1377" t="s">
        <v>299</v>
      </c>
      <c r="D132" s="1378">
        <v>475000</v>
      </c>
      <c r="E132" s="1378">
        <v>537500</v>
      </c>
      <c r="F132" s="1378">
        <v>537500</v>
      </c>
      <c r="G132" s="1378">
        <v>1037500</v>
      </c>
      <c r="H132" s="1378">
        <f>'[5]Vodovod obnova'!$B$6</f>
        <v>1000000</v>
      </c>
      <c r="I132" s="1355"/>
      <c r="J132" s="663"/>
      <c r="K132" s="743"/>
      <c r="L132" s="855"/>
    </row>
    <row r="133" spans="1:12" ht="20.25" customHeight="1" outlineLevel="1" x14ac:dyDescent="0.25">
      <c r="A133" s="1363" t="s">
        <v>234</v>
      </c>
      <c r="B133" s="1367">
        <v>5171</v>
      </c>
      <c r="C133" s="1364" t="s">
        <v>1073</v>
      </c>
      <c r="D133" s="1365">
        <v>0</v>
      </c>
      <c r="E133" s="1365">
        <v>0</v>
      </c>
      <c r="F133" s="1365">
        <v>0</v>
      </c>
      <c r="G133" s="1365">
        <v>0</v>
      </c>
      <c r="H133" s="1365">
        <f>'[5]Vodovod obnova'!$B$7</f>
        <v>0</v>
      </c>
      <c r="I133" s="1366"/>
      <c r="J133" s="663"/>
      <c r="K133" s="743"/>
      <c r="L133" s="855"/>
    </row>
    <row r="134" spans="1:12" ht="20.25" hidden="1" customHeight="1" outlineLevel="1" x14ac:dyDescent="0.25">
      <c r="A134" s="1351" t="s">
        <v>234</v>
      </c>
      <c r="B134" s="1352">
        <v>5171</v>
      </c>
      <c r="C134" s="1353"/>
      <c r="D134" s="1362"/>
      <c r="E134" s="1362"/>
      <c r="F134" s="1362"/>
      <c r="G134" s="1362"/>
      <c r="H134" s="1362"/>
      <c r="I134" s="1361"/>
      <c r="J134" s="663"/>
      <c r="K134" s="743"/>
      <c r="L134" s="855"/>
    </row>
    <row r="135" spans="1:12" ht="20.25" customHeight="1" thickBot="1" x14ac:dyDescent="0.3">
      <c r="A135" s="1382"/>
      <c r="B135" s="1383"/>
      <c r="C135" s="1389" t="s">
        <v>251</v>
      </c>
      <c r="D135" s="1385">
        <f>SUM(D132:D134)</f>
        <v>475000</v>
      </c>
      <c r="E135" s="1385">
        <v>537500</v>
      </c>
      <c r="F135" s="1385">
        <v>537500</v>
      </c>
      <c r="G135" s="1385">
        <v>1037500</v>
      </c>
      <c r="H135" s="1385">
        <f>SUM(H132:H134)</f>
        <v>1000000</v>
      </c>
      <c r="I135" s="1370"/>
      <c r="J135" s="667">
        <f>'Výdaje kapitol celkem'!BZ35</f>
        <v>1000000</v>
      </c>
      <c r="K135" s="743">
        <f>+J135-H135</f>
        <v>0</v>
      </c>
      <c r="L135" s="855"/>
    </row>
    <row r="136" spans="1:12" s="652" customFormat="1" ht="17.25" thickBot="1" x14ac:dyDescent="0.35">
      <c r="A136" s="2319" t="s">
        <v>252</v>
      </c>
      <c r="B136" s="2320"/>
      <c r="C136" s="2321"/>
      <c r="D136" s="1372">
        <f>+D135+D127+D122+D117+D113+D109+D105+D90+D85+D82+D79+D74+D70+D61+D56+D43+D40+D34+D30+D25+D18+D15+D12+D8+D53+D49+D46</f>
        <v>9536265</v>
      </c>
      <c r="E136" s="1372">
        <v>9333500</v>
      </c>
      <c r="F136" s="1372">
        <v>9333500</v>
      </c>
      <c r="G136" s="1372">
        <f>+G135+G127+G122+G117+G113+G109+G105+G90+G85+G82+G79+G74+G70+G61+G56+G43+G40+G34+G30+G25+G18+G15+G12+G8+G53+G49+G46</f>
        <v>8023500</v>
      </c>
      <c r="H136" s="1372">
        <f>+H135+H127+H122+H117+H113+H109+H105+H90+H85+H82+H79+H74+H70+H61+H56+H43+H40+H34+H30+H25+H18+H15+H12+H8+H53+H49+H46</f>
        <v>12902480</v>
      </c>
      <c r="I136" s="1373"/>
      <c r="J136" s="663"/>
      <c r="K136" s="702"/>
      <c r="L136" s="855"/>
    </row>
    <row r="137" spans="1:12" x14ac:dyDescent="0.25">
      <c r="A137" s="446"/>
      <c r="B137" s="446"/>
      <c r="C137" s="446"/>
      <c r="D137" s="527">
        <f>'Výdaje kapitol celkem'!D35</f>
        <v>9536265</v>
      </c>
      <c r="E137" s="527">
        <v>9333500</v>
      </c>
      <c r="F137" s="527">
        <v>9333500</v>
      </c>
      <c r="G137" s="527">
        <f>'Výdaje kapitol celkem'!G35</f>
        <v>8023500</v>
      </c>
      <c r="H137" s="527">
        <f>'Výdaje kapitol celkem'!H35</f>
        <v>12902480</v>
      </c>
      <c r="I137" s="656"/>
      <c r="J137" s="663"/>
      <c r="K137" s="1400"/>
    </row>
    <row r="138" spans="1:12" s="768" customFormat="1" x14ac:dyDescent="0.25">
      <c r="A138" s="517"/>
      <c r="B138" s="517"/>
      <c r="C138" s="517" t="s">
        <v>253</v>
      </c>
      <c r="D138" s="656">
        <f>+D136-D137</f>
        <v>0</v>
      </c>
      <c r="E138" s="656">
        <v>0</v>
      </c>
      <c r="F138" s="656">
        <v>0</v>
      </c>
      <c r="G138" s="656">
        <v>0</v>
      </c>
      <c r="H138" s="656">
        <f>+H136-H137</f>
        <v>0</v>
      </c>
      <c r="I138" s="656"/>
      <c r="J138" s="663"/>
      <c r="K138" s="1400"/>
    </row>
    <row r="139" spans="1:12" x14ac:dyDescent="0.25">
      <c r="A139" s="1405" t="s">
        <v>650</v>
      </c>
    </row>
  </sheetData>
  <sheetProtection algorithmName="SHA-512" hashValue="dtSdECkNa3neyjXojB586aT5WTZSNaatu4W3tvbAj4XGlBsPhJ7kgv1fpNnX0k/P6xWoc2fAMwkDj1EHUkMg0g==" saltValue="oj/K7MSWRlAyl/vKK/TBQw==" spinCount="100000" sheet="1" objects="1" scenarios="1"/>
  <mergeCells count="2">
    <mergeCell ref="A2:C2"/>
    <mergeCell ref="A136:C136"/>
  </mergeCells>
  <pageMargins left="0.31496062992125984" right="0.31496062992125984" top="0.19685039370078741" bottom="0.19685039370078741" header="0.31496062992125984" footer="0.31496062992125984"/>
  <pageSetup paperSize="9" scale="64" fitToHeight="3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zoomScale="88" zoomScaleNormal="88" workbookViewId="0">
      <selection activeCell="H8" sqref="H8"/>
    </sheetView>
  </sheetViews>
  <sheetFormatPr defaultColWidth="9.140625" defaultRowHeight="13.5" x14ac:dyDescent="0.25"/>
  <cols>
    <col min="1" max="1" width="13.85546875" style="759" customWidth="1"/>
    <col min="2" max="2" width="8.85546875" style="759" customWidth="1"/>
    <col min="3" max="3" width="27.85546875" style="759" customWidth="1"/>
    <col min="4" max="7" width="12.7109375" style="759" hidden="1" customWidth="1"/>
    <col min="8" max="8" width="12.7109375" style="759" bestFit="1" customWidth="1"/>
    <col min="9" max="9" width="12.7109375" style="759" customWidth="1"/>
    <col min="10" max="10" width="12.7109375" style="1402" bestFit="1" customWidth="1"/>
    <col min="11" max="11" width="9.85546875" style="993" customWidth="1"/>
    <col min="12" max="12" width="27.28515625" style="759" customWidth="1"/>
    <col min="13" max="16384" width="9.140625" style="759"/>
  </cols>
  <sheetData>
    <row r="1" spans="1:12" ht="16.5" x14ac:dyDescent="0.3">
      <c r="A1" s="445" t="s">
        <v>1316</v>
      </c>
    </row>
    <row r="2" spans="1:12" x14ac:dyDescent="0.25">
      <c r="A2" s="1406" t="s">
        <v>126</v>
      </c>
      <c r="B2" s="446"/>
      <c r="C2" s="446"/>
      <c r="D2" s="446"/>
      <c r="E2" s="446"/>
      <c r="F2" s="446"/>
      <c r="G2" s="446"/>
      <c r="H2" s="446"/>
      <c r="I2" s="446"/>
      <c r="J2" s="1394"/>
      <c r="K2" s="1395"/>
      <c r="L2" s="446"/>
    </row>
    <row r="3" spans="1:12" ht="14.25" thickBot="1" x14ac:dyDescent="0.3">
      <c r="A3" s="1406"/>
      <c r="B3" s="446"/>
      <c r="C3" s="446"/>
      <c r="D3" s="446"/>
      <c r="E3" s="446"/>
      <c r="F3" s="446"/>
      <c r="G3" s="446"/>
      <c r="H3" s="446"/>
      <c r="I3" s="446"/>
      <c r="J3" s="1398"/>
      <c r="K3" s="1399"/>
      <c r="L3" s="446"/>
    </row>
    <row r="4" spans="1:12" s="1411" customFormat="1" ht="27.75" thickBot="1" x14ac:dyDescent="0.25">
      <c r="A4" s="1341" t="s">
        <v>1</v>
      </c>
      <c r="B4" s="1342" t="s">
        <v>90</v>
      </c>
      <c r="C4" s="1407" t="s">
        <v>6</v>
      </c>
      <c r="D4" s="791" t="s">
        <v>1701</v>
      </c>
      <c r="E4" s="791" t="s">
        <v>1289</v>
      </c>
      <c r="F4" s="791" t="s">
        <v>1677</v>
      </c>
      <c r="G4" s="791" t="s">
        <v>1748</v>
      </c>
      <c r="H4" s="791" t="s">
        <v>1957</v>
      </c>
      <c r="I4" s="1408" t="s">
        <v>5</v>
      </c>
      <c r="J4" s="1409" t="s">
        <v>1067</v>
      </c>
      <c r="K4" s="1410" t="s">
        <v>883</v>
      </c>
      <c r="L4" s="1417" t="s">
        <v>655</v>
      </c>
    </row>
    <row r="5" spans="1:12" s="1418" customFormat="1" ht="24" customHeight="1" x14ac:dyDescent="0.25">
      <c r="A5" s="1412">
        <v>3113</v>
      </c>
      <c r="B5" s="1413">
        <v>5331</v>
      </c>
      <c r="C5" s="1414" t="s">
        <v>176</v>
      </c>
      <c r="D5" s="1415">
        <v>6143221</v>
      </c>
      <c r="E5" s="1415">
        <v>14070000</v>
      </c>
      <c r="F5" s="1415">
        <v>14070000</v>
      </c>
      <c r="G5" s="1415">
        <v>12870000</v>
      </c>
      <c r="H5" s="1415">
        <f>+'Výdaje kapitol celkem'!AS44</f>
        <v>9850000</v>
      </c>
      <c r="I5" s="1416"/>
      <c r="J5" s="667">
        <f>'Výdaje kapitol celkem'!AS44</f>
        <v>9850000</v>
      </c>
      <c r="K5" s="676">
        <f t="shared" ref="K5:K11" si="0">+J5-H5</f>
        <v>0</v>
      </c>
      <c r="L5" s="1417"/>
    </row>
    <row r="6" spans="1:12" ht="24" customHeight="1" x14ac:dyDescent="0.25">
      <c r="A6" s="1351" t="s">
        <v>289</v>
      </c>
      <c r="B6" s="1352">
        <v>5331</v>
      </c>
      <c r="C6" s="1353" t="s">
        <v>289</v>
      </c>
      <c r="D6" s="1354">
        <v>15351206</v>
      </c>
      <c r="E6" s="1354">
        <v>17189834.68</v>
      </c>
      <c r="F6" s="1354">
        <v>17189834.68</v>
      </c>
      <c r="G6" s="1354">
        <v>15775302.68</v>
      </c>
      <c r="H6" s="1354">
        <f>+'Výdaje kapitol celkem'!S44</f>
        <v>16000000</v>
      </c>
      <c r="I6" s="1419"/>
      <c r="J6" s="667">
        <f>'Výdaje kapitol celkem'!S44</f>
        <v>16000000</v>
      </c>
      <c r="K6" s="676">
        <f t="shared" si="0"/>
        <v>0</v>
      </c>
      <c r="L6" s="446"/>
    </row>
    <row r="7" spans="1:12" ht="24" customHeight="1" x14ac:dyDescent="0.25">
      <c r="A7" s="1351">
        <v>3421</v>
      </c>
      <c r="B7" s="1352">
        <v>5331</v>
      </c>
      <c r="C7" s="1353" t="s">
        <v>178</v>
      </c>
      <c r="D7" s="1354">
        <v>867010</v>
      </c>
      <c r="E7" s="1354">
        <v>550000</v>
      </c>
      <c r="F7" s="1354">
        <v>550000</v>
      </c>
      <c r="G7" s="1354">
        <v>550000</v>
      </c>
      <c r="H7" s="1354">
        <f>+'Výdaje kapitol celkem'!AY44</f>
        <v>550000</v>
      </c>
      <c r="I7" s="1419"/>
      <c r="J7" s="667">
        <f>'Výdaje kapitol celkem'!AY44</f>
        <v>550000</v>
      </c>
      <c r="K7" s="676">
        <f t="shared" si="0"/>
        <v>0</v>
      </c>
      <c r="L7" s="1401"/>
    </row>
    <row r="8" spans="1:12" ht="24" customHeight="1" x14ac:dyDescent="0.25">
      <c r="A8" s="1351" t="s">
        <v>206</v>
      </c>
      <c r="B8" s="1352">
        <v>5331</v>
      </c>
      <c r="C8" s="1353" t="s">
        <v>1081</v>
      </c>
      <c r="D8" s="1354">
        <v>2200000</v>
      </c>
      <c r="E8" s="1354">
        <v>2600000</v>
      </c>
      <c r="F8" s="1354">
        <v>2600000</v>
      </c>
      <c r="G8" s="1354">
        <v>2400000</v>
      </c>
      <c r="H8" s="1354">
        <f>+'Výdaje kapitol celkem'!BE44</f>
        <v>2400000</v>
      </c>
      <c r="I8" s="1419"/>
      <c r="J8" s="667">
        <f>'Výdaje kapitol celkem'!BE44</f>
        <v>2400000</v>
      </c>
      <c r="K8" s="676">
        <f t="shared" si="0"/>
        <v>0</v>
      </c>
      <c r="L8" s="446"/>
    </row>
    <row r="9" spans="1:12" ht="24" customHeight="1" x14ac:dyDescent="0.25">
      <c r="A9" s="1351" t="s">
        <v>207</v>
      </c>
      <c r="B9" s="1352">
        <v>5331</v>
      </c>
      <c r="C9" s="1353" t="s">
        <v>1082</v>
      </c>
      <c r="D9" s="1354">
        <v>1300000</v>
      </c>
      <c r="E9" s="1354">
        <v>0</v>
      </c>
      <c r="F9" s="1354">
        <v>0</v>
      </c>
      <c r="G9" s="1354">
        <v>0</v>
      </c>
      <c r="H9" s="1354">
        <f>+'Výdaje kapitol celkem'!BH44</f>
        <v>0</v>
      </c>
      <c r="I9" s="1419"/>
      <c r="J9" s="667">
        <f>'Výdaje kapitol celkem'!BH44</f>
        <v>0</v>
      </c>
      <c r="K9" s="676">
        <f t="shared" si="0"/>
        <v>0</v>
      </c>
      <c r="L9" s="446"/>
    </row>
    <row r="10" spans="1:12" ht="24" customHeight="1" x14ac:dyDescent="0.25">
      <c r="A10" s="1351" t="s">
        <v>1083</v>
      </c>
      <c r="B10" s="1352">
        <v>5331</v>
      </c>
      <c r="C10" s="1353" t="s">
        <v>1084</v>
      </c>
      <c r="D10" s="1354">
        <v>200000</v>
      </c>
      <c r="E10" s="1354">
        <v>200000</v>
      </c>
      <c r="F10" s="1354">
        <v>200000</v>
      </c>
      <c r="G10" s="1354">
        <v>200000</v>
      </c>
      <c r="H10" s="1354">
        <f>+'Výdaje kapitol celkem'!BK44</f>
        <v>200000</v>
      </c>
      <c r="I10" s="1419"/>
      <c r="J10" s="667">
        <f>'Výdaje kapitol celkem'!BK44</f>
        <v>200000</v>
      </c>
      <c r="K10" s="676">
        <f t="shared" si="0"/>
        <v>0</v>
      </c>
      <c r="L10" s="446"/>
    </row>
    <row r="11" spans="1:12" ht="24" customHeight="1" x14ac:dyDescent="0.25">
      <c r="A11" s="1351" t="s">
        <v>551</v>
      </c>
      <c r="B11" s="1352">
        <v>5331</v>
      </c>
      <c r="C11" s="1353" t="s">
        <v>1085</v>
      </c>
      <c r="D11" s="1354">
        <v>0</v>
      </c>
      <c r="E11" s="1354">
        <v>0</v>
      </c>
      <c r="F11" s="1354">
        <v>0</v>
      </c>
      <c r="G11" s="1354">
        <v>0</v>
      </c>
      <c r="H11" s="1354">
        <f>'Výdaje kapitol celkem'!BL44</f>
        <v>0</v>
      </c>
      <c r="I11" s="1419"/>
      <c r="J11" s="667">
        <f>'Výdaje kapitol celkem'!BL44</f>
        <v>0</v>
      </c>
      <c r="K11" s="676">
        <f t="shared" si="0"/>
        <v>0</v>
      </c>
      <c r="L11" s="446"/>
    </row>
    <row r="12" spans="1:12" ht="18" customHeight="1" thickBot="1" x14ac:dyDescent="0.3">
      <c r="A12" s="1356"/>
      <c r="B12" s="1357"/>
      <c r="C12" s="1358" t="s">
        <v>126</v>
      </c>
      <c r="D12" s="1359">
        <f>SUM(D5:D11)</f>
        <v>26061437</v>
      </c>
      <c r="E12" s="1359">
        <v>34609834.68</v>
      </c>
      <c r="F12" s="1359">
        <v>34609834.68</v>
      </c>
      <c r="G12" s="1359">
        <v>31795302.68</v>
      </c>
      <c r="H12" s="1359">
        <f>SUM(H5:H11)</f>
        <v>29000000</v>
      </c>
      <c r="I12" s="1360"/>
      <c r="J12" s="663"/>
      <c r="K12" s="1400"/>
      <c r="L12" s="446"/>
    </row>
    <row r="13" spans="1:12" x14ac:dyDescent="0.25">
      <c r="A13" s="446"/>
      <c r="B13" s="446"/>
      <c r="C13" s="446"/>
      <c r="D13" s="527">
        <f>'Výdaje kapitol celkem'!D44</f>
        <v>26061437</v>
      </c>
      <c r="E13" s="527">
        <v>34609834.68</v>
      </c>
      <c r="F13" s="527">
        <v>34609834.68</v>
      </c>
      <c r="G13" s="527">
        <v>31795302.68</v>
      </c>
      <c r="H13" s="527">
        <f>'Výdaje kapitol celkem'!H44</f>
        <v>29000000</v>
      </c>
      <c r="I13" s="446"/>
      <c r="J13" s="663"/>
      <c r="K13" s="1400"/>
      <c r="L13" s="446"/>
    </row>
    <row r="14" spans="1:12" s="768" customFormat="1" x14ac:dyDescent="0.25">
      <c r="A14" s="517"/>
      <c r="B14" s="517"/>
      <c r="C14" s="517" t="s">
        <v>277</v>
      </c>
      <c r="D14" s="656">
        <f>+D13-D12</f>
        <v>0</v>
      </c>
      <c r="E14" s="656">
        <v>0</v>
      </c>
      <c r="F14" s="656">
        <v>0</v>
      </c>
      <c r="G14" s="656">
        <v>0</v>
      </c>
      <c r="H14" s="656">
        <f>+H13-H12</f>
        <v>0</v>
      </c>
      <c r="I14" s="517"/>
      <c r="J14" s="663"/>
      <c r="K14" s="1400"/>
      <c r="L14" s="517"/>
    </row>
    <row r="15" spans="1:12" x14ac:dyDescent="0.25">
      <c r="J15" s="987"/>
      <c r="K15" s="1420"/>
    </row>
    <row r="16" spans="1:12" x14ac:dyDescent="0.25">
      <c r="K16" s="1420"/>
    </row>
    <row r="17" spans="10:11" x14ac:dyDescent="0.25">
      <c r="K17" s="1420"/>
    </row>
    <row r="18" spans="10:11" x14ac:dyDescent="0.25">
      <c r="J18" s="987"/>
      <c r="K18" s="1420"/>
    </row>
    <row r="19" spans="10:11" x14ac:dyDescent="0.25">
      <c r="K19" s="1420"/>
    </row>
    <row r="20" spans="10:11" x14ac:dyDescent="0.25">
      <c r="K20" s="1420"/>
    </row>
    <row r="21" spans="10:11" x14ac:dyDescent="0.25">
      <c r="J21" s="987"/>
      <c r="K21" s="1420"/>
    </row>
    <row r="22" spans="10:11" x14ac:dyDescent="0.25">
      <c r="K22" s="1420"/>
    </row>
    <row r="23" spans="10:11" x14ac:dyDescent="0.25">
      <c r="K23" s="1420"/>
    </row>
    <row r="24" spans="10:11" x14ac:dyDescent="0.25">
      <c r="J24" s="987"/>
      <c r="K24" s="1420"/>
    </row>
    <row r="25" spans="10:11" x14ac:dyDescent="0.25">
      <c r="K25" s="1420"/>
    </row>
    <row r="26" spans="10:11" x14ac:dyDescent="0.25">
      <c r="K26" s="1420"/>
    </row>
    <row r="27" spans="10:11" x14ac:dyDescent="0.25">
      <c r="J27" s="987"/>
      <c r="K27" s="1420"/>
    </row>
    <row r="28" spans="10:11" x14ac:dyDescent="0.25">
      <c r="K28" s="1420"/>
    </row>
    <row r="29" spans="10:11" x14ac:dyDescent="0.25">
      <c r="K29" s="1420"/>
    </row>
    <row r="30" spans="10:11" x14ac:dyDescent="0.25">
      <c r="J30" s="987"/>
      <c r="K30" s="1420"/>
    </row>
    <row r="31" spans="10:11" x14ac:dyDescent="0.25">
      <c r="K31" s="1420"/>
    </row>
    <row r="32" spans="10:11" x14ac:dyDescent="0.25">
      <c r="J32" s="987"/>
      <c r="K32" s="1420"/>
    </row>
    <row r="33" spans="10:11" x14ac:dyDescent="0.25">
      <c r="K33" s="1420"/>
    </row>
    <row r="34" spans="10:11" x14ac:dyDescent="0.25">
      <c r="K34" s="1420"/>
    </row>
    <row r="35" spans="10:11" x14ac:dyDescent="0.25">
      <c r="K35" s="1420"/>
    </row>
    <row r="36" spans="10:11" x14ac:dyDescent="0.25">
      <c r="K36" s="1420"/>
    </row>
    <row r="37" spans="10:11" x14ac:dyDescent="0.25">
      <c r="K37" s="1420"/>
    </row>
    <row r="38" spans="10:11" x14ac:dyDescent="0.25">
      <c r="J38" s="987"/>
      <c r="K38" s="1420"/>
    </row>
    <row r="39" spans="10:11" x14ac:dyDescent="0.25">
      <c r="K39" s="1420"/>
    </row>
    <row r="40" spans="10:11" x14ac:dyDescent="0.25">
      <c r="K40" s="1420"/>
    </row>
    <row r="41" spans="10:11" x14ac:dyDescent="0.25">
      <c r="J41" s="987"/>
      <c r="K41" s="1420"/>
    </row>
    <row r="42" spans="10:11" x14ac:dyDescent="0.25">
      <c r="K42" s="1420"/>
    </row>
    <row r="43" spans="10:11" x14ac:dyDescent="0.25">
      <c r="K43" s="1420"/>
    </row>
    <row r="44" spans="10:11" x14ac:dyDescent="0.25">
      <c r="J44" s="987"/>
      <c r="K44" s="1420"/>
    </row>
    <row r="45" spans="10:11" x14ac:dyDescent="0.25">
      <c r="K45" s="1420"/>
    </row>
    <row r="46" spans="10:11" x14ac:dyDescent="0.25">
      <c r="K46" s="1420"/>
    </row>
    <row r="47" spans="10:11" x14ac:dyDescent="0.25">
      <c r="J47" s="987"/>
      <c r="K47" s="1420"/>
    </row>
    <row r="48" spans="10:11" x14ac:dyDescent="0.25">
      <c r="K48" s="1420"/>
    </row>
    <row r="49" spans="10:11" x14ac:dyDescent="0.25">
      <c r="K49" s="1420"/>
    </row>
    <row r="50" spans="10:11" x14ac:dyDescent="0.25">
      <c r="K50" s="1420"/>
    </row>
    <row r="51" spans="10:11" x14ac:dyDescent="0.25">
      <c r="K51" s="1420"/>
    </row>
    <row r="52" spans="10:11" x14ac:dyDescent="0.25">
      <c r="J52" s="987"/>
      <c r="K52" s="1420"/>
    </row>
    <row r="53" spans="10:11" x14ac:dyDescent="0.25">
      <c r="K53" s="1420"/>
    </row>
    <row r="54" spans="10:11" x14ac:dyDescent="0.25">
      <c r="K54" s="1420"/>
    </row>
    <row r="55" spans="10:11" x14ac:dyDescent="0.25">
      <c r="J55" s="987"/>
      <c r="K55" s="1420"/>
    </row>
    <row r="56" spans="10:11" x14ac:dyDescent="0.25">
      <c r="K56" s="1420"/>
    </row>
    <row r="57" spans="10:11" x14ac:dyDescent="0.25">
      <c r="K57" s="1420"/>
    </row>
    <row r="58" spans="10:11" x14ac:dyDescent="0.25">
      <c r="K58" s="1420"/>
    </row>
    <row r="59" spans="10:11" x14ac:dyDescent="0.25">
      <c r="J59" s="987"/>
      <c r="K59" s="1420"/>
    </row>
    <row r="60" spans="10:11" x14ac:dyDescent="0.25">
      <c r="K60" s="1420"/>
    </row>
    <row r="61" spans="10:11" x14ac:dyDescent="0.25">
      <c r="K61" s="1420"/>
    </row>
    <row r="62" spans="10:11" x14ac:dyDescent="0.25">
      <c r="K62" s="1420"/>
    </row>
    <row r="63" spans="10:11" x14ac:dyDescent="0.25">
      <c r="J63" s="987"/>
      <c r="K63" s="1420"/>
    </row>
    <row r="64" spans="10:11" x14ac:dyDescent="0.25">
      <c r="K64" s="1420"/>
    </row>
    <row r="65" spans="10:11" x14ac:dyDescent="0.25">
      <c r="K65" s="1420"/>
    </row>
    <row r="66" spans="10:11" x14ac:dyDescent="0.25">
      <c r="K66" s="1420"/>
    </row>
    <row r="67" spans="10:11" x14ac:dyDescent="0.25">
      <c r="K67" s="1420"/>
    </row>
    <row r="68" spans="10:11" x14ac:dyDescent="0.25">
      <c r="K68" s="1420"/>
    </row>
    <row r="69" spans="10:11" x14ac:dyDescent="0.25">
      <c r="J69" s="987"/>
      <c r="K69" s="1420"/>
    </row>
    <row r="70" spans="10:11" x14ac:dyDescent="0.25">
      <c r="K70" s="1420"/>
    </row>
    <row r="71" spans="10:11" x14ac:dyDescent="0.25">
      <c r="K71" s="1420"/>
    </row>
    <row r="72" spans="10:11" x14ac:dyDescent="0.25">
      <c r="K72" s="1420"/>
    </row>
    <row r="73" spans="10:11" x14ac:dyDescent="0.25">
      <c r="K73" s="1420"/>
    </row>
    <row r="74" spans="10:11" x14ac:dyDescent="0.25">
      <c r="J74" s="987"/>
      <c r="K74" s="1420"/>
    </row>
    <row r="75" spans="10:11" x14ac:dyDescent="0.25">
      <c r="K75" s="1420"/>
    </row>
    <row r="76" spans="10:11" x14ac:dyDescent="0.25">
      <c r="K76" s="1420"/>
    </row>
    <row r="77" spans="10:11" x14ac:dyDescent="0.25">
      <c r="J77" s="987"/>
      <c r="K77" s="1420"/>
    </row>
    <row r="78" spans="10:11" x14ac:dyDescent="0.25">
      <c r="K78" s="1420"/>
    </row>
    <row r="79" spans="10:11" x14ac:dyDescent="0.25">
      <c r="K79" s="1420"/>
    </row>
    <row r="80" spans="10:11" x14ac:dyDescent="0.25">
      <c r="J80" s="987"/>
      <c r="K80" s="1420"/>
    </row>
    <row r="81" spans="10:11" x14ac:dyDescent="0.25">
      <c r="K81" s="1420"/>
    </row>
    <row r="82" spans="10:11" x14ac:dyDescent="0.25">
      <c r="K82" s="1420"/>
    </row>
    <row r="83" spans="10:11" x14ac:dyDescent="0.25">
      <c r="J83" s="987"/>
      <c r="K83" s="1420"/>
    </row>
    <row r="84" spans="10:11" x14ac:dyDescent="0.25">
      <c r="K84" s="1420"/>
    </row>
    <row r="85" spans="10:11" x14ac:dyDescent="0.25">
      <c r="K85" s="1420"/>
    </row>
    <row r="86" spans="10:11" x14ac:dyDescent="0.25">
      <c r="K86" s="1420"/>
    </row>
    <row r="87" spans="10:11" x14ac:dyDescent="0.25">
      <c r="J87" s="987"/>
      <c r="K87" s="1420"/>
    </row>
    <row r="88" spans="10:11" x14ac:dyDescent="0.25">
      <c r="K88" s="1420"/>
    </row>
    <row r="89" spans="10:11" x14ac:dyDescent="0.25">
      <c r="K89" s="1420"/>
    </row>
    <row r="90" spans="10:11" x14ac:dyDescent="0.25">
      <c r="J90" s="987"/>
      <c r="K90" s="1420"/>
    </row>
    <row r="91" spans="10:11" x14ac:dyDescent="0.25">
      <c r="K91" s="1420"/>
    </row>
    <row r="92" spans="10:11" x14ac:dyDescent="0.25">
      <c r="K92" s="1420"/>
    </row>
    <row r="93" spans="10:11" x14ac:dyDescent="0.25">
      <c r="J93" s="987"/>
      <c r="K93" s="1420"/>
    </row>
    <row r="94" spans="10:11" x14ac:dyDescent="0.25">
      <c r="K94" s="1420"/>
    </row>
    <row r="95" spans="10:11" x14ac:dyDescent="0.25">
      <c r="K95" s="1420"/>
    </row>
    <row r="96" spans="10:11" x14ac:dyDescent="0.25">
      <c r="J96" s="987"/>
      <c r="K96" s="1420"/>
    </row>
    <row r="97" spans="10:11" x14ac:dyDescent="0.25">
      <c r="J97" s="987"/>
      <c r="K97" s="1420"/>
    </row>
    <row r="98" spans="10:11" x14ac:dyDescent="0.25">
      <c r="J98" s="987"/>
      <c r="K98" s="1420"/>
    </row>
    <row r="99" spans="10:11" x14ac:dyDescent="0.25">
      <c r="J99" s="987"/>
      <c r="K99" s="1420"/>
    </row>
    <row r="100" spans="10:11" x14ac:dyDescent="0.25">
      <c r="J100" s="987"/>
      <c r="K100" s="1420"/>
    </row>
    <row r="101" spans="10:11" x14ac:dyDescent="0.25">
      <c r="J101" s="987"/>
      <c r="K101" s="1420"/>
    </row>
    <row r="102" spans="10:11" x14ac:dyDescent="0.25">
      <c r="K102" s="1420"/>
    </row>
    <row r="103" spans="10:11" x14ac:dyDescent="0.25">
      <c r="K103" s="1420"/>
    </row>
    <row r="104" spans="10:11" x14ac:dyDescent="0.25">
      <c r="K104" s="1420"/>
    </row>
    <row r="105" spans="10:11" x14ac:dyDescent="0.25">
      <c r="J105" s="987"/>
      <c r="K105" s="1420"/>
    </row>
    <row r="106" spans="10:11" x14ac:dyDescent="0.25">
      <c r="K106" s="1420"/>
    </row>
    <row r="107" spans="10:11" x14ac:dyDescent="0.25">
      <c r="K107" s="1420"/>
    </row>
    <row r="108" spans="10:11" x14ac:dyDescent="0.25">
      <c r="J108" s="987"/>
      <c r="K108" s="1420"/>
    </row>
    <row r="109" spans="10:11" x14ac:dyDescent="0.25">
      <c r="K109" s="1420"/>
    </row>
    <row r="110" spans="10:11" x14ac:dyDescent="0.25">
      <c r="K110" s="1420"/>
    </row>
    <row r="111" spans="10:11" x14ac:dyDescent="0.25">
      <c r="J111" s="987"/>
      <c r="K111" s="1420"/>
    </row>
    <row r="112" spans="10:11" x14ac:dyDescent="0.25">
      <c r="K112" s="1420"/>
    </row>
    <row r="113" spans="10:11" x14ac:dyDescent="0.25">
      <c r="K113" s="1420"/>
    </row>
    <row r="114" spans="10:11" x14ac:dyDescent="0.25">
      <c r="K114" s="1420"/>
    </row>
    <row r="115" spans="10:11" x14ac:dyDescent="0.25">
      <c r="K115" s="1420"/>
    </row>
    <row r="116" spans="10:11" x14ac:dyDescent="0.25">
      <c r="K116" s="1420"/>
    </row>
    <row r="117" spans="10:11" x14ac:dyDescent="0.25">
      <c r="J117" s="987"/>
      <c r="K117" s="1420"/>
    </row>
    <row r="118" spans="10:11" x14ac:dyDescent="0.25">
      <c r="K118" s="1420"/>
    </row>
    <row r="119" spans="10:11" x14ac:dyDescent="0.25">
      <c r="K119" s="1420"/>
    </row>
    <row r="120" spans="10:11" x14ac:dyDescent="0.25">
      <c r="K120" s="1420"/>
    </row>
    <row r="121" spans="10:11" x14ac:dyDescent="0.25">
      <c r="J121" s="987"/>
      <c r="K121" s="1420"/>
    </row>
    <row r="122" spans="10:11" x14ac:dyDescent="0.25">
      <c r="K122" s="1420"/>
    </row>
    <row r="123" spans="10:11" x14ac:dyDescent="0.25">
      <c r="K123" s="1420"/>
    </row>
    <row r="124" spans="10:11" x14ac:dyDescent="0.25">
      <c r="K124" s="1420"/>
    </row>
    <row r="125" spans="10:11" x14ac:dyDescent="0.25">
      <c r="J125" s="987"/>
      <c r="K125" s="1420"/>
    </row>
    <row r="126" spans="10:11" x14ac:dyDescent="0.25">
      <c r="K126" s="1420"/>
    </row>
    <row r="127" spans="10:11" x14ac:dyDescent="0.25">
      <c r="K127" s="1420"/>
    </row>
    <row r="128" spans="10:11" x14ac:dyDescent="0.25">
      <c r="J128" s="987"/>
      <c r="K128" s="1420"/>
    </row>
    <row r="129" spans="10:11" x14ac:dyDescent="0.25">
      <c r="K129" s="1420"/>
    </row>
    <row r="130" spans="10:11" x14ac:dyDescent="0.25">
      <c r="K130" s="1420"/>
    </row>
    <row r="131" spans="10:11" x14ac:dyDescent="0.25">
      <c r="J131" s="987"/>
      <c r="K131" s="1420"/>
    </row>
    <row r="132" spans="10:11" x14ac:dyDescent="0.25">
      <c r="K132" s="1420"/>
    </row>
    <row r="133" spans="10:11" x14ac:dyDescent="0.25">
      <c r="K133" s="1420"/>
    </row>
    <row r="134" spans="10:11" x14ac:dyDescent="0.25">
      <c r="K134" s="1420"/>
    </row>
    <row r="135" spans="10:11" x14ac:dyDescent="0.25">
      <c r="J135" s="987"/>
      <c r="K135" s="1420"/>
    </row>
    <row r="136" spans="10:11" x14ac:dyDescent="0.25">
      <c r="K136" s="1420"/>
    </row>
    <row r="137" spans="10:11" x14ac:dyDescent="0.25">
      <c r="K137" s="1420"/>
    </row>
    <row r="138" spans="10:11" x14ac:dyDescent="0.25">
      <c r="J138" s="987"/>
      <c r="K138" s="1420"/>
    </row>
    <row r="139" spans="10:11" x14ac:dyDescent="0.25">
      <c r="K139" s="1420"/>
    </row>
    <row r="140" spans="10:11" x14ac:dyDescent="0.25">
      <c r="K140" s="1420"/>
    </row>
    <row r="141" spans="10:11" x14ac:dyDescent="0.25">
      <c r="K141" s="1420"/>
    </row>
    <row r="142" spans="10:11" x14ac:dyDescent="0.25">
      <c r="J142" s="987"/>
      <c r="K142" s="1420"/>
    </row>
    <row r="143" spans="10:11" x14ac:dyDescent="0.25">
      <c r="K143" s="1420"/>
    </row>
    <row r="144" spans="10:11" x14ac:dyDescent="0.25">
      <c r="K144" s="1420"/>
    </row>
    <row r="145" spans="10:11" x14ac:dyDescent="0.25">
      <c r="K145" s="1420"/>
    </row>
    <row r="146" spans="10:11" x14ac:dyDescent="0.25">
      <c r="K146" s="1420"/>
    </row>
    <row r="147" spans="10:11" x14ac:dyDescent="0.25">
      <c r="J147" s="987"/>
      <c r="K147" s="1420"/>
    </row>
    <row r="148" spans="10:11" x14ac:dyDescent="0.25">
      <c r="K148" s="1420"/>
    </row>
    <row r="149" spans="10:11" x14ac:dyDescent="0.25">
      <c r="K149" s="1420"/>
    </row>
    <row r="150" spans="10:11" x14ac:dyDescent="0.25">
      <c r="J150" s="987"/>
      <c r="K150" s="1420"/>
    </row>
    <row r="151" spans="10:11" x14ac:dyDescent="0.25">
      <c r="K151" s="1420"/>
    </row>
    <row r="152" spans="10:11" x14ac:dyDescent="0.25">
      <c r="K152" s="1420"/>
    </row>
    <row r="153" spans="10:11" x14ac:dyDescent="0.25">
      <c r="J153" s="987"/>
      <c r="K153" s="1420"/>
    </row>
    <row r="154" spans="10:11" x14ac:dyDescent="0.25">
      <c r="K154" s="1420"/>
    </row>
    <row r="155" spans="10:11" x14ac:dyDescent="0.25">
      <c r="K155" s="1420"/>
    </row>
    <row r="156" spans="10:11" x14ac:dyDescent="0.25">
      <c r="J156" s="987"/>
      <c r="K156" s="1420"/>
    </row>
    <row r="157" spans="10:11" x14ac:dyDescent="0.25">
      <c r="K157" s="1420"/>
    </row>
    <row r="158" spans="10:11" x14ac:dyDescent="0.25">
      <c r="K158" s="1420"/>
    </row>
    <row r="159" spans="10:11" x14ac:dyDescent="0.25">
      <c r="K159" s="1420"/>
    </row>
    <row r="160" spans="10:11" x14ac:dyDescent="0.25">
      <c r="K160" s="1420"/>
    </row>
    <row r="161" spans="10:11" x14ac:dyDescent="0.25">
      <c r="J161" s="987"/>
      <c r="K161" s="1420"/>
    </row>
    <row r="162" spans="10:11" x14ac:dyDescent="0.25">
      <c r="K162" s="1420"/>
    </row>
    <row r="163" spans="10:11" x14ac:dyDescent="0.25">
      <c r="K163" s="1420"/>
    </row>
    <row r="164" spans="10:11" x14ac:dyDescent="0.25">
      <c r="K164" s="1420"/>
    </row>
    <row r="165" spans="10:11" x14ac:dyDescent="0.25">
      <c r="J165" s="987"/>
      <c r="K165" s="1420"/>
    </row>
    <row r="166" spans="10:11" x14ac:dyDescent="0.25">
      <c r="J166" s="987"/>
      <c r="K166" s="1421"/>
    </row>
  </sheetData>
  <sheetProtection algorithmName="SHA-512" hashValue="3kxyGcdRSh4ZTnb4oq5cD+TcKh5El4mATmYghkqdrPFqjXvge/IpVuPCY9PjtqIITFlCS4OiL4ncwqmm15lTyg==" saltValue="vSPLcrjBFjPKr1R4570m7g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49"/>
  <sheetViews>
    <sheetView topLeftCell="A8" zoomScale="82" zoomScaleNormal="82" workbookViewId="0">
      <selection activeCell="A38" sqref="A38"/>
    </sheetView>
  </sheetViews>
  <sheetFormatPr defaultColWidth="8.7109375" defaultRowHeight="15" customHeight="1" outlineLevelCol="1" x14ac:dyDescent="0.25"/>
  <cols>
    <col min="1" max="1" width="50.7109375" style="448" customWidth="1"/>
    <col min="2" max="4" width="15.7109375" style="481" bestFit="1" customWidth="1"/>
    <col min="5" max="5" width="15.5703125" style="448" bestFit="1" customWidth="1"/>
    <col min="6" max="6" width="15.7109375" style="448" bestFit="1" customWidth="1"/>
    <col min="7" max="7" width="21.7109375" style="448" bestFit="1" customWidth="1"/>
    <col min="8" max="8" width="15.7109375" style="448" bestFit="1" customWidth="1"/>
    <col min="9" max="12" width="21.7109375" style="448" bestFit="1" customWidth="1" outlineLevel="1"/>
    <col min="13" max="13" width="15.7109375" style="448" bestFit="1" customWidth="1" outlineLevel="1"/>
    <col min="14" max="17" width="21.7109375" style="448" bestFit="1" customWidth="1" outlineLevel="1"/>
    <col min="18" max="18" width="15.7109375" style="448" bestFit="1" customWidth="1" outlineLevel="1"/>
    <col min="19" max="22" width="21.7109375" style="448" bestFit="1" customWidth="1" outlineLevel="1"/>
    <col min="23" max="26" width="21.7109375" style="448" customWidth="1" outlineLevel="1"/>
    <col min="27" max="27" width="10.85546875" style="448" customWidth="1"/>
    <col min="28" max="28" width="8.85546875" style="448" customWidth="1"/>
    <col min="29" max="16384" width="8.7109375" style="448"/>
  </cols>
  <sheetData>
    <row r="1" spans="1:27" ht="13.5" x14ac:dyDescent="0.25"/>
    <row r="2" spans="1:27" s="1422" customFormat="1" ht="15.75" x14ac:dyDescent="0.3">
      <c r="B2" s="1423" t="s">
        <v>862</v>
      </c>
      <c r="C2" s="1424" t="s">
        <v>863</v>
      </c>
      <c r="D2" s="1425"/>
      <c r="E2" s="1425"/>
    </row>
    <row r="3" spans="1:27" s="1422" customFormat="1" ht="15.75" x14ac:dyDescent="0.3">
      <c r="A3" s="1422" t="s">
        <v>799</v>
      </c>
      <c r="B3" s="1426">
        <v>110000000</v>
      </c>
      <c r="D3" s="1425"/>
      <c r="E3" s="1425"/>
    </row>
    <row r="4" spans="1:27" s="607" customFormat="1" ht="15.75" x14ac:dyDescent="0.3">
      <c r="A4" s="607" t="s">
        <v>864</v>
      </c>
      <c r="C4" s="1427">
        <v>20000000</v>
      </c>
      <c r="D4" s="1426"/>
      <c r="E4" s="1426">
        <v>90000000</v>
      </c>
    </row>
    <row r="5" spans="1:27" s="607" customFormat="1" ht="15.75" x14ac:dyDescent="0.3">
      <c r="A5" s="607" t="s">
        <v>1069</v>
      </c>
      <c r="B5" s="1427">
        <v>30000000</v>
      </c>
      <c r="C5" s="1427"/>
      <c r="D5" s="1426"/>
      <c r="E5" s="1426"/>
    </row>
    <row r="6" spans="1:27" s="607" customFormat="1" ht="15.75" x14ac:dyDescent="0.3">
      <c r="A6" s="607" t="s">
        <v>1927</v>
      </c>
      <c r="B6" s="1427">
        <v>15000000</v>
      </c>
      <c r="C6" s="1427"/>
      <c r="D6" s="1426"/>
      <c r="E6" s="1426"/>
    </row>
    <row r="7" spans="1:27" s="607" customFormat="1" ht="15.75" x14ac:dyDescent="0.3">
      <c r="A7" s="607" t="s">
        <v>1927</v>
      </c>
      <c r="B7" s="1427">
        <v>2500000</v>
      </c>
      <c r="C7" s="1427"/>
      <c r="D7" s="1426"/>
      <c r="E7" s="1426"/>
    </row>
    <row r="8" spans="1:27" ht="14.25" thickBot="1" x14ac:dyDescent="0.3">
      <c r="A8" s="625"/>
      <c r="B8" s="625"/>
      <c r="C8" s="625"/>
      <c r="D8" s="625"/>
      <c r="E8" s="620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</row>
    <row r="9" spans="1:27" ht="15.75" x14ac:dyDescent="0.3">
      <c r="A9" s="1428" t="s">
        <v>800</v>
      </c>
      <c r="B9" s="1429">
        <v>2016</v>
      </c>
      <c r="C9" s="1430">
        <v>2017</v>
      </c>
      <c r="D9" s="1430">
        <v>2018</v>
      </c>
      <c r="E9" s="1431">
        <v>2019</v>
      </c>
      <c r="F9" s="1432">
        <v>2020</v>
      </c>
      <c r="G9" s="1433">
        <v>2021</v>
      </c>
      <c r="H9" s="1431">
        <v>2022</v>
      </c>
      <c r="I9" s="1434">
        <v>2023</v>
      </c>
      <c r="J9" s="1435">
        <v>2024</v>
      </c>
      <c r="K9" s="1435">
        <v>2025</v>
      </c>
      <c r="L9" s="1435">
        <v>2026</v>
      </c>
      <c r="M9" s="1436">
        <v>2027</v>
      </c>
      <c r="N9" s="1436">
        <v>2028</v>
      </c>
      <c r="O9" s="1436">
        <v>2029</v>
      </c>
      <c r="P9" s="1436">
        <v>2030</v>
      </c>
      <c r="Q9" s="1430">
        <v>2031</v>
      </c>
      <c r="R9" s="1430">
        <v>2032</v>
      </c>
      <c r="S9" s="1430">
        <v>2033</v>
      </c>
      <c r="T9" s="1430">
        <v>2034</v>
      </c>
      <c r="U9" s="1430">
        <v>2035</v>
      </c>
      <c r="V9" s="1437">
        <v>2036</v>
      </c>
      <c r="W9" s="1437">
        <v>2037</v>
      </c>
      <c r="X9" s="1437">
        <v>2038</v>
      </c>
      <c r="Y9" s="1437">
        <v>2040</v>
      </c>
      <c r="Z9" s="1437">
        <v>2041</v>
      </c>
      <c r="AA9" s="1438"/>
    </row>
    <row r="10" spans="1:27" s="481" customFormat="1" ht="13.5" x14ac:dyDescent="0.25">
      <c r="A10" s="1439" t="s">
        <v>801</v>
      </c>
      <c r="B10" s="1440"/>
      <c r="C10" s="858">
        <v>46524.695976266659</v>
      </c>
      <c r="D10" s="858">
        <v>464498.05917600001</v>
      </c>
      <c r="E10" s="1441">
        <f>0.0056*B3*0.25</f>
        <v>154000</v>
      </c>
      <c r="F10" s="1440"/>
      <c r="G10" s="858"/>
      <c r="H10" s="1442"/>
      <c r="I10" s="1440"/>
      <c r="J10" s="858"/>
      <c r="K10" s="858"/>
      <c r="L10" s="858"/>
      <c r="M10" s="858"/>
      <c r="N10" s="858"/>
      <c r="O10" s="858"/>
      <c r="P10" s="858"/>
      <c r="Q10" s="858"/>
      <c r="R10" s="858"/>
      <c r="S10" s="858"/>
      <c r="T10" s="858"/>
      <c r="U10" s="858"/>
      <c r="V10" s="1441"/>
      <c r="W10" s="1441"/>
      <c r="X10" s="1441"/>
      <c r="Y10" s="1441"/>
      <c r="Z10" s="1441"/>
      <c r="AA10" s="625"/>
    </row>
    <row r="11" spans="1:27" s="481" customFormat="1" ht="13.5" x14ac:dyDescent="0.25">
      <c r="A11" s="1439" t="s">
        <v>802</v>
      </c>
      <c r="B11" s="1440"/>
      <c r="C11" s="858">
        <v>1554732</v>
      </c>
      <c r="D11" s="858">
        <v>454732</v>
      </c>
      <c r="E11" s="1441"/>
      <c r="F11" s="1440"/>
      <c r="G11" s="858"/>
      <c r="H11" s="1442"/>
      <c r="I11" s="1440"/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858"/>
      <c r="U11" s="858"/>
      <c r="V11" s="1441"/>
      <c r="W11" s="1441"/>
      <c r="X11" s="1441"/>
      <c r="Y11" s="1441"/>
      <c r="Z11" s="1441"/>
      <c r="AA11" s="625"/>
    </row>
    <row r="12" spans="1:27" s="1447" customFormat="1" ht="13.5" x14ac:dyDescent="0.25">
      <c r="A12" s="1443" t="s">
        <v>803</v>
      </c>
      <c r="B12" s="1444"/>
      <c r="C12" s="869"/>
      <c r="D12" s="869"/>
      <c r="E12" s="1445">
        <v>1834352</v>
      </c>
      <c r="F12" s="1444">
        <f>0.009*E26</f>
        <v>794571.4439999999</v>
      </c>
      <c r="G12" s="869">
        <f t="shared" ref="G12:T12" si="0">0.009*F26</f>
        <v>748285.77599999995</v>
      </c>
      <c r="H12" s="1446">
        <f t="shared" si="0"/>
        <v>702000.10799999989</v>
      </c>
      <c r="I12" s="1444">
        <f t="shared" si="0"/>
        <v>655714.43999999994</v>
      </c>
      <c r="J12" s="869">
        <f t="shared" si="0"/>
        <v>609428.772</v>
      </c>
      <c r="K12" s="869">
        <f t="shared" si="0"/>
        <v>563143.10399999993</v>
      </c>
      <c r="L12" s="869">
        <f t="shared" si="0"/>
        <v>516857.43599999999</v>
      </c>
      <c r="M12" s="869">
        <f t="shared" si="0"/>
        <v>470571.76799999998</v>
      </c>
      <c r="N12" s="869">
        <f t="shared" si="0"/>
        <v>424286.1</v>
      </c>
      <c r="O12" s="869">
        <f t="shared" si="0"/>
        <v>378000.43199999997</v>
      </c>
      <c r="P12" s="869">
        <f t="shared" si="0"/>
        <v>331714.76399999997</v>
      </c>
      <c r="Q12" s="869">
        <f t="shared" si="0"/>
        <v>285429.09599999996</v>
      </c>
      <c r="R12" s="869">
        <f t="shared" si="0"/>
        <v>239143.42799999999</v>
      </c>
      <c r="S12" s="869">
        <f t="shared" si="0"/>
        <v>192857.75999999998</v>
      </c>
      <c r="T12" s="869">
        <f t="shared" si="0"/>
        <v>146572.09199999998</v>
      </c>
      <c r="U12" s="869">
        <f>0.009*T26-2041</f>
        <v>98245.423999999999</v>
      </c>
      <c r="V12" s="1445"/>
      <c r="W12" s="1445"/>
      <c r="X12" s="1445"/>
      <c r="Y12" s="1445"/>
      <c r="Z12" s="1445"/>
      <c r="AA12" s="625"/>
    </row>
    <row r="13" spans="1:27" s="1447" customFormat="1" ht="13.5" x14ac:dyDescent="0.25">
      <c r="A13" s="1443" t="s">
        <v>804</v>
      </c>
      <c r="B13" s="1444"/>
      <c r="C13" s="869"/>
      <c r="D13" s="869"/>
      <c r="E13" s="1445">
        <f>428571*4+C4</f>
        <v>21714284</v>
      </c>
      <c r="F13" s="1444">
        <f>428571*12</f>
        <v>5142852</v>
      </c>
      <c r="G13" s="869">
        <f t="shared" ref="G13:U13" si="1">428571*12</f>
        <v>5142852</v>
      </c>
      <c r="H13" s="1446">
        <f t="shared" si="1"/>
        <v>5142852</v>
      </c>
      <c r="I13" s="1444">
        <f t="shared" si="1"/>
        <v>5142852</v>
      </c>
      <c r="J13" s="869">
        <f t="shared" si="1"/>
        <v>5142852</v>
      </c>
      <c r="K13" s="869">
        <f t="shared" si="1"/>
        <v>5142852</v>
      </c>
      <c r="L13" s="869">
        <f t="shared" si="1"/>
        <v>5142852</v>
      </c>
      <c r="M13" s="869">
        <f t="shared" si="1"/>
        <v>5142852</v>
      </c>
      <c r="N13" s="869">
        <f t="shared" si="1"/>
        <v>5142852</v>
      </c>
      <c r="O13" s="869">
        <f t="shared" si="1"/>
        <v>5142852</v>
      </c>
      <c r="P13" s="869">
        <f t="shared" si="1"/>
        <v>5142852</v>
      </c>
      <c r="Q13" s="869">
        <f t="shared" si="1"/>
        <v>5142852</v>
      </c>
      <c r="R13" s="869">
        <f t="shared" si="1"/>
        <v>5142852</v>
      </c>
      <c r="S13" s="869">
        <f t="shared" si="1"/>
        <v>5142852</v>
      </c>
      <c r="T13" s="869">
        <f t="shared" si="1"/>
        <v>5142852</v>
      </c>
      <c r="U13" s="869">
        <f t="shared" si="1"/>
        <v>5142852</v>
      </c>
      <c r="V13" s="1445">
        <f>428571*12+90</f>
        <v>5142942</v>
      </c>
      <c r="W13" s="1445">
        <f t="shared" ref="W13:Z13" si="2">428571*12+90</f>
        <v>5142942</v>
      </c>
      <c r="X13" s="1445">
        <f t="shared" si="2"/>
        <v>5142942</v>
      </c>
      <c r="Y13" s="1445">
        <f t="shared" si="2"/>
        <v>5142942</v>
      </c>
      <c r="Z13" s="1445">
        <f t="shared" si="2"/>
        <v>5142942</v>
      </c>
      <c r="AA13" s="625"/>
    </row>
    <row r="14" spans="1:27" s="1453" customFormat="1" ht="13.5" x14ac:dyDescent="0.25">
      <c r="A14" s="1448" t="s">
        <v>805</v>
      </c>
      <c r="B14" s="1449"/>
      <c r="C14" s="1450">
        <v>1455000</v>
      </c>
      <c r="D14" s="1450">
        <f t="shared" ref="D14:I14" si="3">+C25*0.0122</f>
        <v>821839.22620000003</v>
      </c>
      <c r="E14" s="1451">
        <f t="shared" si="3"/>
        <v>682648.30379999999</v>
      </c>
      <c r="F14" s="1449">
        <f t="shared" si="3"/>
        <v>543457.38140000007</v>
      </c>
      <c r="G14" s="1450">
        <f t="shared" si="3"/>
        <v>404266.45900000003</v>
      </c>
      <c r="H14" s="1452">
        <f t="shared" si="3"/>
        <v>265075.53659999999</v>
      </c>
      <c r="I14" s="1449">
        <f t="shared" si="3"/>
        <v>125884.61420000001</v>
      </c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1"/>
      <c r="W14" s="1451"/>
      <c r="X14" s="1451"/>
      <c r="Y14" s="1451"/>
      <c r="Z14" s="1451"/>
      <c r="AA14" s="625"/>
    </row>
    <row r="15" spans="1:27" s="1453" customFormat="1" ht="13.5" x14ac:dyDescent="0.25">
      <c r="A15" s="1448" t="s">
        <v>806</v>
      </c>
      <c r="B15" s="1449"/>
      <c r="C15" s="1450">
        <v>11409092</v>
      </c>
      <c r="D15" s="1450">
        <v>11409092</v>
      </c>
      <c r="E15" s="1451">
        <f>11409092</f>
        <v>11409092</v>
      </c>
      <c r="F15" s="1449">
        <v>11409092</v>
      </c>
      <c r="G15" s="1450">
        <v>11409092</v>
      </c>
      <c r="H15" s="1452">
        <v>11409092</v>
      </c>
      <c r="I15" s="1449"/>
      <c r="J15" s="1450"/>
      <c r="K15" s="1450"/>
      <c r="L15" s="1450"/>
      <c r="M15" s="1450"/>
      <c r="N15" s="1450"/>
      <c r="O15" s="1450"/>
      <c r="P15" s="1450"/>
      <c r="Q15" s="1450"/>
      <c r="R15" s="1450"/>
      <c r="S15" s="1450"/>
      <c r="T15" s="1450"/>
      <c r="U15" s="1450"/>
      <c r="V15" s="1451"/>
      <c r="W15" s="1451"/>
      <c r="X15" s="1451"/>
      <c r="Y15" s="1451"/>
      <c r="Z15" s="1451"/>
      <c r="AA15" s="625"/>
    </row>
    <row r="16" spans="1:27" s="481" customFormat="1" ht="13.5" hidden="1" x14ac:dyDescent="0.25">
      <c r="A16" s="1439" t="s">
        <v>807</v>
      </c>
      <c r="B16" s="1440"/>
      <c r="C16" s="858">
        <v>3600000</v>
      </c>
      <c r="D16" s="858">
        <v>3640000</v>
      </c>
      <c r="E16" s="1441">
        <v>1500000</v>
      </c>
      <c r="F16" s="1440">
        <v>1500000</v>
      </c>
      <c r="G16" s="858"/>
      <c r="H16" s="1441"/>
      <c r="I16" s="1440"/>
      <c r="J16" s="858"/>
      <c r="K16" s="858"/>
      <c r="L16" s="858"/>
      <c r="M16" s="858"/>
      <c r="N16" s="858"/>
      <c r="O16" s="858"/>
      <c r="P16" s="858"/>
      <c r="Q16" s="858"/>
      <c r="R16" s="858"/>
      <c r="S16" s="858"/>
      <c r="T16" s="858"/>
      <c r="U16" s="858"/>
      <c r="V16" s="1441"/>
      <c r="W16" s="1441"/>
      <c r="X16" s="1441"/>
      <c r="Y16" s="1441"/>
      <c r="Z16" s="1441"/>
      <c r="AA16" s="625"/>
    </row>
    <row r="17" spans="1:27" s="1459" customFormat="1" ht="13.5" x14ac:dyDescent="0.25">
      <c r="A17" s="1454" t="s">
        <v>1078</v>
      </c>
      <c r="B17" s="1455"/>
      <c r="C17" s="1456"/>
      <c r="D17" s="1456"/>
      <c r="E17" s="1457">
        <f>+B5*0.0251</f>
        <v>753000</v>
      </c>
      <c r="F17" s="1455">
        <f>+E27*0.0251</f>
        <v>753000</v>
      </c>
      <c r="G17" s="1456">
        <f t="shared" ref="G17:T17" si="4">+F27*0.0251</f>
        <v>753000</v>
      </c>
      <c r="H17" s="1457">
        <f t="shared" si="4"/>
        <v>710377.18799999997</v>
      </c>
      <c r="I17" s="1455">
        <f t="shared" si="4"/>
        <v>653546.772</v>
      </c>
      <c r="J17" s="1456">
        <f t="shared" si="4"/>
        <v>596716.35600000003</v>
      </c>
      <c r="K17" s="1456">
        <f t="shared" si="4"/>
        <v>539885.94000000006</v>
      </c>
      <c r="L17" s="1456">
        <f t="shared" si="4"/>
        <v>483055.52400000003</v>
      </c>
      <c r="M17" s="1456">
        <f t="shared" si="4"/>
        <v>426225.10800000001</v>
      </c>
      <c r="N17" s="1456">
        <f t="shared" si="4"/>
        <v>369394.69200000004</v>
      </c>
      <c r="O17" s="1456">
        <f t="shared" si="4"/>
        <v>312564.27600000001</v>
      </c>
      <c r="P17" s="1456">
        <f t="shared" si="4"/>
        <v>255733.86000000002</v>
      </c>
      <c r="Q17" s="1456">
        <f t="shared" si="4"/>
        <v>198903.44400000002</v>
      </c>
      <c r="R17" s="1456">
        <f t="shared" si="4"/>
        <v>142073.02799999999</v>
      </c>
      <c r="S17" s="1456">
        <f t="shared" si="4"/>
        <v>85242.612000000008</v>
      </c>
      <c r="T17" s="1456">
        <f t="shared" si="4"/>
        <v>28412.196</v>
      </c>
      <c r="U17" s="1456"/>
      <c r="V17" s="1457"/>
      <c r="W17" s="1457"/>
      <c r="X17" s="1457"/>
      <c r="Y17" s="1457"/>
      <c r="Z17" s="1457"/>
      <c r="AA17" s="1458"/>
    </row>
    <row r="18" spans="1:27" s="1459" customFormat="1" ht="12" customHeight="1" x14ac:dyDescent="0.25">
      <c r="A18" s="1454" t="s">
        <v>1079</v>
      </c>
      <c r="B18" s="1455"/>
      <c r="C18" s="1456"/>
      <c r="D18" s="1456"/>
      <c r="E18" s="1457"/>
      <c r="F18" s="1455"/>
      <c r="G18" s="1456">
        <f>566040*3</f>
        <v>1698120</v>
      </c>
      <c r="H18" s="1457">
        <f>566040*4</f>
        <v>2264160</v>
      </c>
      <c r="I18" s="1455">
        <v>2264160</v>
      </c>
      <c r="J18" s="1456">
        <v>2264160</v>
      </c>
      <c r="K18" s="1456">
        <v>2264160</v>
      </c>
      <c r="L18" s="1456">
        <v>2264160</v>
      </c>
      <c r="M18" s="1456">
        <v>2264160</v>
      </c>
      <c r="N18" s="1456">
        <v>2264160</v>
      </c>
      <c r="O18" s="1456">
        <v>2264160</v>
      </c>
      <c r="P18" s="1456">
        <v>2264160</v>
      </c>
      <c r="Q18" s="1456">
        <v>2264160</v>
      </c>
      <c r="R18" s="1456">
        <v>2264160</v>
      </c>
      <c r="S18" s="1456">
        <v>2264160</v>
      </c>
      <c r="T18" s="1456">
        <f>2264160-1132200</f>
        <v>1131960</v>
      </c>
      <c r="U18" s="1456"/>
      <c r="V18" s="1457"/>
      <c r="W18" s="1457"/>
      <c r="X18" s="1457"/>
      <c r="Y18" s="1457"/>
      <c r="Z18" s="1457"/>
      <c r="AA18" s="1458"/>
    </row>
    <row r="19" spans="1:27" s="1735" customFormat="1" ht="12" customHeight="1" x14ac:dyDescent="0.25">
      <c r="A19" s="2169" t="s">
        <v>1923</v>
      </c>
      <c r="B19" s="2170"/>
      <c r="C19" s="2171"/>
      <c r="D19" s="2171"/>
      <c r="E19" s="2172"/>
      <c r="F19" s="2170">
        <v>135000</v>
      </c>
      <c r="G19" s="2171">
        <v>131220</v>
      </c>
      <c r="H19" s="2172">
        <v>125819.99999999999</v>
      </c>
      <c r="I19" s="2170">
        <v>119339.99999999999</v>
      </c>
      <c r="J19" s="2171">
        <v>112859.99999999999</v>
      </c>
      <c r="K19" s="2171">
        <v>106379.99999999999</v>
      </c>
      <c r="L19" s="2171">
        <v>99899.999999999985</v>
      </c>
      <c r="M19" s="2171">
        <v>93420</v>
      </c>
      <c r="N19" s="2171">
        <v>86940</v>
      </c>
      <c r="O19" s="2171">
        <v>80460</v>
      </c>
      <c r="P19" s="2171">
        <v>73980</v>
      </c>
      <c r="Q19" s="2171">
        <v>67500</v>
      </c>
      <c r="R19" s="2171">
        <v>61019.999999999993</v>
      </c>
      <c r="S19" s="2171">
        <v>54539.999999999993</v>
      </c>
      <c r="T19" s="2171">
        <v>48060</v>
      </c>
      <c r="U19" s="2171">
        <v>40500</v>
      </c>
      <c r="V19" s="2172">
        <v>32940</v>
      </c>
      <c r="W19" s="2172">
        <v>25379.999999999996</v>
      </c>
      <c r="X19" s="2172">
        <v>17820</v>
      </c>
      <c r="Y19" s="2172">
        <v>10260</v>
      </c>
      <c r="Z19" s="2172">
        <v>7739.9999999999991</v>
      </c>
      <c r="AA19" s="2173"/>
    </row>
    <row r="20" spans="1:27" s="1735" customFormat="1" ht="12" customHeight="1" x14ac:dyDescent="0.25">
      <c r="A20" s="2169" t="s">
        <v>1924</v>
      </c>
      <c r="B20" s="2170"/>
      <c r="C20" s="2171"/>
      <c r="D20" s="2171"/>
      <c r="E20" s="2172"/>
      <c r="F20" s="2170">
        <v>420000</v>
      </c>
      <c r="G20" s="2171">
        <f>12*50000</f>
        <v>600000</v>
      </c>
      <c r="H20" s="2172">
        <f>12*60000</f>
        <v>720000</v>
      </c>
      <c r="I20" s="2170">
        <v>720000</v>
      </c>
      <c r="J20" s="2171">
        <v>720000</v>
      </c>
      <c r="K20" s="2171">
        <v>720000</v>
      </c>
      <c r="L20" s="2171">
        <v>720000</v>
      </c>
      <c r="M20" s="2171">
        <v>720000</v>
      </c>
      <c r="N20" s="2171">
        <v>720000</v>
      </c>
      <c r="O20" s="2171">
        <v>720000</v>
      </c>
      <c r="P20" s="2171">
        <v>720000</v>
      </c>
      <c r="Q20" s="2171">
        <v>720000</v>
      </c>
      <c r="R20" s="2171">
        <v>720000</v>
      </c>
      <c r="S20" s="2171">
        <v>720000</v>
      </c>
      <c r="T20" s="2171">
        <f>12*70000</f>
        <v>840000</v>
      </c>
      <c r="U20" s="2171">
        <v>840000</v>
      </c>
      <c r="V20" s="2172">
        <v>840000</v>
      </c>
      <c r="W20" s="2172">
        <v>840000</v>
      </c>
      <c r="X20" s="2172">
        <v>840000</v>
      </c>
      <c r="Y20" s="2172">
        <f>4*70000</f>
        <v>280000</v>
      </c>
      <c r="Z20" s="2172">
        <v>20000</v>
      </c>
      <c r="AA20" s="2173"/>
    </row>
    <row r="21" spans="1:27" s="1735" customFormat="1" ht="12" customHeight="1" x14ac:dyDescent="0.25">
      <c r="A21" s="2169" t="s">
        <v>1926</v>
      </c>
      <c r="B21" s="2170"/>
      <c r="C21" s="2171"/>
      <c r="D21" s="2171"/>
      <c r="E21" s="2172"/>
      <c r="F21" s="2170">
        <f>2500000*0.009</f>
        <v>22500</v>
      </c>
      <c r="G21" s="2171">
        <v>21749.94</v>
      </c>
      <c r="H21" s="2172">
        <v>20249.82</v>
      </c>
      <c r="I21" s="2170">
        <v>18749.699999999997</v>
      </c>
      <c r="J21" s="2171">
        <v>17249.579999999998</v>
      </c>
      <c r="K21" s="2171">
        <v>15749.46</v>
      </c>
      <c r="L21" s="2171">
        <v>14249.339999999998</v>
      </c>
      <c r="M21" s="2171">
        <v>12749.22</v>
      </c>
      <c r="N21" s="2171">
        <v>11249.099999999999</v>
      </c>
      <c r="O21" s="2171">
        <v>9748.98</v>
      </c>
      <c r="P21" s="2171">
        <v>8248.8599999999988</v>
      </c>
      <c r="Q21" s="2171">
        <v>6748.74</v>
      </c>
      <c r="R21" s="2171">
        <v>5248.62</v>
      </c>
      <c r="S21" s="2171">
        <v>3748.4999999999995</v>
      </c>
      <c r="T21" s="2171">
        <v>2248.3799999999997</v>
      </c>
      <c r="U21" s="2171">
        <v>748.26</v>
      </c>
      <c r="V21" s="2172"/>
      <c r="W21" s="2172"/>
      <c r="X21" s="2172"/>
      <c r="Y21" s="2172"/>
      <c r="Z21" s="2172"/>
      <c r="AA21" s="2173"/>
    </row>
    <row r="22" spans="1:27" s="1735" customFormat="1" ht="12" customHeight="1" x14ac:dyDescent="0.25">
      <c r="A22" s="2169" t="s">
        <v>1925</v>
      </c>
      <c r="B22" s="2170"/>
      <c r="C22" s="2171"/>
      <c r="D22" s="2171"/>
      <c r="E22" s="2172"/>
      <c r="F22" s="2170">
        <f>13890*6</f>
        <v>83340</v>
      </c>
      <c r="G22" s="2171">
        <v>166680</v>
      </c>
      <c r="H22" s="2172">
        <v>166680</v>
      </c>
      <c r="I22" s="2170">
        <v>166680</v>
      </c>
      <c r="J22" s="2171">
        <v>166680</v>
      </c>
      <c r="K22" s="2171">
        <v>166680</v>
      </c>
      <c r="L22" s="2171">
        <v>166680</v>
      </c>
      <c r="M22" s="2171">
        <v>166680</v>
      </c>
      <c r="N22" s="2171">
        <v>166680</v>
      </c>
      <c r="O22" s="2171">
        <v>166680</v>
      </c>
      <c r="P22" s="2171">
        <v>166680</v>
      </c>
      <c r="Q22" s="2171">
        <v>166680</v>
      </c>
      <c r="R22" s="2171">
        <v>166680</v>
      </c>
      <c r="S22" s="2171">
        <v>166680</v>
      </c>
      <c r="T22" s="2171">
        <v>166680</v>
      </c>
      <c r="U22" s="2171">
        <f>13890*5+13690</f>
        <v>83140</v>
      </c>
      <c r="V22" s="2172"/>
      <c r="W22" s="2172"/>
      <c r="X22" s="2172"/>
      <c r="Y22" s="2172"/>
      <c r="Z22" s="2172"/>
      <c r="AA22" s="2173"/>
    </row>
    <row r="23" spans="1:27" s="1464" customFormat="1" ht="16.5" thickBot="1" x14ac:dyDescent="0.35">
      <c r="A23" s="1460" t="s">
        <v>791</v>
      </c>
      <c r="B23" s="1461">
        <f>SUM(B10:B22)</f>
        <v>0</v>
      </c>
      <c r="C23" s="1462">
        <f>SUM(C10:C22)</f>
        <v>18065348.695976265</v>
      </c>
      <c r="D23" s="1462">
        <f t="shared" ref="D23:V23" si="5">SUM(D10:D22)</f>
        <v>16790161.285376001</v>
      </c>
      <c r="E23" s="1463">
        <f t="shared" si="5"/>
        <v>38047376.303800002</v>
      </c>
      <c r="F23" s="1461">
        <f>SUM(F10:F22)</f>
        <v>20803812.825400002</v>
      </c>
      <c r="G23" s="1462">
        <f t="shared" si="5"/>
        <v>21075266.175000001</v>
      </c>
      <c r="H23" s="1463">
        <f t="shared" si="5"/>
        <v>21526306.652600002</v>
      </c>
      <c r="I23" s="1461">
        <f t="shared" si="5"/>
        <v>9866927.5261999983</v>
      </c>
      <c r="J23" s="1462">
        <f t="shared" si="5"/>
        <v>9629946.7079999987</v>
      </c>
      <c r="K23" s="1462">
        <f t="shared" si="5"/>
        <v>9518850.5040000007</v>
      </c>
      <c r="L23" s="1462">
        <f t="shared" si="5"/>
        <v>9407754.3000000007</v>
      </c>
      <c r="M23" s="1462">
        <f t="shared" si="5"/>
        <v>9296658.0960000008</v>
      </c>
      <c r="N23" s="1462">
        <f t="shared" si="5"/>
        <v>9185561.8919999991</v>
      </c>
      <c r="O23" s="1462">
        <f t="shared" si="5"/>
        <v>9074465.688000001</v>
      </c>
      <c r="P23" s="1462">
        <f t="shared" si="5"/>
        <v>8963369.4840000011</v>
      </c>
      <c r="Q23" s="1462">
        <f t="shared" si="5"/>
        <v>8852273.2799999993</v>
      </c>
      <c r="R23" s="1462">
        <f t="shared" si="5"/>
        <v>8741177.0759999994</v>
      </c>
      <c r="S23" s="1462">
        <f t="shared" si="5"/>
        <v>8630080.8719999995</v>
      </c>
      <c r="T23" s="1462">
        <f t="shared" si="5"/>
        <v>7506784.6680000005</v>
      </c>
      <c r="U23" s="1462">
        <f t="shared" si="5"/>
        <v>6205485.6839999994</v>
      </c>
      <c r="V23" s="1463">
        <f t="shared" si="5"/>
        <v>6015882</v>
      </c>
      <c r="W23" s="1463">
        <f t="shared" ref="W23" si="6">SUM(W10:W22)</f>
        <v>6008322</v>
      </c>
      <c r="X23" s="1463">
        <f t="shared" ref="X23" si="7">SUM(X10:X22)</f>
        <v>6000762</v>
      </c>
      <c r="Y23" s="1463">
        <f t="shared" ref="Y23" si="8">SUM(Y10:Y22)</f>
        <v>5433202</v>
      </c>
      <c r="Z23" s="1463">
        <f t="shared" ref="Z23" si="9">SUM(Z10:Z22)</f>
        <v>5170682</v>
      </c>
      <c r="AA23" s="625"/>
    </row>
    <row r="24" spans="1:27" s="481" customFormat="1" ht="14.25" customHeight="1" thickBot="1" x14ac:dyDescent="0.3">
      <c r="A24" s="1465"/>
      <c r="B24" s="1466"/>
      <c r="C24" s="1466"/>
      <c r="D24" s="1466"/>
      <c r="E24" s="1467"/>
      <c r="F24" s="1466">
        <f>+F10+F12+F14+F17+F19+F21</f>
        <v>2248528.8254</v>
      </c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625"/>
    </row>
    <row r="25" spans="1:27" s="481" customFormat="1" ht="13.5" x14ac:dyDescent="0.25">
      <c r="A25" s="1468" t="s">
        <v>808</v>
      </c>
      <c r="B25" s="1469">
        <v>78720000</v>
      </c>
      <c r="C25" s="1470">
        <f>66590908+772963</f>
        <v>67363871</v>
      </c>
      <c r="D25" s="1470">
        <f>+C25-C15</f>
        <v>55954779</v>
      </c>
      <c r="E25" s="1471">
        <f>+D25-D15</f>
        <v>44545687</v>
      </c>
      <c r="F25" s="1469">
        <f>+E25-E15</f>
        <v>33136595</v>
      </c>
      <c r="G25" s="1470">
        <f>+F25-F15</f>
        <v>21727503</v>
      </c>
      <c r="H25" s="1472">
        <f>+G25-G15</f>
        <v>10318411</v>
      </c>
      <c r="I25" s="1469"/>
      <c r="J25" s="1470"/>
      <c r="K25" s="1470"/>
      <c r="L25" s="1470"/>
      <c r="M25" s="1470"/>
      <c r="N25" s="1470"/>
      <c r="O25" s="1470"/>
      <c r="P25" s="1470"/>
      <c r="Q25" s="1470"/>
      <c r="R25" s="1470"/>
      <c r="S25" s="1470"/>
      <c r="T25" s="1470"/>
      <c r="U25" s="1470"/>
      <c r="V25" s="1471"/>
      <c r="W25" s="1471"/>
      <c r="X25" s="1471"/>
      <c r="Y25" s="1471"/>
      <c r="Z25" s="1471"/>
      <c r="AA25" s="625"/>
    </row>
    <row r="26" spans="1:27" s="481" customFormat="1" ht="13.5" x14ac:dyDescent="0.25">
      <c r="A26" s="1473" t="s">
        <v>809</v>
      </c>
      <c r="B26" s="1474"/>
      <c r="C26" s="858">
        <v>46370129</v>
      </c>
      <c r="D26" s="858">
        <v>110000000</v>
      </c>
      <c r="E26" s="1441">
        <f>B3-E13</f>
        <v>88285716</v>
      </c>
      <c r="F26" s="1440">
        <f>E26-F13</f>
        <v>83142864</v>
      </c>
      <c r="G26" s="858">
        <f t="shared" ref="G26:V26" si="10">F26-G13</f>
        <v>78000012</v>
      </c>
      <c r="H26" s="1442">
        <f t="shared" si="10"/>
        <v>72857160</v>
      </c>
      <c r="I26" s="1440">
        <f t="shared" si="10"/>
        <v>67714308</v>
      </c>
      <c r="J26" s="858">
        <f t="shared" si="10"/>
        <v>62571456</v>
      </c>
      <c r="K26" s="858">
        <f t="shared" si="10"/>
        <v>57428604</v>
      </c>
      <c r="L26" s="858">
        <f t="shared" si="10"/>
        <v>52285752</v>
      </c>
      <c r="M26" s="858">
        <f t="shared" si="10"/>
        <v>47142900</v>
      </c>
      <c r="N26" s="858">
        <f t="shared" si="10"/>
        <v>42000048</v>
      </c>
      <c r="O26" s="858">
        <f t="shared" si="10"/>
        <v>36857196</v>
      </c>
      <c r="P26" s="858">
        <f t="shared" si="10"/>
        <v>31714344</v>
      </c>
      <c r="Q26" s="858">
        <f t="shared" si="10"/>
        <v>26571492</v>
      </c>
      <c r="R26" s="858">
        <f t="shared" si="10"/>
        <v>21428640</v>
      </c>
      <c r="S26" s="858">
        <f t="shared" si="10"/>
        <v>16285788</v>
      </c>
      <c r="T26" s="858">
        <f t="shared" si="10"/>
        <v>11142936</v>
      </c>
      <c r="U26" s="858">
        <f t="shared" si="10"/>
        <v>6000084</v>
      </c>
      <c r="V26" s="1441">
        <f t="shared" si="10"/>
        <v>857142</v>
      </c>
      <c r="W26" s="1441"/>
      <c r="X26" s="1441"/>
      <c r="Y26" s="1441"/>
      <c r="Z26" s="1441"/>
      <c r="AA26" s="625"/>
    </row>
    <row r="27" spans="1:27" s="481" customFormat="1" ht="13.5" x14ac:dyDescent="0.25">
      <c r="A27" s="1439" t="s">
        <v>1068</v>
      </c>
      <c r="B27" s="1440"/>
      <c r="C27" s="858"/>
      <c r="D27" s="1476"/>
      <c r="E27" s="1477">
        <f>+B5-E18</f>
        <v>30000000</v>
      </c>
      <c r="F27" s="1478">
        <f>+E27-F18</f>
        <v>30000000</v>
      </c>
      <c r="G27" s="1476">
        <f t="shared" ref="G27:O27" si="11">+F27-G18</f>
        <v>28301880</v>
      </c>
      <c r="H27" s="1479">
        <f t="shared" si="11"/>
        <v>26037720</v>
      </c>
      <c r="I27" s="1478">
        <f t="shared" si="11"/>
        <v>23773560</v>
      </c>
      <c r="J27" s="1476">
        <f t="shared" si="11"/>
        <v>21509400</v>
      </c>
      <c r="K27" s="1476">
        <f t="shared" si="11"/>
        <v>19245240</v>
      </c>
      <c r="L27" s="1476">
        <f t="shared" si="11"/>
        <v>16981080</v>
      </c>
      <c r="M27" s="1476">
        <f t="shared" si="11"/>
        <v>14716920</v>
      </c>
      <c r="N27" s="1476">
        <f t="shared" si="11"/>
        <v>12452760</v>
      </c>
      <c r="O27" s="1476">
        <f t="shared" si="11"/>
        <v>10188600</v>
      </c>
      <c r="P27" s="1476">
        <f t="shared" ref="P27" si="12">+O27-P18</f>
        <v>7924440</v>
      </c>
      <c r="Q27" s="1476">
        <f t="shared" ref="Q27" si="13">+P27-Q18</f>
        <v>5660280</v>
      </c>
      <c r="R27" s="1476">
        <f t="shared" ref="R27" si="14">+Q27-R18</f>
        <v>3396120</v>
      </c>
      <c r="S27" s="1476">
        <f t="shared" ref="S27" si="15">+R27-S18</f>
        <v>1131960</v>
      </c>
      <c r="T27" s="1476"/>
      <c r="U27" s="1476"/>
      <c r="V27" s="1477"/>
      <c r="W27" s="1477"/>
      <c r="X27" s="1477"/>
      <c r="Y27" s="1477"/>
      <c r="Z27" s="1477"/>
      <c r="AA27" s="625"/>
    </row>
    <row r="28" spans="1:27" s="481" customFormat="1" ht="13.5" x14ac:dyDescent="0.25">
      <c r="A28" s="1439" t="s">
        <v>1929</v>
      </c>
      <c r="B28" s="1440"/>
      <c r="C28" s="528"/>
      <c r="D28" s="1476"/>
      <c r="E28" s="1477"/>
      <c r="F28" s="1478">
        <f>+B6-F20</f>
        <v>14580000</v>
      </c>
      <c r="G28" s="1476">
        <f>+F28-G20</f>
        <v>13980000</v>
      </c>
      <c r="H28" s="1479">
        <f t="shared" ref="H28:Z28" si="16">+G28-H20</f>
        <v>13260000</v>
      </c>
      <c r="I28" s="1478">
        <f t="shared" si="16"/>
        <v>12540000</v>
      </c>
      <c r="J28" s="1476">
        <f t="shared" si="16"/>
        <v>11820000</v>
      </c>
      <c r="K28" s="1476">
        <f t="shared" si="16"/>
        <v>11100000</v>
      </c>
      <c r="L28" s="1476">
        <f t="shared" si="16"/>
        <v>10380000</v>
      </c>
      <c r="M28" s="1476">
        <f t="shared" si="16"/>
        <v>9660000</v>
      </c>
      <c r="N28" s="1476">
        <f t="shared" si="16"/>
        <v>8940000</v>
      </c>
      <c r="O28" s="1476">
        <f t="shared" si="16"/>
        <v>8220000</v>
      </c>
      <c r="P28" s="1476">
        <f t="shared" si="16"/>
        <v>7500000</v>
      </c>
      <c r="Q28" s="1476">
        <f t="shared" si="16"/>
        <v>6780000</v>
      </c>
      <c r="R28" s="1476">
        <f t="shared" si="16"/>
        <v>6060000</v>
      </c>
      <c r="S28" s="1476">
        <f t="shared" si="16"/>
        <v>5340000</v>
      </c>
      <c r="T28" s="1476">
        <f t="shared" si="16"/>
        <v>4500000</v>
      </c>
      <c r="U28" s="1476">
        <f t="shared" si="16"/>
        <v>3660000</v>
      </c>
      <c r="V28" s="1477">
        <f t="shared" si="16"/>
        <v>2820000</v>
      </c>
      <c r="W28" s="1477">
        <f t="shared" si="16"/>
        <v>1980000</v>
      </c>
      <c r="X28" s="1477">
        <f t="shared" si="16"/>
        <v>1140000</v>
      </c>
      <c r="Y28" s="1477">
        <f t="shared" si="16"/>
        <v>860000</v>
      </c>
      <c r="Z28" s="1477">
        <f t="shared" si="16"/>
        <v>840000</v>
      </c>
      <c r="AA28" s="625"/>
    </row>
    <row r="29" spans="1:27" s="481" customFormat="1" ht="13.5" x14ac:dyDescent="0.25">
      <c r="A29" s="1475" t="s">
        <v>1929</v>
      </c>
      <c r="B29" s="529"/>
      <c r="C29" s="1476"/>
      <c r="D29" s="1476"/>
      <c r="E29" s="1477"/>
      <c r="F29" s="1478">
        <f>+B7-F22</f>
        <v>2416660</v>
      </c>
      <c r="G29" s="1476">
        <f>+F29-G22</f>
        <v>2249980</v>
      </c>
      <c r="H29" s="1479">
        <f t="shared" ref="H29:Z29" si="17">+G29-H22</f>
        <v>2083300</v>
      </c>
      <c r="I29" s="1478">
        <f t="shared" si="17"/>
        <v>1916620</v>
      </c>
      <c r="J29" s="1476">
        <f t="shared" si="17"/>
        <v>1749940</v>
      </c>
      <c r="K29" s="1476">
        <f t="shared" si="17"/>
        <v>1583260</v>
      </c>
      <c r="L29" s="1476">
        <f t="shared" si="17"/>
        <v>1416580</v>
      </c>
      <c r="M29" s="1476">
        <f t="shared" si="17"/>
        <v>1249900</v>
      </c>
      <c r="N29" s="1476">
        <f t="shared" si="17"/>
        <v>1083220</v>
      </c>
      <c r="O29" s="1476">
        <f t="shared" si="17"/>
        <v>916540</v>
      </c>
      <c r="P29" s="1476">
        <f t="shared" si="17"/>
        <v>749860</v>
      </c>
      <c r="Q29" s="1476">
        <f t="shared" si="17"/>
        <v>583180</v>
      </c>
      <c r="R29" s="1476">
        <f t="shared" si="17"/>
        <v>416500</v>
      </c>
      <c r="S29" s="1476">
        <f t="shared" si="17"/>
        <v>249820</v>
      </c>
      <c r="T29" s="1476">
        <f t="shared" si="17"/>
        <v>83140</v>
      </c>
      <c r="U29" s="1476">
        <f t="shared" si="17"/>
        <v>0</v>
      </c>
      <c r="V29" s="1477">
        <f t="shared" si="17"/>
        <v>0</v>
      </c>
      <c r="W29" s="1477">
        <f t="shared" si="17"/>
        <v>0</v>
      </c>
      <c r="X29" s="1477">
        <f t="shared" si="17"/>
        <v>0</v>
      </c>
      <c r="Y29" s="1477">
        <f t="shared" si="17"/>
        <v>0</v>
      </c>
      <c r="Z29" s="1477">
        <f t="shared" si="17"/>
        <v>0</v>
      </c>
      <c r="AA29" s="625"/>
    </row>
    <row r="30" spans="1:27" s="1464" customFormat="1" ht="16.5" thickBot="1" x14ac:dyDescent="0.35">
      <c r="A30" s="1480" t="s">
        <v>1091</v>
      </c>
      <c r="B30" s="1481">
        <f>SUM(B25:B29)</f>
        <v>78720000</v>
      </c>
      <c r="C30" s="1482">
        <f t="shared" ref="C30:Z30" si="18">SUM(C25:C29)</f>
        <v>113734000</v>
      </c>
      <c r="D30" s="1482">
        <f t="shared" si="18"/>
        <v>165954779</v>
      </c>
      <c r="E30" s="1483">
        <f t="shared" si="18"/>
        <v>162831403</v>
      </c>
      <c r="F30" s="1481">
        <f t="shared" si="18"/>
        <v>163276119</v>
      </c>
      <c r="G30" s="1482">
        <f t="shared" si="18"/>
        <v>144259375</v>
      </c>
      <c r="H30" s="1483">
        <f t="shared" si="18"/>
        <v>124556591</v>
      </c>
      <c r="I30" s="1481">
        <f t="shared" si="18"/>
        <v>105944488</v>
      </c>
      <c r="J30" s="1482">
        <f t="shared" si="18"/>
        <v>97650796</v>
      </c>
      <c r="K30" s="1482">
        <f t="shared" si="18"/>
        <v>89357104</v>
      </c>
      <c r="L30" s="1482">
        <f t="shared" si="18"/>
        <v>81063412</v>
      </c>
      <c r="M30" s="1482">
        <f t="shared" si="18"/>
        <v>72769720</v>
      </c>
      <c r="N30" s="1482">
        <f t="shared" si="18"/>
        <v>64476028</v>
      </c>
      <c r="O30" s="1482">
        <f t="shared" si="18"/>
        <v>56182336</v>
      </c>
      <c r="P30" s="1482">
        <f t="shared" si="18"/>
        <v>47888644</v>
      </c>
      <c r="Q30" s="1482">
        <f t="shared" si="18"/>
        <v>39594952</v>
      </c>
      <c r="R30" s="1482">
        <f t="shared" si="18"/>
        <v>31301260</v>
      </c>
      <c r="S30" s="1482">
        <f t="shared" si="18"/>
        <v>23007568</v>
      </c>
      <c r="T30" s="1482">
        <f t="shared" si="18"/>
        <v>15726076</v>
      </c>
      <c r="U30" s="1482">
        <f t="shared" si="18"/>
        <v>9660084</v>
      </c>
      <c r="V30" s="1483">
        <f t="shared" si="18"/>
        <v>3677142</v>
      </c>
      <c r="W30" s="1483">
        <f t="shared" si="18"/>
        <v>1980000</v>
      </c>
      <c r="X30" s="1483">
        <f t="shared" si="18"/>
        <v>1140000</v>
      </c>
      <c r="Y30" s="1483">
        <f t="shared" si="18"/>
        <v>860000</v>
      </c>
      <c r="Z30" s="1483">
        <f t="shared" si="18"/>
        <v>840000</v>
      </c>
      <c r="AA30" s="625"/>
    </row>
    <row r="31" spans="1:27" s="1484" customFormat="1" ht="16.5" customHeight="1" thickBot="1" x14ac:dyDescent="0.3">
      <c r="A31" s="1467"/>
      <c r="B31" s="1467"/>
      <c r="C31" s="1466"/>
      <c r="D31" s="1467"/>
      <c r="E31" s="1467"/>
      <c r="F31" s="1466"/>
      <c r="G31" s="1466"/>
      <c r="H31" s="1466"/>
      <c r="I31" s="1466"/>
      <c r="J31" s="1466"/>
      <c r="K31" s="1466"/>
      <c r="L31" s="1466"/>
      <c r="M31" s="1466"/>
      <c r="N31" s="1466"/>
      <c r="O31" s="1466"/>
      <c r="P31" s="1466"/>
      <c r="Q31" s="1466"/>
      <c r="R31" s="1466"/>
      <c r="S31" s="1466"/>
      <c r="T31" s="1466"/>
      <c r="U31" s="1466"/>
      <c r="V31" s="1466"/>
      <c r="W31" s="1466"/>
      <c r="X31" s="1466"/>
      <c r="Y31" s="1466"/>
      <c r="Z31" s="1466"/>
      <c r="AA31" s="625"/>
    </row>
    <row r="32" spans="1:27" s="1489" customFormat="1" ht="15.75" x14ac:dyDescent="0.3">
      <c r="A32" s="1428" t="s">
        <v>810</v>
      </c>
      <c r="B32" s="1485"/>
      <c r="C32" s="1486">
        <v>151878635</v>
      </c>
      <c r="D32" s="1486">
        <v>144286267</v>
      </c>
      <c r="E32" s="1487">
        <f>+'Souhrn příjmů a výdajů 2021'!I6+'Souhrn příjmů a výdajů 2021'!I27+'Souhrn příjmů a výdajů 2021'!I57+'Souhrn příjmů a výdajů 2021'!I62</f>
        <v>147141178</v>
      </c>
      <c r="F32" s="1488">
        <f>'Souhrn příjmů a výdajů 2021'!I174</f>
        <v>147076178</v>
      </c>
      <c r="G32" s="1486">
        <f>+F32</f>
        <v>147076178</v>
      </c>
      <c r="H32" s="1487">
        <f>+G32</f>
        <v>147076178</v>
      </c>
      <c r="I32" s="1488">
        <f>+H32</f>
        <v>147076178</v>
      </c>
      <c r="J32" s="1486">
        <f>+I32</f>
        <v>147076178</v>
      </c>
      <c r="K32" s="1486">
        <f t="shared" ref="K32:V32" si="19">+J32</f>
        <v>147076178</v>
      </c>
      <c r="L32" s="1486">
        <f t="shared" si="19"/>
        <v>147076178</v>
      </c>
      <c r="M32" s="1486">
        <f t="shared" si="19"/>
        <v>147076178</v>
      </c>
      <c r="N32" s="1486">
        <f t="shared" si="19"/>
        <v>147076178</v>
      </c>
      <c r="O32" s="1486">
        <f t="shared" si="19"/>
        <v>147076178</v>
      </c>
      <c r="P32" s="1486">
        <f t="shared" si="19"/>
        <v>147076178</v>
      </c>
      <c r="Q32" s="1486">
        <f t="shared" si="19"/>
        <v>147076178</v>
      </c>
      <c r="R32" s="1486">
        <f t="shared" si="19"/>
        <v>147076178</v>
      </c>
      <c r="S32" s="1486">
        <f t="shared" si="19"/>
        <v>147076178</v>
      </c>
      <c r="T32" s="1486">
        <f t="shared" si="19"/>
        <v>147076178</v>
      </c>
      <c r="U32" s="1486">
        <f t="shared" si="19"/>
        <v>147076178</v>
      </c>
      <c r="V32" s="1487">
        <f t="shared" si="19"/>
        <v>147076178</v>
      </c>
      <c r="W32" s="1487">
        <f t="shared" ref="W32" si="20">+V32</f>
        <v>147076178</v>
      </c>
      <c r="X32" s="1487">
        <f t="shared" ref="X32" si="21">+W32</f>
        <v>147076178</v>
      </c>
      <c r="Y32" s="1487">
        <f t="shared" ref="Y32" si="22">+X32</f>
        <v>147076178</v>
      </c>
      <c r="Z32" s="1487">
        <f t="shared" ref="Z32" si="23">+Y32</f>
        <v>147076178</v>
      </c>
      <c r="AA32" s="625"/>
    </row>
    <row r="33" spans="1:27" ht="15.75" thickBot="1" x14ac:dyDescent="0.3">
      <c r="A33" s="1490" t="s">
        <v>811</v>
      </c>
      <c r="B33" s="1491"/>
      <c r="C33" s="1492">
        <f>+C23/C32</f>
        <v>0.11894595112720274</v>
      </c>
      <c r="D33" s="1492">
        <f>+D23/D32</f>
        <v>0.11636700868680733</v>
      </c>
      <c r="E33" s="1493">
        <f t="shared" ref="E33:V33" si="24">+E23/E32</f>
        <v>0.25857735285903449</v>
      </c>
      <c r="F33" s="1494">
        <f t="shared" si="24"/>
        <v>0.14144923473194959</v>
      </c>
      <c r="G33" s="1492">
        <f t="shared" si="24"/>
        <v>0.14329489970156825</v>
      </c>
      <c r="H33" s="1493">
        <f>+H23/H32</f>
        <v>0.14636161304517992</v>
      </c>
      <c r="I33" s="1494">
        <f t="shared" si="24"/>
        <v>6.7087190192010551E-2</v>
      </c>
      <c r="J33" s="1492">
        <f t="shared" si="24"/>
        <v>6.547591077597896E-2</v>
      </c>
      <c r="K33" s="1492">
        <f t="shared" si="24"/>
        <v>6.4720545729710227E-2</v>
      </c>
      <c r="L33" s="1492">
        <f t="shared" si="24"/>
        <v>6.396518068344148E-2</v>
      </c>
      <c r="M33" s="1492">
        <f t="shared" si="24"/>
        <v>6.3209815637172734E-2</v>
      </c>
      <c r="N33" s="1492">
        <f t="shared" si="24"/>
        <v>6.245445059090398E-2</v>
      </c>
      <c r="O33" s="1492">
        <f t="shared" si="24"/>
        <v>6.1699085544635247E-2</v>
      </c>
      <c r="P33" s="1492">
        <f t="shared" si="24"/>
        <v>6.0943720498366508E-2</v>
      </c>
      <c r="Q33" s="1492">
        <f t="shared" si="24"/>
        <v>6.0188355452097754E-2</v>
      </c>
      <c r="R33" s="1492">
        <f t="shared" si="24"/>
        <v>5.9432990405829007E-2</v>
      </c>
      <c r="S33" s="1492">
        <f t="shared" si="24"/>
        <v>5.8677625359560268E-2</v>
      </c>
      <c r="T33" s="1492">
        <f t="shared" si="24"/>
        <v>5.104011247831039E-2</v>
      </c>
      <c r="U33" s="1492">
        <f t="shared" si="24"/>
        <v>4.2192323518224682E-2</v>
      </c>
      <c r="V33" s="1493">
        <f t="shared" si="24"/>
        <v>4.0903170600476171E-2</v>
      </c>
      <c r="W33" s="1493">
        <f t="shared" ref="W33:Z33" si="25">+W23/W32</f>
        <v>4.0851768666438963E-2</v>
      </c>
      <c r="X33" s="1493">
        <f t="shared" si="25"/>
        <v>4.0800366732401762E-2</v>
      </c>
      <c r="Y33" s="1493">
        <f t="shared" si="25"/>
        <v>3.6941414128942078E-2</v>
      </c>
      <c r="Z33" s="1493">
        <f t="shared" si="25"/>
        <v>3.5156488768697813E-2</v>
      </c>
      <c r="AA33" s="625"/>
    </row>
    <row r="34" spans="1:27" ht="15.75" hidden="1" thickBot="1" x14ac:dyDescent="0.3">
      <c r="A34" s="1495" t="s">
        <v>812</v>
      </c>
      <c r="B34" s="1496"/>
      <c r="C34" s="1497">
        <f>C30/C32</f>
        <v>0.74884792057816429</v>
      </c>
      <c r="D34" s="1497">
        <f t="shared" ref="D34:V34" si="26">D30/D32</f>
        <v>1.1501772306577174</v>
      </c>
      <c r="E34" s="1498">
        <f t="shared" si="26"/>
        <v>1.1066338139551934</v>
      </c>
      <c r="F34" s="1496">
        <f t="shared" si="26"/>
        <v>1.1101466003556333</v>
      </c>
      <c r="G34" s="1497">
        <f t="shared" si="26"/>
        <v>0.98084799973521208</v>
      </c>
      <c r="H34" s="1498">
        <f t="shared" si="26"/>
        <v>0.84688487757684316</v>
      </c>
      <c r="I34" s="1496">
        <f t="shared" si="26"/>
        <v>0.72033751108218214</v>
      </c>
      <c r="J34" s="1497">
        <f t="shared" si="26"/>
        <v>0.66394706014185378</v>
      </c>
      <c r="K34" s="1497">
        <f t="shared" si="26"/>
        <v>0.60755660920152543</v>
      </c>
      <c r="L34" s="1497">
        <f t="shared" si="26"/>
        <v>0.55116615826119708</v>
      </c>
      <c r="M34" s="1497">
        <f t="shared" si="26"/>
        <v>0.49477570732086879</v>
      </c>
      <c r="N34" s="1497">
        <f t="shared" si="26"/>
        <v>0.43838525638054043</v>
      </c>
      <c r="O34" s="1497">
        <f t="shared" si="26"/>
        <v>0.38199480544021208</v>
      </c>
      <c r="P34" s="1497">
        <f t="shared" si="26"/>
        <v>0.32560435449988373</v>
      </c>
      <c r="Q34" s="1497">
        <f t="shared" si="26"/>
        <v>0.26921390355955538</v>
      </c>
      <c r="R34" s="1497">
        <f t="shared" si="26"/>
        <v>0.21282345261922703</v>
      </c>
      <c r="S34" s="1497">
        <f t="shared" si="26"/>
        <v>0.15643300167889868</v>
      </c>
      <c r="T34" s="1497">
        <f t="shared" si="26"/>
        <v>0.10692469857355145</v>
      </c>
      <c r="U34" s="1497">
        <f t="shared" si="26"/>
        <v>6.5680820180138211E-2</v>
      </c>
      <c r="V34" s="1498">
        <f t="shared" si="26"/>
        <v>2.5001615149395574E-2</v>
      </c>
      <c r="W34" s="2167"/>
      <c r="X34" s="2167"/>
      <c r="Y34" s="2167"/>
      <c r="Z34" s="2167"/>
      <c r="AA34" s="625"/>
    </row>
    <row r="35" spans="1:27" ht="14.25" thickBot="1" x14ac:dyDescent="0.3">
      <c r="A35" s="625"/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5"/>
      <c r="W35" s="625"/>
      <c r="X35" s="625"/>
      <c r="Y35" s="625"/>
      <c r="Z35" s="625"/>
      <c r="AA35" s="625"/>
    </row>
    <row r="36" spans="1:27" s="1489" customFormat="1" ht="16.5" thickBot="1" x14ac:dyDescent="0.35">
      <c r="A36" s="1499" t="s">
        <v>813</v>
      </c>
      <c r="B36" s="1438"/>
      <c r="C36" s="1500"/>
      <c r="D36" s="1500"/>
      <c r="E36" s="1500"/>
      <c r="F36" s="1500"/>
      <c r="G36" s="1500"/>
      <c r="H36" s="1500"/>
      <c r="I36" s="1500"/>
      <c r="J36" s="1501"/>
      <c r="K36" s="1501"/>
      <c r="L36" s="1501"/>
      <c r="M36" s="1501"/>
      <c r="N36" s="1501"/>
      <c r="O36" s="1501"/>
      <c r="P36" s="1501"/>
      <c r="Q36" s="1501"/>
      <c r="R36" s="1501"/>
      <c r="S36" s="1501"/>
      <c r="T36" s="1501"/>
      <c r="U36" s="1501"/>
      <c r="V36" s="1501"/>
      <c r="W36" s="1501"/>
      <c r="X36" s="1501"/>
      <c r="Y36" s="1501"/>
      <c r="Z36" s="1501"/>
      <c r="AA36" s="625"/>
    </row>
    <row r="37" spans="1:27" ht="13.5" x14ac:dyDescent="0.25">
      <c r="A37" s="1502" t="s">
        <v>814</v>
      </c>
      <c r="B37" s="1503">
        <v>143084000</v>
      </c>
      <c r="C37" s="1469">
        <v>146553000</v>
      </c>
      <c r="D37" s="1469">
        <f>+C37*1.05</f>
        <v>153880650</v>
      </c>
      <c r="E37" s="1504">
        <v>155370596.25999999</v>
      </c>
      <c r="F37" s="1469">
        <f>+E37</f>
        <v>155370596.25999999</v>
      </c>
      <c r="G37" s="1469">
        <f>+F37*1.01</f>
        <v>156924302.22259998</v>
      </c>
      <c r="H37" s="1504">
        <f>+G37</f>
        <v>156924302.22259998</v>
      </c>
      <c r="I37" s="1468">
        <f>+H37</f>
        <v>156924302.22259998</v>
      </c>
      <c r="J37" s="1469">
        <f>+I37</f>
        <v>156924302.22259998</v>
      </c>
      <c r="K37" s="1469">
        <f t="shared" ref="K37:V37" si="27">+J37*1.02</f>
        <v>160062788.26705199</v>
      </c>
      <c r="L37" s="1469">
        <f t="shared" si="27"/>
        <v>163264044.03239304</v>
      </c>
      <c r="M37" s="1469">
        <f t="shared" si="27"/>
        <v>166529324.91304091</v>
      </c>
      <c r="N37" s="1469">
        <f t="shared" si="27"/>
        <v>169859911.41130173</v>
      </c>
      <c r="O37" s="1469">
        <f t="shared" si="27"/>
        <v>173257109.63952777</v>
      </c>
      <c r="P37" s="1469">
        <f t="shared" si="27"/>
        <v>176722251.83231834</v>
      </c>
      <c r="Q37" s="1469">
        <f t="shared" si="27"/>
        <v>180256696.8689647</v>
      </c>
      <c r="R37" s="1469">
        <f t="shared" si="27"/>
        <v>183861830.806344</v>
      </c>
      <c r="S37" s="1469">
        <f t="shared" si="27"/>
        <v>187539067.4224709</v>
      </c>
      <c r="T37" s="1469">
        <f t="shared" si="27"/>
        <v>191289848.77092031</v>
      </c>
      <c r="U37" s="1469">
        <f t="shared" si="27"/>
        <v>195115645.74633873</v>
      </c>
      <c r="V37" s="1504">
        <f t="shared" si="27"/>
        <v>199017958.66126549</v>
      </c>
      <c r="W37" s="2166"/>
      <c r="X37" s="2166"/>
      <c r="Y37" s="2166"/>
      <c r="Z37" s="2166"/>
      <c r="AA37" s="625"/>
    </row>
    <row r="38" spans="1:27" s="1510" customFormat="1" ht="16.5" thickBot="1" x14ac:dyDescent="0.35">
      <c r="A38" s="1505" t="s">
        <v>812</v>
      </c>
      <c r="B38" s="1506">
        <f>+B30/B37</f>
        <v>0.55016633585865649</v>
      </c>
      <c r="C38" s="1506">
        <f>+C30/C37</f>
        <v>0.776060537825906</v>
      </c>
      <c r="D38" s="1506">
        <f>+D30/D37</f>
        <v>1.0784642448546975</v>
      </c>
      <c r="E38" s="1507">
        <f t="shared" ref="E38:V38" si="28">+E30/E37</f>
        <v>1.048019425294056</v>
      </c>
      <c r="F38" s="1508">
        <f t="shared" si="28"/>
        <v>1.0508817171993776</v>
      </c>
      <c r="G38" s="1506">
        <f t="shared" si="28"/>
        <v>0.91929276062904164</v>
      </c>
      <c r="H38" s="1507">
        <f t="shared" si="28"/>
        <v>0.79373678414267668</v>
      </c>
      <c r="I38" s="1509">
        <f t="shared" si="28"/>
        <v>0.67513117152317048</v>
      </c>
      <c r="J38" s="1506">
        <f t="shared" si="28"/>
        <v>0.6222796253793792</v>
      </c>
      <c r="K38" s="1506">
        <f t="shared" si="28"/>
        <v>0.55826282277998807</v>
      </c>
      <c r="L38" s="1506">
        <f t="shared" si="28"/>
        <v>0.49651723672798587</v>
      </c>
      <c r="M38" s="1506">
        <f t="shared" si="28"/>
        <v>0.43697841228864193</v>
      </c>
      <c r="N38" s="1506">
        <f t="shared" si="28"/>
        <v>0.37958354896274865</v>
      </c>
      <c r="O38" s="1506">
        <f t="shared" si="28"/>
        <v>0.32427146058762529</v>
      </c>
      <c r="P38" s="1506">
        <f t="shared" si="28"/>
        <v>0.27098253617455487</v>
      </c>
      <c r="Q38" s="1506">
        <f t="shared" si="28"/>
        <v>0.21965870166134824</v>
      </c>
      <c r="R38" s="1506">
        <f t="shared" si="28"/>
        <v>0.17024338255920365</v>
      </c>
      <c r="S38" s="1506">
        <f t="shared" si="28"/>
        <v>0.12268146747349794</v>
      </c>
      <c r="T38" s="1506">
        <f t="shared" si="28"/>
        <v>8.2210718974600722E-2</v>
      </c>
      <c r="U38" s="1506">
        <f t="shared" si="28"/>
        <v>4.9509530427706706E-2</v>
      </c>
      <c r="V38" s="1507">
        <f t="shared" si="28"/>
        <v>1.8476433105509869E-2</v>
      </c>
      <c r="W38" s="2168"/>
      <c r="X38" s="2168"/>
      <c r="Y38" s="2168"/>
      <c r="Z38" s="2168"/>
      <c r="AA38" s="625"/>
    </row>
    <row r="39" spans="1:27" ht="13.5" x14ac:dyDescent="0.25">
      <c r="A39" s="625"/>
      <c r="B39" s="625"/>
      <c r="C39" s="625"/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/>
      <c r="S39" s="625"/>
      <c r="T39" s="625"/>
      <c r="U39" s="625"/>
      <c r="V39" s="625"/>
      <c r="W39" s="625"/>
      <c r="X39" s="625"/>
      <c r="Y39" s="625"/>
      <c r="Z39" s="625"/>
      <c r="AA39" s="625"/>
    </row>
    <row r="40" spans="1:27" ht="14.25" hidden="1" thickBot="1" x14ac:dyDescent="0.3">
      <c r="A40" s="625"/>
      <c r="B40" s="620"/>
      <c r="C40" s="620"/>
      <c r="D40" s="620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</row>
    <row r="41" spans="1:27" s="472" customFormat="1" ht="14.25" hidden="1" thickBot="1" x14ac:dyDescent="0.3">
      <c r="A41" s="617" t="s">
        <v>827</v>
      </c>
      <c r="B41" s="1511">
        <v>2016</v>
      </c>
      <c r="C41" s="1512">
        <v>2017</v>
      </c>
      <c r="D41" s="1513"/>
      <c r="E41" s="1514"/>
      <c r="F41" s="1514"/>
      <c r="G41" s="1515"/>
      <c r="H41" s="1512">
        <v>2018</v>
      </c>
      <c r="I41" s="1513"/>
      <c r="J41" s="1514"/>
      <c r="K41" s="1514"/>
      <c r="L41" s="1515"/>
      <c r="M41" s="1512">
        <v>2019</v>
      </c>
      <c r="N41" s="1513"/>
      <c r="O41" s="1514"/>
      <c r="P41" s="1514"/>
      <c r="Q41" s="1515"/>
      <c r="R41" s="1512">
        <v>2020</v>
      </c>
      <c r="S41" s="1513"/>
      <c r="T41" s="1513"/>
      <c r="U41" s="1514"/>
      <c r="V41" s="1515"/>
      <c r="W41" s="1516"/>
      <c r="X41" s="1516"/>
      <c r="Y41" s="1516"/>
      <c r="Z41" s="1516"/>
      <c r="AA41" s="1516"/>
    </row>
    <row r="42" spans="1:27" ht="14.25" hidden="1" thickBot="1" x14ac:dyDescent="0.3">
      <c r="A42" s="625"/>
      <c r="B42" s="1517"/>
      <c r="C42" s="1518"/>
      <c r="D42" s="1519" t="s">
        <v>822</v>
      </c>
      <c r="E42" s="1520" t="s">
        <v>823</v>
      </c>
      <c r="F42" s="1521" t="s">
        <v>824</v>
      </c>
      <c r="G42" s="1522" t="s">
        <v>825</v>
      </c>
      <c r="H42" s="1518"/>
      <c r="I42" s="1519" t="s">
        <v>822</v>
      </c>
      <c r="J42" s="1520" t="s">
        <v>823</v>
      </c>
      <c r="K42" s="1521" t="s">
        <v>824</v>
      </c>
      <c r="L42" s="1522" t="s">
        <v>825</v>
      </c>
      <c r="M42" s="1518"/>
      <c r="N42" s="1519" t="s">
        <v>822</v>
      </c>
      <c r="O42" s="1520" t="s">
        <v>823</v>
      </c>
      <c r="P42" s="1521" t="s">
        <v>824</v>
      </c>
      <c r="Q42" s="1522" t="s">
        <v>825</v>
      </c>
      <c r="R42" s="1518"/>
      <c r="S42" s="1523" t="s">
        <v>822</v>
      </c>
      <c r="T42" s="1519" t="s">
        <v>823</v>
      </c>
      <c r="U42" s="1521" t="s">
        <v>824</v>
      </c>
      <c r="V42" s="1522" t="s">
        <v>825</v>
      </c>
      <c r="W42" s="1524"/>
      <c r="X42" s="1524"/>
      <c r="Y42" s="1524"/>
      <c r="Z42" s="1524"/>
      <c r="AA42" s="1524"/>
    </row>
    <row r="43" spans="1:27" ht="17.25" hidden="1" thickBot="1" x14ac:dyDescent="0.35">
      <c r="A43" s="1525" t="s">
        <v>820</v>
      </c>
      <c r="B43" s="1526">
        <f>+B44/B45</f>
        <v>1.9308936727538348</v>
      </c>
      <c r="C43" s="1527" t="e">
        <f>+C44/C45</f>
        <v>#REF!</v>
      </c>
      <c r="D43" s="1526">
        <f>+D44/D45</f>
        <v>4.9398583634734905</v>
      </c>
      <c r="E43" s="1526">
        <f>+E44/E45</f>
        <v>2.4384532659623654</v>
      </c>
      <c r="F43" s="1526">
        <f>+F44/F45</f>
        <v>3.4125864367604826</v>
      </c>
      <c r="G43" s="1526" t="e">
        <f t="shared" ref="G43:V43" si="29">+G44/G45</f>
        <v>#DIV/0!</v>
      </c>
      <c r="H43" s="1526">
        <f t="shared" si="29"/>
        <v>2.2329426360337914</v>
      </c>
      <c r="I43" s="1526" t="e">
        <f t="shared" si="29"/>
        <v>#DIV/0!</v>
      </c>
      <c r="J43" s="1526" t="e">
        <f t="shared" si="29"/>
        <v>#DIV/0!</v>
      </c>
      <c r="K43" s="1526" t="e">
        <f t="shared" si="29"/>
        <v>#DIV/0!</v>
      </c>
      <c r="L43" s="1526" t="e">
        <f t="shared" si="29"/>
        <v>#DIV/0!</v>
      </c>
      <c r="M43" s="1526">
        <f t="shared" si="29"/>
        <v>0</v>
      </c>
      <c r="N43" s="1526" t="e">
        <f t="shared" si="29"/>
        <v>#DIV/0!</v>
      </c>
      <c r="O43" s="1526" t="e">
        <f t="shared" si="29"/>
        <v>#DIV/0!</v>
      </c>
      <c r="P43" s="1526" t="e">
        <f t="shared" si="29"/>
        <v>#DIV/0!</v>
      </c>
      <c r="Q43" s="1526" t="e">
        <f t="shared" si="29"/>
        <v>#DIV/0!</v>
      </c>
      <c r="R43" s="1526">
        <f t="shared" si="29"/>
        <v>0</v>
      </c>
      <c r="S43" s="1526" t="e">
        <f t="shared" si="29"/>
        <v>#DIV/0!</v>
      </c>
      <c r="T43" s="1526" t="e">
        <f t="shared" si="29"/>
        <v>#DIV/0!</v>
      </c>
      <c r="U43" s="1526" t="e">
        <f t="shared" si="29"/>
        <v>#DIV/0!</v>
      </c>
      <c r="V43" s="1526" t="e">
        <f t="shared" si="29"/>
        <v>#DIV/0!</v>
      </c>
      <c r="W43" s="1528"/>
      <c r="X43" s="1528"/>
      <c r="Y43" s="1528"/>
      <c r="Z43" s="1528"/>
      <c r="AA43" s="1528"/>
    </row>
    <row r="44" spans="1:27" ht="15.75" hidden="1" x14ac:dyDescent="0.25">
      <c r="A44" s="1529" t="s">
        <v>826</v>
      </c>
      <c r="B44" s="1530">
        <f>5400000+21033934.38</f>
        <v>26433934.379999999</v>
      </c>
      <c r="C44" s="1530" t="e">
        <f>27000000+#REF!+#REF!</f>
        <v>#REF!</v>
      </c>
      <c r="D44" s="1531">
        <v>17050672</v>
      </c>
      <c r="E44" s="488">
        <v>23737750</v>
      </c>
      <c r="F44" s="488">
        <v>39324288</v>
      </c>
      <c r="G44" s="491"/>
      <c r="H44" s="1531">
        <v>37491467</v>
      </c>
      <c r="I44" s="1532"/>
      <c r="J44" s="488"/>
      <c r="K44" s="488"/>
      <c r="L44" s="491"/>
      <c r="M44" s="1531"/>
      <c r="N44" s="1532"/>
      <c r="O44" s="488"/>
      <c r="P44" s="488"/>
      <c r="Q44" s="491"/>
      <c r="R44" s="1531"/>
      <c r="S44" s="485"/>
      <c r="T44" s="1532"/>
      <c r="U44" s="488"/>
      <c r="V44" s="491"/>
      <c r="W44" s="1466"/>
      <c r="X44" s="1466"/>
      <c r="Y44" s="1466"/>
      <c r="Z44" s="1466"/>
      <c r="AA44" s="1466"/>
    </row>
    <row r="45" spans="1:27" ht="16.5" hidden="1" thickBot="1" x14ac:dyDescent="0.3">
      <c r="A45" s="1533" t="s">
        <v>821</v>
      </c>
      <c r="B45" s="1534">
        <f>2281000+11409000</f>
        <v>13690000</v>
      </c>
      <c r="C45" s="1535">
        <f>+C10+C11+C14+C15</f>
        <v>14465348.695976267</v>
      </c>
      <c r="D45" s="1536">
        <v>3451652</v>
      </c>
      <c r="E45" s="1537">
        <v>9734757</v>
      </c>
      <c r="F45" s="1537">
        <v>11523309</v>
      </c>
      <c r="G45" s="1538"/>
      <c r="H45" s="1535">
        <f>+D23</f>
        <v>16790161.285376001</v>
      </c>
      <c r="I45" s="1536"/>
      <c r="J45" s="1537"/>
      <c r="K45" s="1537"/>
      <c r="L45" s="1538"/>
      <c r="M45" s="1535">
        <f>+E23</f>
        <v>38047376.303800002</v>
      </c>
      <c r="N45" s="1536"/>
      <c r="O45" s="1537"/>
      <c r="P45" s="1537"/>
      <c r="Q45" s="1538"/>
      <c r="R45" s="1535">
        <f>F23</f>
        <v>20803812.825400002</v>
      </c>
      <c r="S45" s="1539"/>
      <c r="T45" s="1536"/>
      <c r="U45" s="1537"/>
      <c r="V45" s="1538"/>
      <c r="W45" s="1466"/>
      <c r="X45" s="1466"/>
      <c r="Y45" s="1466"/>
      <c r="Z45" s="1466"/>
      <c r="AA45" s="1466"/>
    </row>
    <row r="46" spans="1:27" ht="13.5" hidden="1" x14ac:dyDescent="0.25">
      <c r="A46" s="625"/>
      <c r="B46" s="625"/>
      <c r="C46" s="625"/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625"/>
      <c r="U46" s="625"/>
      <c r="V46" s="625"/>
      <c r="W46" s="625"/>
      <c r="X46" s="625"/>
      <c r="Y46" s="625"/>
      <c r="Z46" s="625"/>
      <c r="AA46" s="625"/>
    </row>
    <row r="47" spans="1:27" ht="13.5" x14ac:dyDescent="0.25"/>
    <row r="48" spans="1:27" ht="13.5" x14ac:dyDescent="0.25"/>
    <row r="49" ht="13.5" x14ac:dyDescent="0.25"/>
  </sheetData>
  <phoneticPr fontId="3" type="noConversion"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51"/>
      <c r="C3" s="51"/>
      <c r="D3" s="52" t="s">
        <v>406</v>
      </c>
      <c r="F3" s="51"/>
      <c r="G3" s="51"/>
      <c r="H3" s="52" t="s">
        <v>289</v>
      </c>
      <c r="J3" s="51"/>
      <c r="K3" s="51"/>
      <c r="L3" s="52" t="s">
        <v>289</v>
      </c>
      <c r="N3" s="51"/>
      <c r="O3" s="51"/>
      <c r="P3" s="51"/>
    </row>
    <row r="4" spans="2:20" ht="15" x14ac:dyDescent="0.25">
      <c r="B4" s="53"/>
      <c r="C4" s="54"/>
      <c r="D4" s="55">
        <v>2014</v>
      </c>
      <c r="E4" s="54"/>
      <c r="F4" s="56"/>
      <c r="G4" s="57"/>
      <c r="H4" s="58">
        <v>2015</v>
      </c>
      <c r="J4" s="56"/>
      <c r="K4" s="57"/>
      <c r="L4" s="58">
        <v>2016</v>
      </c>
      <c r="M4" s="38"/>
      <c r="N4" s="56"/>
      <c r="O4" s="57"/>
      <c r="P4" s="58">
        <v>2017</v>
      </c>
      <c r="R4" s="59">
        <v>2018</v>
      </c>
      <c r="S4" s="58">
        <v>2019</v>
      </c>
      <c r="T4" s="58">
        <v>2020</v>
      </c>
    </row>
    <row r="5" spans="2:20" ht="15" x14ac:dyDescent="0.25">
      <c r="B5" s="60" t="s">
        <v>278</v>
      </c>
      <c r="C5" s="23"/>
      <c r="D5" s="61"/>
      <c r="E5" s="54"/>
      <c r="F5" s="62" t="s">
        <v>696</v>
      </c>
      <c r="G5" s="54"/>
      <c r="H5" s="63"/>
      <c r="J5" s="62" t="s">
        <v>696</v>
      </c>
      <c r="K5" s="54"/>
      <c r="L5" s="63"/>
      <c r="N5" s="60" t="s">
        <v>696</v>
      </c>
      <c r="O5" s="23"/>
      <c r="P5" s="61"/>
      <c r="R5" s="64"/>
      <c r="S5" s="63"/>
      <c r="T5" s="63"/>
    </row>
    <row r="6" spans="2:20" x14ac:dyDescent="0.2">
      <c r="B6" s="53"/>
      <c r="C6" s="46" t="s">
        <v>697</v>
      </c>
      <c r="D6" s="65">
        <v>3565331</v>
      </c>
      <c r="E6" s="54"/>
      <c r="F6" s="53"/>
      <c r="G6" s="54" t="s">
        <v>697</v>
      </c>
      <c r="H6" s="65">
        <v>3565331</v>
      </c>
      <c r="J6" s="53"/>
      <c r="K6" s="54" t="s">
        <v>698</v>
      </c>
      <c r="L6" s="65"/>
      <c r="M6" s="9"/>
      <c r="N6" s="53"/>
      <c r="O6" s="54" t="s">
        <v>697</v>
      </c>
      <c r="P6" s="65">
        <v>5550000</v>
      </c>
      <c r="R6" s="66">
        <v>5550000</v>
      </c>
      <c r="S6" s="65">
        <v>5550000</v>
      </c>
      <c r="T6" s="65">
        <v>5550000</v>
      </c>
    </row>
    <row r="7" spans="2:20" x14ac:dyDescent="0.2">
      <c r="B7" s="53"/>
      <c r="C7" s="46" t="s">
        <v>699</v>
      </c>
      <c r="D7" s="65">
        <v>7550000</v>
      </c>
      <c r="E7" s="54"/>
      <c r="F7" s="53"/>
      <c r="G7" s="54" t="s">
        <v>699</v>
      </c>
      <c r="H7" s="65"/>
      <c r="J7" s="53"/>
      <c r="K7" s="54" t="s">
        <v>699</v>
      </c>
      <c r="L7" s="65"/>
      <c r="M7" s="9"/>
      <c r="N7" s="53"/>
      <c r="O7" s="54" t="s">
        <v>699</v>
      </c>
      <c r="P7" s="65">
        <f>+'Výdaje kapitol celkem'!$CM$34+'Výdaje kapitol celkem'!$CP$34+'Výdaje kapitol celkem'!$CS$34</f>
        <v>5774500</v>
      </c>
      <c r="R7" s="66">
        <f>+'Výdaje kapitol celkem'!$CM$34+'Výdaje kapitol celkem'!$CP$34+'Výdaje kapitol celkem'!$CS$34</f>
        <v>5774500</v>
      </c>
      <c r="S7" s="65">
        <f>+'Výdaje kapitol celkem'!$CM$34+'Výdaje kapitol celkem'!$CP$34+'Výdaje kapitol celkem'!$CS$34</f>
        <v>5774500</v>
      </c>
      <c r="T7" s="65">
        <f>+'Výdaje kapitol celkem'!$CM$34+'Výdaje kapitol celkem'!$CP$34+'Výdaje kapitol celkem'!$CS$34</f>
        <v>5774500</v>
      </c>
    </row>
    <row r="8" spans="2:20" x14ac:dyDescent="0.2">
      <c r="B8" s="53"/>
      <c r="C8" s="46" t="s">
        <v>183</v>
      </c>
      <c r="D8" s="65">
        <v>1997367</v>
      </c>
      <c r="E8" s="54"/>
      <c r="F8" s="53"/>
      <c r="G8" s="54" t="s">
        <v>183</v>
      </c>
      <c r="H8" s="65"/>
      <c r="J8" s="53"/>
      <c r="K8" s="54" t="s">
        <v>183</v>
      </c>
      <c r="L8" s="65"/>
      <c r="M8" s="9"/>
      <c r="N8" s="53"/>
      <c r="O8" s="54" t="s">
        <v>183</v>
      </c>
      <c r="P8" s="65">
        <f>+'Výdaje kapitol celkem'!$BP$52</f>
        <v>1754100</v>
      </c>
      <c r="R8" s="66">
        <f>+'Výdaje kapitol celkem'!$BP$52</f>
        <v>1754100</v>
      </c>
      <c r="S8" s="65">
        <f>+'Výdaje kapitol celkem'!$BP$52</f>
        <v>1754100</v>
      </c>
      <c r="T8" s="65">
        <f>+'Výdaje kapitol celkem'!$BP$52</f>
        <v>1754100</v>
      </c>
    </row>
    <row r="9" spans="2:20" x14ac:dyDescent="0.2">
      <c r="B9" s="53"/>
      <c r="C9" s="46" t="s">
        <v>406</v>
      </c>
      <c r="D9" s="65">
        <v>6511246</v>
      </c>
      <c r="E9" s="54"/>
      <c r="F9" s="53"/>
      <c r="G9" s="54" t="s">
        <v>406</v>
      </c>
      <c r="H9" s="65"/>
      <c r="J9" s="53"/>
      <c r="K9" s="54" t="s">
        <v>406</v>
      </c>
      <c r="L9" s="65"/>
      <c r="M9" s="9"/>
      <c r="N9" s="53"/>
      <c r="O9" s="54" t="s">
        <v>406</v>
      </c>
      <c r="P9" s="65">
        <v>9052384</v>
      </c>
      <c r="R9" s="66">
        <v>9052384</v>
      </c>
      <c r="S9" s="65">
        <v>9052384</v>
      </c>
      <c r="T9" s="65">
        <v>9052384</v>
      </c>
    </row>
    <row r="10" spans="2:20" x14ac:dyDescent="0.2">
      <c r="B10" s="53"/>
      <c r="C10" s="46" t="s">
        <v>654</v>
      </c>
      <c r="D10" s="65">
        <v>115974</v>
      </c>
      <c r="E10" s="54"/>
      <c r="F10" s="53"/>
      <c r="G10" s="54" t="s">
        <v>654</v>
      </c>
      <c r="H10" s="65"/>
      <c r="J10" s="53"/>
      <c r="K10" s="54" t="s">
        <v>654</v>
      </c>
      <c r="L10" s="65"/>
      <c r="M10" s="9"/>
      <c r="N10" s="53"/>
      <c r="O10" s="54" t="s">
        <v>654</v>
      </c>
      <c r="P10" s="65">
        <v>857116</v>
      </c>
      <c r="R10" s="66">
        <v>857116</v>
      </c>
      <c r="S10" s="65">
        <v>857116</v>
      </c>
      <c r="T10" s="65">
        <v>857116</v>
      </c>
    </row>
    <row r="11" spans="2:20" x14ac:dyDescent="0.2">
      <c r="B11" s="53"/>
      <c r="C11" s="54"/>
      <c r="D11" s="65"/>
      <c r="E11" s="54"/>
      <c r="F11" s="53"/>
      <c r="G11" s="54" t="s">
        <v>700</v>
      </c>
      <c r="H11" s="65">
        <v>0</v>
      </c>
      <c r="J11" s="53"/>
      <c r="K11" s="54" t="s">
        <v>701</v>
      </c>
      <c r="L11" s="65"/>
      <c r="M11" s="9"/>
      <c r="N11" s="53"/>
      <c r="O11" s="54" t="s">
        <v>702</v>
      </c>
      <c r="P11" s="65">
        <f>SUM(P12:P17)</f>
        <v>4057816</v>
      </c>
      <c r="R11" s="66">
        <f>SUM(R12:R17)</f>
        <v>3200000</v>
      </c>
      <c r="S11" s="65">
        <f>SUM(S12:S17)</f>
        <v>3200000</v>
      </c>
      <c r="T11" s="65">
        <f>SUM(T12:T17)</f>
        <v>1750000</v>
      </c>
    </row>
    <row r="12" spans="2:20" s="70" customFormat="1" ht="15" x14ac:dyDescent="0.25">
      <c r="B12" s="67"/>
      <c r="C12" s="68"/>
      <c r="D12" s="69"/>
      <c r="E12" s="68"/>
      <c r="F12" s="67"/>
      <c r="G12" s="68"/>
      <c r="H12" s="69"/>
      <c r="J12" s="67"/>
      <c r="K12" s="68"/>
      <c r="L12" s="69"/>
      <c r="M12" s="13"/>
      <c r="N12" s="67"/>
      <c r="O12" s="71" t="s">
        <v>407</v>
      </c>
      <c r="P12" s="69">
        <v>2107816</v>
      </c>
      <c r="R12" s="72">
        <v>1750000</v>
      </c>
      <c r="S12" s="69">
        <v>1750000</v>
      </c>
      <c r="T12" s="69">
        <v>1750000</v>
      </c>
    </row>
    <row r="13" spans="2:20" s="70" customFormat="1" ht="15" x14ac:dyDescent="0.25">
      <c r="B13" s="67"/>
      <c r="C13" s="68"/>
      <c r="D13" s="69"/>
      <c r="E13" s="68"/>
      <c r="F13" s="67"/>
      <c r="G13" s="68"/>
      <c r="H13" s="69"/>
      <c r="J13" s="67"/>
      <c r="K13" s="68"/>
      <c r="L13" s="69"/>
      <c r="M13" s="13"/>
      <c r="N13" s="67"/>
      <c r="O13" s="71" t="s">
        <v>561</v>
      </c>
      <c r="P13" s="69">
        <v>370000</v>
      </c>
      <c r="R13" s="72">
        <v>370000</v>
      </c>
      <c r="S13" s="69">
        <v>370000</v>
      </c>
      <c r="T13" s="69"/>
    </row>
    <row r="14" spans="2:20" s="70" customFormat="1" ht="15" x14ac:dyDescent="0.25">
      <c r="B14" s="67"/>
      <c r="C14" s="68"/>
      <c r="D14" s="69"/>
      <c r="E14" s="68"/>
      <c r="F14" s="67"/>
      <c r="G14" s="68"/>
      <c r="H14" s="69"/>
      <c r="J14" s="67"/>
      <c r="K14" s="68"/>
      <c r="L14" s="69"/>
      <c r="M14" s="13"/>
      <c r="N14" s="67"/>
      <c r="O14" s="71" t="s">
        <v>562</v>
      </c>
      <c r="P14" s="69">
        <v>250000</v>
      </c>
      <c r="R14" s="72"/>
      <c r="S14" s="69"/>
      <c r="T14" s="69"/>
    </row>
    <row r="15" spans="2:20" s="70" customFormat="1" ht="15" x14ac:dyDescent="0.25">
      <c r="B15" s="67"/>
      <c r="C15" s="68"/>
      <c r="D15" s="69"/>
      <c r="E15" s="68"/>
      <c r="F15" s="67"/>
      <c r="G15" s="68"/>
      <c r="H15" s="69"/>
      <c r="J15" s="67"/>
      <c r="K15" s="68"/>
      <c r="L15" s="69"/>
      <c r="M15" s="13"/>
      <c r="N15" s="67"/>
      <c r="O15" s="71" t="s">
        <v>585</v>
      </c>
      <c r="P15" s="69">
        <v>240000</v>
      </c>
      <c r="R15" s="72">
        <v>240000</v>
      </c>
      <c r="S15" s="69">
        <v>240000</v>
      </c>
      <c r="T15" s="69"/>
    </row>
    <row r="16" spans="2:20" s="70" customFormat="1" ht="15" x14ac:dyDescent="0.25">
      <c r="B16" s="67"/>
      <c r="C16" s="68"/>
      <c r="D16" s="69"/>
      <c r="E16" s="68"/>
      <c r="F16" s="67"/>
      <c r="G16" s="68"/>
      <c r="H16" s="69"/>
      <c r="J16" s="67"/>
      <c r="K16" s="68"/>
      <c r="L16" s="69"/>
      <c r="M16" s="13"/>
      <c r="N16" s="67"/>
      <c r="O16" s="71" t="s">
        <v>586</v>
      </c>
      <c r="P16" s="69">
        <v>250000</v>
      </c>
      <c r="R16" s="72"/>
      <c r="S16" s="69"/>
      <c r="T16" s="69"/>
    </row>
    <row r="17" spans="2:20" s="70" customFormat="1" ht="15" x14ac:dyDescent="0.25">
      <c r="B17" s="67"/>
      <c r="C17" s="68"/>
      <c r="D17" s="69"/>
      <c r="E17" s="68"/>
      <c r="F17" s="67"/>
      <c r="G17" s="68"/>
      <c r="H17" s="69"/>
      <c r="J17" s="67"/>
      <c r="K17" s="68"/>
      <c r="L17" s="69"/>
      <c r="M17" s="13"/>
      <c r="N17" s="67"/>
      <c r="O17" s="71" t="s">
        <v>686</v>
      </c>
      <c r="P17" s="69">
        <v>840000</v>
      </c>
      <c r="R17" s="72">
        <v>840000</v>
      </c>
      <c r="S17" s="69">
        <v>840000</v>
      </c>
      <c r="T17" s="69"/>
    </row>
    <row r="18" spans="2:20" s="79" customFormat="1" ht="15.75" thickBot="1" x14ac:dyDescent="0.3">
      <c r="B18" s="73" t="s">
        <v>2</v>
      </c>
      <c r="C18" s="74"/>
      <c r="D18" s="75">
        <f>SUM(D6:D10)</f>
        <v>19739918</v>
      </c>
      <c r="E18" s="76"/>
      <c r="F18" s="77" t="s">
        <v>2</v>
      </c>
      <c r="G18" s="76"/>
      <c r="H18" s="78">
        <f>SUM(H6:H11)</f>
        <v>3565331</v>
      </c>
      <c r="J18" s="77"/>
      <c r="K18" s="76" t="s">
        <v>2</v>
      </c>
      <c r="L18" s="78">
        <f>SUM(L6:L10)</f>
        <v>0</v>
      </c>
      <c r="M18" s="80"/>
      <c r="N18" s="73"/>
      <c r="O18" s="74" t="s">
        <v>2</v>
      </c>
      <c r="P18" s="75">
        <f>SUM(P6:P11)</f>
        <v>27045916</v>
      </c>
      <c r="R18" s="81">
        <f>SUM(R6:R11)</f>
        <v>26188100</v>
      </c>
      <c r="S18" s="81">
        <f>SUM(S6:S11)</f>
        <v>26188100</v>
      </c>
      <c r="T18" s="81">
        <f>SUM(T6:T11)</f>
        <v>24738100</v>
      </c>
    </row>
    <row r="19" spans="2:20" s="70" customFormat="1" ht="15" x14ac:dyDescent="0.25">
      <c r="B19" s="67"/>
      <c r="C19" s="82" t="s">
        <v>703</v>
      </c>
      <c r="D19" s="69">
        <v>2823671</v>
      </c>
      <c r="E19" s="68"/>
      <c r="F19" s="67"/>
      <c r="G19" s="82" t="s">
        <v>703</v>
      </c>
      <c r="H19" s="83"/>
      <c r="J19" s="67"/>
      <c r="K19" s="82" t="s">
        <v>703</v>
      </c>
      <c r="L19" s="83"/>
      <c r="N19" s="67"/>
      <c r="O19" s="82" t="s">
        <v>703</v>
      </c>
      <c r="P19" s="69">
        <v>3605000</v>
      </c>
      <c r="R19" s="72"/>
      <c r="S19" s="69"/>
      <c r="T19" s="69"/>
    </row>
    <row r="20" spans="2:20" s="70" customFormat="1" ht="15" x14ac:dyDescent="0.25">
      <c r="B20" s="67"/>
      <c r="C20" s="82"/>
      <c r="D20" s="83"/>
      <c r="E20" s="68"/>
      <c r="F20" s="67"/>
      <c r="G20" s="82"/>
      <c r="H20" s="83"/>
      <c r="J20" s="67"/>
      <c r="K20" s="82"/>
      <c r="L20" s="83"/>
      <c r="N20" s="67"/>
      <c r="O20" s="82"/>
      <c r="P20" s="83"/>
      <c r="R20" s="84"/>
      <c r="S20" s="83"/>
      <c r="T20" s="83"/>
    </row>
    <row r="21" spans="2:20" ht="15" x14ac:dyDescent="0.25">
      <c r="B21" s="62" t="s">
        <v>258</v>
      </c>
      <c r="C21" s="54"/>
      <c r="D21" s="63"/>
      <c r="E21" s="54"/>
      <c r="F21" s="62" t="s">
        <v>258</v>
      </c>
      <c r="G21" s="54"/>
      <c r="H21" s="63"/>
      <c r="J21" s="62" t="s">
        <v>258</v>
      </c>
      <c r="K21" s="54"/>
      <c r="L21" s="63"/>
      <c r="N21" s="62" t="s">
        <v>258</v>
      </c>
      <c r="O21" s="54"/>
      <c r="P21" s="63"/>
      <c r="R21" s="64"/>
      <c r="S21" s="63"/>
      <c r="T21" s="63"/>
    </row>
    <row r="22" spans="2:20" x14ac:dyDescent="0.2">
      <c r="B22" s="53"/>
      <c r="C22" s="54" t="s">
        <v>699</v>
      </c>
      <c r="D22" s="65">
        <v>3959122</v>
      </c>
      <c r="E22" s="54"/>
      <c r="F22" s="53"/>
      <c r="G22" s="54" t="s">
        <v>704</v>
      </c>
      <c r="H22" s="85">
        <v>4381411.66</v>
      </c>
      <c r="J22" s="53"/>
      <c r="K22" s="54" t="s">
        <v>704</v>
      </c>
      <c r="L22" s="65">
        <v>5442000</v>
      </c>
      <c r="M22" s="9"/>
      <c r="N22" s="53"/>
      <c r="O22" s="54" t="s">
        <v>699</v>
      </c>
      <c r="P22" s="65">
        <v>4000000</v>
      </c>
      <c r="R22" s="66">
        <v>4000000</v>
      </c>
      <c r="S22" s="65">
        <v>4000000</v>
      </c>
      <c r="T22" s="65">
        <v>4000000</v>
      </c>
    </row>
    <row r="23" spans="2:20" x14ac:dyDescent="0.2">
      <c r="B23" s="53"/>
      <c r="C23" s="54" t="s">
        <v>704</v>
      </c>
      <c r="D23" s="65">
        <v>5190031.75</v>
      </c>
      <c r="E23" s="54"/>
      <c r="F23" s="53"/>
      <c r="G23" s="54" t="s">
        <v>654</v>
      </c>
      <c r="H23" s="65"/>
      <c r="J23" s="53"/>
      <c r="K23" s="54" t="s">
        <v>654</v>
      </c>
      <c r="L23" s="65">
        <v>153740</v>
      </c>
      <c r="M23" s="9"/>
      <c r="N23" s="53"/>
      <c r="O23" s="54" t="s">
        <v>704</v>
      </c>
      <c r="P23" s="65">
        <v>8150000</v>
      </c>
      <c r="R23" s="66">
        <v>8150000</v>
      </c>
      <c r="S23" s="65">
        <v>8150000</v>
      </c>
      <c r="T23" s="65">
        <v>8150000</v>
      </c>
    </row>
    <row r="24" spans="2:20" x14ac:dyDescent="0.2">
      <c r="B24" s="53"/>
      <c r="C24" s="54" t="s">
        <v>654</v>
      </c>
      <c r="D24" s="65">
        <v>177731</v>
      </c>
      <c r="E24" s="54"/>
      <c r="F24" s="53"/>
      <c r="G24" s="54" t="s">
        <v>699</v>
      </c>
      <c r="H24" s="65"/>
      <c r="J24" s="53"/>
      <c r="K24" s="54" t="s">
        <v>190</v>
      </c>
      <c r="L24" s="65">
        <v>2772765.1</v>
      </c>
      <c r="M24" s="9"/>
      <c r="N24" s="53"/>
      <c r="O24" s="54" t="s">
        <v>654</v>
      </c>
      <c r="P24" s="65">
        <v>450000</v>
      </c>
      <c r="R24" s="66">
        <v>450000</v>
      </c>
      <c r="S24" s="65">
        <v>450000</v>
      </c>
      <c r="T24" s="65">
        <v>450000</v>
      </c>
    </row>
    <row r="25" spans="2:20" s="79" customFormat="1" ht="15.75" thickBot="1" x14ac:dyDescent="0.3">
      <c r="B25" s="73" t="s">
        <v>2</v>
      </c>
      <c r="C25" s="74"/>
      <c r="D25" s="75">
        <f>SUM(D22:D24)</f>
        <v>9326884.75</v>
      </c>
      <c r="E25" s="76"/>
      <c r="F25" s="77" t="s">
        <v>2</v>
      </c>
      <c r="G25" s="76"/>
      <c r="H25" s="78">
        <f>SUM(H22:H24)</f>
        <v>4381411.66</v>
      </c>
      <c r="J25" s="77" t="s">
        <v>2</v>
      </c>
      <c r="K25" s="76"/>
      <c r="L25" s="78">
        <f>SUM(L22:L24)</f>
        <v>8368505.0999999996</v>
      </c>
      <c r="M25" s="80"/>
      <c r="N25" s="73" t="s">
        <v>2</v>
      </c>
      <c r="O25" s="74"/>
      <c r="P25" s="75">
        <f>SUM(P22:P24)</f>
        <v>12600000</v>
      </c>
      <c r="R25" s="81">
        <f>SUM(R22:R24)</f>
        <v>12600000</v>
      </c>
      <c r="S25" s="75">
        <f>SUM(S22:S24)</f>
        <v>12600000</v>
      </c>
      <c r="T25" s="75">
        <f>SUM(T22:T24)</f>
        <v>12600000</v>
      </c>
    </row>
    <row r="26" spans="2:20" x14ac:dyDescent="0.2">
      <c r="B26" s="53"/>
      <c r="C26" s="54"/>
      <c r="D26" s="63"/>
      <c r="E26" s="54"/>
      <c r="F26" s="53"/>
      <c r="G26" s="54"/>
      <c r="H26" s="63"/>
      <c r="J26" s="53"/>
      <c r="K26" s="54"/>
      <c r="L26" s="63"/>
      <c r="N26" s="53"/>
      <c r="O26" s="54"/>
      <c r="P26" s="63"/>
      <c r="R26" s="64"/>
      <c r="S26" s="63"/>
      <c r="T26" s="63"/>
    </row>
    <row r="27" spans="2:20" s="11" customFormat="1" ht="15" x14ac:dyDescent="0.25">
      <c r="B27" s="62" t="s">
        <v>705</v>
      </c>
      <c r="C27" s="86"/>
      <c r="D27" s="87">
        <f>D25-D18</f>
        <v>-10413033.25</v>
      </c>
      <c r="E27" s="86"/>
      <c r="F27" s="62" t="s">
        <v>705</v>
      </c>
      <c r="G27" s="86"/>
      <c r="H27" s="87">
        <f>H25-H18</f>
        <v>816080.66000000015</v>
      </c>
      <c r="J27" s="62"/>
      <c r="K27" s="86"/>
      <c r="L27" s="87">
        <f>L25-L18</f>
        <v>8368505.0999999996</v>
      </c>
      <c r="M27" s="88"/>
      <c r="N27" s="62"/>
      <c r="O27" s="86"/>
      <c r="P27" s="87">
        <f>P25-P18</f>
        <v>-14445916</v>
      </c>
      <c r="R27" s="89">
        <f>R25-R18</f>
        <v>-13588100</v>
      </c>
      <c r="S27" s="87">
        <f>S25-S18</f>
        <v>-13588100</v>
      </c>
      <c r="T27" s="87">
        <f>T25-T18</f>
        <v>-12138100</v>
      </c>
    </row>
    <row r="28" spans="2:20" s="70" customFormat="1" ht="15.75" thickBot="1" x14ac:dyDescent="0.3">
      <c r="B28" s="90"/>
      <c r="C28" s="91"/>
      <c r="D28" s="92"/>
      <c r="E28" s="68"/>
      <c r="F28" s="90"/>
      <c r="G28" s="91"/>
      <c r="H28" s="93"/>
      <c r="J28" s="90"/>
      <c r="K28" s="91"/>
      <c r="L28" s="93"/>
      <c r="M28" s="13"/>
      <c r="N28" s="90"/>
      <c r="O28" s="91"/>
      <c r="P28" s="93"/>
      <c r="R28" s="94"/>
      <c r="S28" s="93"/>
      <c r="T28" s="93"/>
    </row>
    <row r="29" spans="2:20" x14ac:dyDescent="0.2">
      <c r="J29" t="s">
        <v>706</v>
      </c>
      <c r="K29" t="s">
        <v>707</v>
      </c>
      <c r="O29" s="9"/>
    </row>
    <row r="30" spans="2:20" x14ac:dyDescent="0.2">
      <c r="G30" t="s">
        <v>708</v>
      </c>
      <c r="K30" t="s">
        <v>709</v>
      </c>
      <c r="P30" s="9"/>
    </row>
    <row r="31" spans="2:20" x14ac:dyDescent="0.2">
      <c r="C31" t="s">
        <v>710</v>
      </c>
      <c r="K31" t="s">
        <v>711</v>
      </c>
      <c r="P31" s="9">
        <f>P27-D27</f>
        <v>-4032882.75</v>
      </c>
      <c r="Q31" t="s">
        <v>712</v>
      </c>
    </row>
    <row r="32" spans="2:20" x14ac:dyDescent="0.2">
      <c r="C32" t="s">
        <v>713</v>
      </c>
      <c r="P32" s="9">
        <f>P19-D19</f>
        <v>781329</v>
      </c>
      <c r="Q32" t="s">
        <v>714</v>
      </c>
    </row>
    <row r="33" spans="3:17" x14ac:dyDescent="0.2">
      <c r="P33" s="9"/>
    </row>
    <row r="34" spans="3:17" x14ac:dyDescent="0.2">
      <c r="C34" t="s">
        <v>5</v>
      </c>
      <c r="P34" s="9">
        <f>P31-P32</f>
        <v>-4814211.75</v>
      </c>
      <c r="Q34" t="s">
        <v>715</v>
      </c>
    </row>
    <row r="35" spans="3:17" x14ac:dyDescent="0.2">
      <c r="P35" s="9"/>
      <c r="Q35" t="s">
        <v>716</v>
      </c>
    </row>
    <row r="36" spans="3:17" x14ac:dyDescent="0.2">
      <c r="P36" s="9"/>
      <c r="Q36" t="s">
        <v>717</v>
      </c>
    </row>
    <row r="37" spans="3:17" x14ac:dyDescent="0.2">
      <c r="C37" t="s">
        <v>718</v>
      </c>
      <c r="P37" s="9">
        <f>SUM(P34:P36)</f>
        <v>-4814211.75</v>
      </c>
    </row>
    <row r="38" spans="3:17" x14ac:dyDescent="0.2">
      <c r="P38" s="9"/>
    </row>
    <row r="39" spans="3:17" x14ac:dyDescent="0.2">
      <c r="C39" t="s">
        <v>719</v>
      </c>
      <c r="P39" s="9"/>
      <c r="Q39" t="s">
        <v>720</v>
      </c>
    </row>
    <row r="40" spans="3:17" x14ac:dyDescent="0.2">
      <c r="P40" s="9"/>
      <c r="Q40" t="s">
        <v>721</v>
      </c>
    </row>
    <row r="41" spans="3:17" x14ac:dyDescent="0.2">
      <c r="D41" s="95"/>
      <c r="E41" s="95"/>
      <c r="P41" s="9"/>
    </row>
    <row r="42" spans="3:17" ht="15" x14ac:dyDescent="0.25">
      <c r="C42" t="s">
        <v>722</v>
      </c>
      <c r="P42" s="88">
        <f>SUM(P37:P40)</f>
        <v>-4814211.75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/>
  </sheetViews>
  <sheetFormatPr defaultColWidth="9.140625" defaultRowHeight="12.75" x14ac:dyDescent="0.2"/>
  <cols>
    <col min="1" max="1" width="19.42578125" style="6" bestFit="1" customWidth="1"/>
    <col min="2" max="2" width="37.7109375" style="1" bestFit="1" customWidth="1"/>
    <col min="3" max="3" width="10.140625" style="1" bestFit="1" customWidth="1"/>
    <col min="4" max="4" width="11.7109375" style="1" customWidth="1"/>
    <col min="5" max="5" width="9.140625" style="1"/>
    <col min="6" max="6" width="10.140625" style="1" bestFit="1" customWidth="1"/>
    <col min="7" max="7" width="10" style="1" customWidth="1"/>
    <col min="8" max="16384" width="9.140625" style="1"/>
  </cols>
  <sheetData>
    <row r="1" spans="1:8" x14ac:dyDescent="0.2">
      <c r="A1" s="6" t="s">
        <v>352</v>
      </c>
    </row>
    <row r="3" spans="1:8" x14ac:dyDescent="0.2">
      <c r="C3" s="2324" t="s">
        <v>350</v>
      </c>
      <c r="D3" s="2324"/>
      <c r="E3" s="2324"/>
      <c r="F3" s="2324" t="s">
        <v>351</v>
      </c>
      <c r="G3" s="2324"/>
      <c r="H3" s="2324"/>
    </row>
    <row r="4" spans="1:8" x14ac:dyDescent="0.2">
      <c r="C4" s="5" t="s">
        <v>152</v>
      </c>
      <c r="D4" s="5" t="s">
        <v>371</v>
      </c>
      <c r="E4" s="5" t="s">
        <v>372</v>
      </c>
      <c r="F4" s="5" t="s">
        <v>152</v>
      </c>
      <c r="G4" s="5" t="s">
        <v>371</v>
      </c>
      <c r="H4" s="5" t="s">
        <v>372</v>
      </c>
    </row>
    <row r="5" spans="1:8" s="6" customFormat="1" x14ac:dyDescent="0.2">
      <c r="A5" s="6" t="s">
        <v>105</v>
      </c>
      <c r="C5" s="2">
        <f>SUM(C6:C9)</f>
        <v>3616303</v>
      </c>
      <c r="D5" s="2">
        <f>SUM(D6:D9)</f>
        <v>3793411</v>
      </c>
      <c r="E5" s="2"/>
      <c r="F5" s="2">
        <f>SUM(F6:F9)</f>
        <v>538674</v>
      </c>
      <c r="G5" s="2">
        <f>SUM(G6:G9)</f>
        <v>788064</v>
      </c>
      <c r="H5" s="2"/>
    </row>
    <row r="6" spans="1:8" x14ac:dyDescent="0.2">
      <c r="B6" s="1" t="s">
        <v>353</v>
      </c>
      <c r="C6" s="3"/>
      <c r="D6" s="3"/>
      <c r="E6" s="3"/>
      <c r="F6" s="3"/>
      <c r="G6" s="3"/>
      <c r="H6" s="3"/>
    </row>
    <row r="7" spans="1:8" x14ac:dyDescent="0.2">
      <c r="B7" s="1" t="s">
        <v>354</v>
      </c>
      <c r="C7" s="3">
        <v>3534245</v>
      </c>
      <c r="D7" s="3">
        <v>3634257</v>
      </c>
      <c r="E7" s="3"/>
      <c r="F7" s="3">
        <v>320174</v>
      </c>
      <c r="G7" s="3">
        <v>347735</v>
      </c>
      <c r="H7" s="3"/>
    </row>
    <row r="8" spans="1:8" x14ac:dyDescent="0.2">
      <c r="B8" s="1" t="s">
        <v>355</v>
      </c>
      <c r="C8" s="3">
        <v>1923</v>
      </c>
      <c r="D8" s="3">
        <v>0</v>
      </c>
      <c r="E8" s="3"/>
      <c r="F8" s="3">
        <v>190888</v>
      </c>
      <c r="G8" s="3">
        <v>324930</v>
      </c>
      <c r="H8" s="3"/>
    </row>
    <row r="9" spans="1:8" x14ac:dyDescent="0.2">
      <c r="B9" s="1" t="s">
        <v>356</v>
      </c>
      <c r="C9" s="3">
        <v>80135</v>
      </c>
      <c r="D9" s="3">
        <v>159154</v>
      </c>
      <c r="E9" s="3"/>
      <c r="F9" s="3">
        <v>27612</v>
      </c>
      <c r="G9" s="3">
        <v>115399</v>
      </c>
      <c r="H9" s="3"/>
    </row>
    <row r="10" spans="1:8" s="6" customFormat="1" x14ac:dyDescent="0.2">
      <c r="A10" s="6" t="s">
        <v>155</v>
      </c>
      <c r="C10" s="2">
        <f>SUM(C11:C12)</f>
        <v>23557</v>
      </c>
      <c r="D10" s="2">
        <f>SUM(D11:D12)</f>
        <v>32193</v>
      </c>
      <c r="E10" s="2"/>
      <c r="F10" s="2">
        <f>SUM(F11:F12)</f>
        <v>944734</v>
      </c>
      <c r="G10" s="2">
        <f>SUM(G11:G12)</f>
        <v>943726</v>
      </c>
      <c r="H10" s="2"/>
    </row>
    <row r="11" spans="1:8" x14ac:dyDescent="0.2">
      <c r="B11" s="1" t="s">
        <v>357</v>
      </c>
      <c r="C11" s="3">
        <v>23557</v>
      </c>
      <c r="D11" s="3">
        <v>32193</v>
      </c>
      <c r="E11" s="3"/>
      <c r="F11" s="3">
        <v>867977</v>
      </c>
      <c r="G11" s="3">
        <v>873365</v>
      </c>
      <c r="H11" s="3"/>
    </row>
    <row r="12" spans="1:8" x14ac:dyDescent="0.2">
      <c r="B12" s="1" t="s">
        <v>358</v>
      </c>
      <c r="C12" s="3"/>
      <c r="D12" s="3"/>
      <c r="E12" s="3"/>
      <c r="F12" s="3">
        <v>76757</v>
      </c>
      <c r="G12" s="3">
        <v>70361</v>
      </c>
      <c r="H12" s="3"/>
    </row>
    <row r="13" spans="1:8" s="6" customFormat="1" x14ac:dyDescent="0.2">
      <c r="A13" s="6" t="s">
        <v>154</v>
      </c>
      <c r="C13" s="2">
        <f>SUM(C14:C15)</f>
        <v>0</v>
      </c>
      <c r="D13" s="2">
        <f>SUM(D14:D15)</f>
        <v>0</v>
      </c>
      <c r="E13" s="2"/>
      <c r="F13" s="2">
        <f>SUM(F14:F15)</f>
        <v>0</v>
      </c>
      <c r="G13" s="2">
        <f>SUM(G14:G15)</f>
        <v>0</v>
      </c>
      <c r="H13" s="2"/>
    </row>
    <row r="14" spans="1:8" x14ac:dyDescent="0.2">
      <c r="B14" s="1" t="s">
        <v>359</v>
      </c>
      <c r="C14" s="3"/>
      <c r="D14" s="3"/>
      <c r="E14" s="3"/>
      <c r="F14" s="3"/>
      <c r="G14" s="3"/>
      <c r="H14" s="3"/>
    </row>
    <row r="15" spans="1:8" x14ac:dyDescent="0.2">
      <c r="B15" s="1" t="s">
        <v>360</v>
      </c>
      <c r="C15" s="3"/>
      <c r="D15" s="3"/>
      <c r="E15" s="3"/>
      <c r="F15" s="3"/>
      <c r="G15" s="3"/>
      <c r="H15" s="3"/>
    </row>
    <row r="16" spans="1:8" s="6" customFormat="1" x14ac:dyDescent="0.2">
      <c r="A16" s="6" t="s">
        <v>361</v>
      </c>
      <c r="C16" s="2">
        <f>SUM(C17:C22)</f>
        <v>1631000</v>
      </c>
      <c r="D16" s="2">
        <f>SUM(D17:D22)</f>
        <v>1367583</v>
      </c>
      <c r="E16" s="2"/>
      <c r="F16" s="2">
        <f>SUM(F17:F22)</f>
        <v>3863358</v>
      </c>
      <c r="G16" s="2">
        <f>SUM(G17:G22)</f>
        <v>3942970</v>
      </c>
      <c r="H16" s="2"/>
    </row>
    <row r="17" spans="1:8" x14ac:dyDescent="0.2">
      <c r="B17" s="1" t="s">
        <v>362</v>
      </c>
      <c r="C17" s="3"/>
      <c r="D17" s="3"/>
      <c r="E17" s="3"/>
      <c r="F17" s="3"/>
      <c r="G17" s="3"/>
      <c r="H17" s="3"/>
    </row>
    <row r="18" spans="1:8" x14ac:dyDescent="0.2">
      <c r="B18" s="1" t="s">
        <v>363</v>
      </c>
      <c r="C18" s="3">
        <v>563884</v>
      </c>
      <c r="D18" s="3">
        <v>293797</v>
      </c>
      <c r="E18" s="3"/>
      <c r="F18" s="3">
        <v>83038</v>
      </c>
      <c r="G18" s="3">
        <v>131451</v>
      </c>
      <c r="H18" s="3"/>
    </row>
    <row r="19" spans="1:8" x14ac:dyDescent="0.2">
      <c r="B19" s="1" t="s">
        <v>364</v>
      </c>
      <c r="C19" s="3">
        <v>927012</v>
      </c>
      <c r="D19" s="3">
        <v>927013</v>
      </c>
      <c r="E19" s="3"/>
      <c r="F19" s="3">
        <v>3348963</v>
      </c>
      <c r="G19" s="3">
        <v>3348963</v>
      </c>
      <c r="H19" s="3"/>
    </row>
    <row r="20" spans="1:8" x14ac:dyDescent="0.2">
      <c r="B20" s="1" t="s">
        <v>365</v>
      </c>
      <c r="C20" s="3"/>
      <c r="D20" s="3"/>
      <c r="E20" s="3"/>
      <c r="F20" s="3">
        <v>26984</v>
      </c>
      <c r="G20" s="3">
        <v>32694</v>
      </c>
      <c r="H20" s="3"/>
    </row>
    <row r="21" spans="1:8" x14ac:dyDescent="0.2">
      <c r="B21" s="1" t="s">
        <v>366</v>
      </c>
      <c r="C21" s="3">
        <v>140104</v>
      </c>
      <c r="D21" s="3">
        <v>146773</v>
      </c>
      <c r="E21" s="3"/>
      <c r="F21" s="3">
        <v>404373</v>
      </c>
      <c r="G21" s="3">
        <v>429862</v>
      </c>
      <c r="H21" s="3"/>
    </row>
    <row r="22" spans="1:8" x14ac:dyDescent="0.2">
      <c r="B22" s="1" t="s">
        <v>378</v>
      </c>
      <c r="C22" s="3"/>
      <c r="D22" s="3"/>
      <c r="E22" s="3"/>
      <c r="F22" s="3"/>
      <c r="G22" s="3"/>
      <c r="H22" s="3"/>
    </row>
    <row r="23" spans="1:8" s="6" customFormat="1" x14ac:dyDescent="0.2">
      <c r="A23" s="6" t="s">
        <v>367</v>
      </c>
      <c r="C23" s="2"/>
      <c r="D23" s="2"/>
      <c r="E23" s="2"/>
      <c r="F23" s="2"/>
      <c r="G23" s="2"/>
      <c r="H23" s="2"/>
    </row>
    <row r="24" spans="1:8" s="6" customFormat="1" x14ac:dyDescent="0.2">
      <c r="A24" s="6" t="s">
        <v>368</v>
      </c>
      <c r="C24" s="2"/>
      <c r="D24" s="2"/>
      <c r="E24" s="2"/>
      <c r="F24" s="2"/>
      <c r="G24" s="2"/>
      <c r="H24" s="2"/>
    </row>
    <row r="25" spans="1:8" s="6" customFormat="1" x14ac:dyDescent="0.2">
      <c r="A25" s="6" t="s">
        <v>369</v>
      </c>
      <c r="C25" s="2"/>
      <c r="D25" s="2"/>
      <c r="E25" s="2"/>
      <c r="F25" s="2"/>
      <c r="G25" s="2"/>
      <c r="H25" s="2"/>
    </row>
    <row r="26" spans="1:8" s="6" customFormat="1" x14ac:dyDescent="0.2">
      <c r="A26" s="6" t="s">
        <v>370</v>
      </c>
      <c r="C26" s="2">
        <f>+C5+C10+C13+C16+C23+C24+C25</f>
        <v>5270860</v>
      </c>
      <c r="D26" s="2">
        <f>+D5+D10+D13+D16+D23+D24+D25</f>
        <v>5193187</v>
      </c>
      <c r="E26" s="2"/>
      <c r="F26" s="2">
        <f>+F5+F10+F13+F16+F23+F24+F25</f>
        <v>5346766</v>
      </c>
      <c r="G26" s="2">
        <f>+G5+G10+G13+G16+G23+G24+G25</f>
        <v>5674760</v>
      </c>
      <c r="H26" s="2"/>
    </row>
    <row r="27" spans="1:8" x14ac:dyDescent="0.2">
      <c r="C27" s="3"/>
      <c r="D27" s="3"/>
      <c r="E27" s="3"/>
      <c r="F27" s="3"/>
      <c r="G27" s="3"/>
      <c r="H27" s="3"/>
    </row>
    <row r="28" spans="1:8" s="7" customFormat="1" x14ac:dyDescent="0.2">
      <c r="A28" s="27" t="s">
        <v>373</v>
      </c>
    </row>
    <row r="29" spans="1:8" s="7" customFormat="1" x14ac:dyDescent="0.2">
      <c r="A29" s="27"/>
      <c r="B29" s="7" t="s">
        <v>374</v>
      </c>
      <c r="C29" s="7">
        <v>212579</v>
      </c>
      <c r="D29" s="7">
        <v>198157</v>
      </c>
    </row>
    <row r="30" spans="1:8" s="7" customFormat="1" x14ac:dyDescent="0.2">
      <c r="A30" s="27"/>
      <c r="B30" s="7" t="s">
        <v>375</v>
      </c>
      <c r="F30" s="7">
        <v>204819</v>
      </c>
      <c r="G30" s="7">
        <v>191747</v>
      </c>
    </row>
    <row r="31" spans="1:8" s="7" customFormat="1" x14ac:dyDescent="0.2">
      <c r="A31" s="27"/>
    </row>
    <row r="32" spans="1:8" s="7" customFormat="1" x14ac:dyDescent="0.2">
      <c r="A32" s="27"/>
    </row>
    <row r="33" spans="1:7" s="7" customFormat="1" x14ac:dyDescent="0.2">
      <c r="A33" s="27"/>
      <c r="B33" s="7" t="s">
        <v>376</v>
      </c>
      <c r="C33" s="7">
        <v>262098</v>
      </c>
      <c r="D33" s="7">
        <v>236000</v>
      </c>
    </row>
    <row r="34" spans="1:7" s="7" customFormat="1" x14ac:dyDescent="0.2">
      <c r="A34" s="27"/>
      <c r="B34" s="7" t="s">
        <v>377</v>
      </c>
      <c r="F34" s="7">
        <v>9670</v>
      </c>
      <c r="G34" s="7">
        <v>10500</v>
      </c>
    </row>
    <row r="36" spans="1:7" s="6" customFormat="1" x14ac:dyDescent="0.2">
      <c r="B36" s="6" t="s">
        <v>379</v>
      </c>
      <c r="C36" s="28">
        <f>C26/C29</f>
        <v>24.794829216432479</v>
      </c>
      <c r="D36" s="28">
        <f>D26/D29</f>
        <v>26.20743652760185</v>
      </c>
      <c r="E36" s="28"/>
      <c r="F36" s="28">
        <f>F26/F30</f>
        <v>26.104834024187209</v>
      </c>
      <c r="G36" s="28">
        <f>G26/G30</f>
        <v>29.595039296573088</v>
      </c>
    </row>
    <row r="39" spans="1:7" x14ac:dyDescent="0.2">
      <c r="C39" s="26">
        <v>78.459999999999994</v>
      </c>
    </row>
    <row r="40" spans="1:7" x14ac:dyDescent="0.2">
      <c r="B40" s="1" t="s">
        <v>387</v>
      </c>
      <c r="C40" s="3">
        <f>C39*200000</f>
        <v>15691999.999999998</v>
      </c>
    </row>
    <row r="41" spans="1:7" x14ac:dyDescent="0.2">
      <c r="B41" s="1" t="s">
        <v>388</v>
      </c>
      <c r="C41" s="3">
        <f>'Příjmy kapitol celkem'!R40</f>
        <v>0</v>
      </c>
    </row>
    <row r="42" spans="1:7" x14ac:dyDescent="0.2">
      <c r="C42" s="3">
        <f>C40-C41</f>
        <v>15691999.999999998</v>
      </c>
    </row>
    <row r="43" spans="1:7" x14ac:dyDescent="0.2">
      <c r="C43" s="1">
        <v>4000000</v>
      </c>
      <c r="D43" s="1" t="s">
        <v>385</v>
      </c>
    </row>
    <row r="44" spans="1:7" x14ac:dyDescent="0.2">
      <c r="C44" s="1">
        <v>1800000</v>
      </c>
      <c r="D44" s="1" t="s">
        <v>386</v>
      </c>
    </row>
    <row r="45" spans="1:7" x14ac:dyDescent="0.2">
      <c r="C45" s="1">
        <v>2636000</v>
      </c>
      <c r="D45" s="1" t="s">
        <v>322</v>
      </c>
    </row>
    <row r="46" spans="1:7" x14ac:dyDescent="0.2">
      <c r="C46" s="3">
        <f>C42-C43-C44-C45</f>
        <v>7255999.9999999981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9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10" t="s">
        <v>329</v>
      </c>
      <c r="B1" s="11"/>
      <c r="C1" s="11"/>
      <c r="D1" s="25">
        <v>2016</v>
      </c>
      <c r="E1" s="25">
        <v>2017</v>
      </c>
      <c r="F1" s="25">
        <v>2018</v>
      </c>
    </row>
    <row r="2" spans="1:9" ht="15" customHeight="1" x14ac:dyDescent="0.2">
      <c r="B2"/>
      <c r="D2" s="9"/>
      <c r="E2" s="9"/>
    </row>
    <row r="3" spans="1:9" ht="15" x14ac:dyDescent="0.25">
      <c r="A3" s="22" t="s">
        <v>315</v>
      </c>
      <c r="B3" s="11"/>
      <c r="C3" s="11"/>
      <c r="D3" s="21">
        <f>+D4+D5</f>
        <v>22850000</v>
      </c>
      <c r="E3" s="21">
        <f>+E4+E5</f>
        <v>12389037</v>
      </c>
      <c r="F3" s="21">
        <f>+F4+F5</f>
        <v>10839037</v>
      </c>
    </row>
    <row r="4" spans="1:9" s="15" customFormat="1" ht="15" x14ac:dyDescent="0.25">
      <c r="B4" s="24" t="s">
        <v>336</v>
      </c>
      <c r="C4" s="16"/>
      <c r="D4" s="17">
        <f>'Výdaje kapitol celkem'!S44</f>
        <v>16000000</v>
      </c>
      <c r="E4" s="17">
        <v>9659037</v>
      </c>
      <c r="F4" s="17">
        <v>9659037</v>
      </c>
    </row>
    <row r="5" spans="1:9" s="15" customFormat="1" ht="15" x14ac:dyDescent="0.25">
      <c r="B5" s="2325" t="s">
        <v>337</v>
      </c>
      <c r="C5" s="16" t="s">
        <v>335</v>
      </c>
      <c r="D5" s="17">
        <f>+D7+D8+D9+D11+D13-D6</f>
        <v>6850000</v>
      </c>
      <c r="E5" s="17">
        <f>+E7+E8+E9+E11+E13-E6</f>
        <v>2730000</v>
      </c>
      <c r="F5" s="17">
        <f>+F7+F8+F9+F11+F13-F6</f>
        <v>1180000</v>
      </c>
      <c r="H5" s="29">
        <f>+D7+D8+D9+D11+D13</f>
        <v>11790000</v>
      </c>
    </row>
    <row r="6" spans="1:9" s="18" customFormat="1" ht="15" x14ac:dyDescent="0.25">
      <c r="B6" s="2326"/>
      <c r="C6" s="12" t="s">
        <v>319</v>
      </c>
      <c r="D6" s="13">
        <f>+D10+D12+D14</f>
        <v>4940000</v>
      </c>
      <c r="E6" s="13">
        <f>+E10+E12+E14</f>
        <v>10920000</v>
      </c>
      <c r="F6" s="13">
        <f>+F10+F12+F14</f>
        <v>4720000</v>
      </c>
      <c r="H6" s="30">
        <f>+D10+D12+D14</f>
        <v>4940000</v>
      </c>
    </row>
    <row r="7" spans="1:9" x14ac:dyDescent="0.2">
      <c r="B7"/>
      <c r="C7" t="s">
        <v>316</v>
      </c>
      <c r="D7" s="9">
        <v>2900000</v>
      </c>
      <c r="E7" s="9"/>
      <c r="F7" s="9"/>
    </row>
    <row r="8" spans="1:9" x14ac:dyDescent="0.2">
      <c r="B8"/>
      <c r="C8" t="s">
        <v>317</v>
      </c>
      <c r="D8" s="9">
        <v>500000</v>
      </c>
      <c r="E8" s="9"/>
      <c r="F8" s="9"/>
    </row>
    <row r="9" spans="1:9" x14ac:dyDescent="0.2">
      <c r="B9"/>
      <c r="C9" t="s">
        <v>318</v>
      </c>
      <c r="D9" s="9"/>
      <c r="E9" s="9">
        <v>5900000</v>
      </c>
      <c r="F9" s="9">
        <v>5900000</v>
      </c>
    </row>
    <row r="10" spans="1:9" ht="15" x14ac:dyDescent="0.25">
      <c r="B10"/>
      <c r="C10" s="12" t="s">
        <v>319</v>
      </c>
      <c r="D10" s="13">
        <v>0</v>
      </c>
      <c r="E10" s="13">
        <v>4720000</v>
      </c>
      <c r="F10" s="13">
        <v>4720000</v>
      </c>
    </row>
    <row r="11" spans="1:9" x14ac:dyDescent="0.2">
      <c r="B11"/>
      <c r="C11" t="s">
        <v>320</v>
      </c>
      <c r="D11" s="9">
        <f>2750000+440000</f>
        <v>3190000</v>
      </c>
      <c r="E11" s="9">
        <f>10500000-2750000</f>
        <v>7750000</v>
      </c>
      <c r="F11" s="9"/>
      <c r="G11" t="s">
        <v>389</v>
      </c>
    </row>
    <row r="12" spans="1:9" ht="15" x14ac:dyDescent="0.25">
      <c r="B12"/>
      <c r="C12" s="12" t="s">
        <v>319</v>
      </c>
      <c r="D12" s="13">
        <v>0</v>
      </c>
      <c r="E12" s="13">
        <v>6200000</v>
      </c>
      <c r="F12" s="9"/>
    </row>
    <row r="13" spans="1:9" x14ac:dyDescent="0.2">
      <c r="B13"/>
      <c r="C13" t="s">
        <v>321</v>
      </c>
      <c r="D13" s="9">
        <v>5200000</v>
      </c>
      <c r="E13" s="9"/>
      <c r="F13" s="9"/>
    </row>
    <row r="14" spans="1:9" ht="15" x14ac:dyDescent="0.25">
      <c r="B14"/>
      <c r="C14" s="12" t="s">
        <v>319</v>
      </c>
      <c r="D14" s="13">
        <v>4940000</v>
      </c>
      <c r="E14" s="13"/>
      <c r="F14" s="9"/>
    </row>
    <row r="15" spans="1:9" ht="15" x14ac:dyDescent="0.25">
      <c r="B15"/>
      <c r="C15" s="14"/>
      <c r="D15" s="13"/>
      <c r="E15" s="13"/>
      <c r="F15" s="9"/>
    </row>
    <row r="16" spans="1:9" ht="15" x14ac:dyDescent="0.25">
      <c r="A16" s="22" t="s">
        <v>314</v>
      </c>
      <c r="B16" s="11"/>
      <c r="C16" s="11"/>
      <c r="D16" s="21">
        <f>SUM(D17:D27)</f>
        <v>0</v>
      </c>
      <c r="E16" s="21">
        <f>SUM(E17:E27)</f>
        <v>0</v>
      </c>
      <c r="F16" s="21">
        <f>SUM(F17:F27)</f>
        <v>0</v>
      </c>
      <c r="I16" s="9"/>
    </row>
    <row r="17" spans="1:6" x14ac:dyDescent="0.2">
      <c r="B17" t="s">
        <v>338</v>
      </c>
      <c r="D17" s="9"/>
      <c r="E17" s="9"/>
      <c r="F17" s="9"/>
    </row>
    <row r="18" spans="1:6" x14ac:dyDescent="0.2">
      <c r="B18" t="s">
        <v>339</v>
      </c>
      <c r="D18" s="9"/>
      <c r="E18" s="9"/>
      <c r="F18" s="9"/>
    </row>
    <row r="19" spans="1:6" x14ac:dyDescent="0.2">
      <c r="B19" t="s">
        <v>340</v>
      </c>
      <c r="D19" s="9"/>
      <c r="E19" s="9"/>
      <c r="F19" s="9"/>
    </row>
    <row r="20" spans="1:6" x14ac:dyDescent="0.2">
      <c r="B20" t="s">
        <v>341</v>
      </c>
      <c r="D20" s="9"/>
      <c r="E20" s="9"/>
      <c r="F20" s="9"/>
    </row>
    <row r="21" spans="1:6" x14ac:dyDescent="0.2">
      <c r="B21" t="s">
        <v>342</v>
      </c>
      <c r="D21" s="9"/>
      <c r="E21" s="9"/>
      <c r="F21" s="9"/>
    </row>
    <row r="22" spans="1:6" x14ac:dyDescent="0.2">
      <c r="B22" t="s">
        <v>343</v>
      </c>
      <c r="D22" s="9"/>
      <c r="E22" s="9"/>
      <c r="F22" s="9"/>
    </row>
    <row r="23" spans="1:6" x14ac:dyDescent="0.2">
      <c r="B23" t="s">
        <v>380</v>
      </c>
      <c r="D23" s="9"/>
      <c r="E23" s="9"/>
      <c r="F23" s="9"/>
    </row>
    <row r="24" spans="1:6" x14ac:dyDescent="0.2">
      <c r="B24" t="s">
        <v>381</v>
      </c>
      <c r="D24" s="9"/>
      <c r="E24" s="9"/>
      <c r="F24" s="9"/>
    </row>
    <row r="25" spans="1:6" x14ac:dyDescent="0.2">
      <c r="B25" t="s">
        <v>382</v>
      </c>
      <c r="D25" s="9"/>
      <c r="E25" s="9"/>
      <c r="F25" s="9"/>
    </row>
    <row r="26" spans="1:6" x14ac:dyDescent="0.2">
      <c r="B26" t="s">
        <v>383</v>
      </c>
      <c r="D26" s="9"/>
      <c r="E26" s="9"/>
      <c r="F26" s="9"/>
    </row>
    <row r="27" spans="1:6" x14ac:dyDescent="0.2">
      <c r="B27"/>
      <c r="D27" s="9"/>
      <c r="E27" s="9"/>
      <c r="F27" s="9"/>
    </row>
    <row r="28" spans="1:6" x14ac:dyDescent="0.2">
      <c r="B28"/>
      <c r="D28" s="9"/>
      <c r="E28" s="9"/>
      <c r="F28" s="9"/>
    </row>
    <row r="29" spans="1:6" ht="15" x14ac:dyDescent="0.25">
      <c r="A29" s="22" t="s">
        <v>323</v>
      </c>
      <c r="B29" s="11"/>
      <c r="C29" s="11"/>
      <c r="D29" s="21">
        <f>+D30+D37+D40</f>
        <v>16041999.999999998</v>
      </c>
      <c r="E29" s="21">
        <f>+E30+E37+E40</f>
        <v>404990</v>
      </c>
      <c r="F29" s="21">
        <f>+F30+F37+F40</f>
        <v>404990</v>
      </c>
    </row>
    <row r="30" spans="1:6" x14ac:dyDescent="0.2">
      <c r="B30" s="23" t="s">
        <v>330</v>
      </c>
      <c r="D30" s="9">
        <f>SUM(D31:D35)</f>
        <v>0</v>
      </c>
      <c r="E30" s="9">
        <f>SUM(E31:E35)</f>
        <v>54990</v>
      </c>
      <c r="F30" s="9">
        <f>SUM(F31:F35)</f>
        <v>54990</v>
      </c>
    </row>
    <row r="31" spans="1:6" x14ac:dyDescent="0.2">
      <c r="B31"/>
      <c r="C31" t="s">
        <v>324</v>
      </c>
      <c r="D31" s="9"/>
      <c r="E31" s="9"/>
      <c r="F31" s="9"/>
    </row>
    <row r="32" spans="1:6" x14ac:dyDescent="0.2">
      <c r="B32"/>
      <c r="C32" t="s">
        <v>325</v>
      </c>
      <c r="D32" s="9"/>
      <c r="E32" s="9"/>
      <c r="F32" s="9"/>
    </row>
    <row r="33" spans="1:6" x14ac:dyDescent="0.2">
      <c r="B33"/>
      <c r="C33" t="s">
        <v>326</v>
      </c>
      <c r="D33" s="9"/>
      <c r="E33" s="9"/>
      <c r="F33" s="9"/>
    </row>
    <row r="34" spans="1:6" x14ac:dyDescent="0.2">
      <c r="B34"/>
      <c r="C34" t="s">
        <v>327</v>
      </c>
      <c r="D34" s="9"/>
      <c r="E34" s="9"/>
      <c r="F34" s="9"/>
    </row>
    <row r="35" spans="1:6" x14ac:dyDescent="0.2">
      <c r="B35"/>
      <c r="C35" t="s">
        <v>328</v>
      </c>
      <c r="D35" s="9"/>
      <c r="E35" s="9">
        <v>54990</v>
      </c>
      <c r="F35" s="9">
        <v>54990</v>
      </c>
    </row>
    <row r="36" spans="1:6" x14ac:dyDescent="0.2">
      <c r="B36"/>
      <c r="D36" s="9"/>
      <c r="E36" s="9"/>
      <c r="F36" s="9"/>
    </row>
    <row r="37" spans="1:6" x14ac:dyDescent="0.2">
      <c r="B37" s="23" t="s">
        <v>331</v>
      </c>
      <c r="D37" s="9">
        <f>SUM(D38:D39)</f>
        <v>15691999.999999998</v>
      </c>
      <c r="E37" s="9">
        <f>SUM(E38:E39)</f>
        <v>0</v>
      </c>
      <c r="F37" s="9">
        <f>SUM(F38:F39)</f>
        <v>0</v>
      </c>
    </row>
    <row r="38" spans="1:6" x14ac:dyDescent="0.2">
      <c r="B38"/>
      <c r="C38" t="s">
        <v>384</v>
      </c>
      <c r="D38" s="9">
        <f>'voda-kalkulace'!C40</f>
        <v>15691999.999999998</v>
      </c>
      <c r="E38" s="9"/>
      <c r="F38" s="9"/>
    </row>
    <row r="39" spans="1:6" x14ac:dyDescent="0.2">
      <c r="B39"/>
      <c r="D39" s="9"/>
      <c r="E39" s="9"/>
      <c r="F39" s="9"/>
    </row>
    <row r="40" spans="1:6" x14ac:dyDescent="0.2">
      <c r="B40" s="23" t="s">
        <v>332</v>
      </c>
      <c r="D40" s="9">
        <f>SUM(D41:D45)</f>
        <v>350000</v>
      </c>
      <c r="E40" s="9">
        <f>SUM(E41:E45)</f>
        <v>350000</v>
      </c>
      <c r="F40" s="9">
        <f>SUM(F41:F45)</f>
        <v>350000</v>
      </c>
    </row>
    <row r="41" spans="1:6" x14ac:dyDescent="0.2">
      <c r="B41"/>
      <c r="C41" t="s">
        <v>333</v>
      </c>
      <c r="D41" s="9">
        <v>350000</v>
      </c>
      <c r="E41" s="9">
        <v>350000</v>
      </c>
      <c r="F41" s="9">
        <v>350000</v>
      </c>
    </row>
    <row r="42" spans="1:6" x14ac:dyDescent="0.2">
      <c r="D42" s="9"/>
      <c r="E42" s="9"/>
      <c r="F42" s="9"/>
    </row>
    <row r="43" spans="1:6" x14ac:dyDescent="0.2">
      <c r="D43" s="9"/>
      <c r="E43" s="9"/>
      <c r="F43" s="9"/>
    </row>
    <row r="44" spans="1:6" x14ac:dyDescent="0.2">
      <c r="D44" s="9"/>
      <c r="E44" s="9"/>
      <c r="F44" s="9"/>
    </row>
    <row r="45" spans="1:6" x14ac:dyDescent="0.2">
      <c r="D45" s="9"/>
      <c r="E45" s="9"/>
      <c r="F45" s="9"/>
    </row>
    <row r="46" spans="1:6" x14ac:dyDescent="0.2">
      <c r="D46" s="9"/>
      <c r="E46" s="9"/>
      <c r="F46" s="9"/>
    </row>
    <row r="47" spans="1:6" s="8" customFormat="1" x14ac:dyDescent="0.2">
      <c r="A47" s="19" t="s">
        <v>334</v>
      </c>
      <c r="B47" s="20"/>
      <c r="C47" s="19"/>
      <c r="D47" s="20">
        <f>+D29+D16+D3</f>
        <v>38892000</v>
      </c>
      <c r="E47" s="20">
        <f>+E29+E16+E3</f>
        <v>12794027</v>
      </c>
      <c r="F47" s="20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/>
  </sheetViews>
  <sheetFormatPr defaultColWidth="0" defaultRowHeight="0" customHeight="1" zeroHeight="1" x14ac:dyDescent="0.2"/>
  <cols>
    <col min="1" max="1" width="45.5703125" style="168" bestFit="1" customWidth="1"/>
    <col min="2" max="2" width="11.7109375" style="45" customWidth="1"/>
    <col min="3" max="3" width="14.42578125" style="45" customWidth="1"/>
    <col min="4" max="4" width="11.28515625" style="45" bestFit="1" customWidth="1"/>
    <col min="5" max="7" width="10.85546875" style="168" customWidth="1"/>
    <col min="8" max="8" width="12.28515625" style="168" customWidth="1"/>
    <col min="9" max="17" width="10.85546875" style="168" customWidth="1"/>
    <col min="18" max="18" width="11.28515625" style="168" bestFit="1" customWidth="1"/>
    <col min="19" max="22" width="10.85546875" style="168" bestFit="1" customWidth="1"/>
    <col min="23" max="23" width="8.85546875" style="168" hidden="1" customWidth="1"/>
    <col min="24" max="16384" width="8.7109375" style="168" hidden="1"/>
  </cols>
  <sheetData>
    <row r="1" spans="1:22" ht="12.75" x14ac:dyDescent="0.2"/>
    <row r="2" spans="1:22" s="169" customFormat="1" ht="15" x14ac:dyDescent="0.25">
      <c r="C2" s="171"/>
      <c r="D2" s="172"/>
      <c r="E2" s="172"/>
    </row>
    <row r="3" spans="1:22" s="169" customFormat="1" ht="15" x14ac:dyDescent="0.25">
      <c r="C3" s="171"/>
      <c r="D3" s="172"/>
      <c r="E3" s="172"/>
    </row>
    <row r="4" spans="1:22" ht="12.75" x14ac:dyDescent="0.2">
      <c r="A4" s="173"/>
      <c r="B4" s="173"/>
      <c r="E4" s="45"/>
    </row>
    <row r="5" spans="1:22" ht="12.75" x14ac:dyDescent="0.2">
      <c r="A5" s="173"/>
      <c r="B5" s="173"/>
      <c r="E5" s="45"/>
    </row>
    <row r="6" spans="1:22" ht="12.75" x14ac:dyDescent="0.2">
      <c r="A6" s="173"/>
      <c r="B6" s="173"/>
      <c r="E6" s="45"/>
    </row>
    <row r="7" spans="1:22" ht="15" x14ac:dyDescent="0.25">
      <c r="A7" s="173"/>
      <c r="B7" s="173"/>
      <c r="C7" s="171"/>
      <c r="E7" s="45"/>
    </row>
    <row r="8" spans="1:22" s="169" customFormat="1" ht="15" x14ac:dyDescent="0.25">
      <c r="A8" s="174"/>
      <c r="B8" s="174"/>
      <c r="C8" s="171"/>
      <c r="D8" s="171"/>
    </row>
    <row r="9" spans="1:22" ht="15" x14ac:dyDescent="0.25">
      <c r="B9" s="168"/>
      <c r="D9" s="171"/>
      <c r="E9" s="45"/>
    </row>
    <row r="10" spans="1:22" ht="12.75" x14ac:dyDescent="0.2">
      <c r="B10" s="168"/>
      <c r="E10" s="45"/>
    </row>
    <row r="11" spans="1:22" ht="15" x14ac:dyDescent="0.25">
      <c r="A11" s="169"/>
      <c r="B11" s="175"/>
      <c r="C11" s="169"/>
      <c r="D11" s="169"/>
      <c r="E11" s="176"/>
      <c r="F11" s="176"/>
      <c r="G11" s="176"/>
      <c r="H11" s="176"/>
      <c r="I11" s="177"/>
      <c r="J11" s="177"/>
      <c r="K11" s="177"/>
      <c r="L11" s="177"/>
      <c r="M11" s="178"/>
      <c r="N11" s="178"/>
      <c r="O11" s="178"/>
      <c r="P11" s="178"/>
      <c r="Q11" s="169"/>
      <c r="R11" s="169"/>
      <c r="S11" s="169"/>
      <c r="T11" s="169"/>
      <c r="U11" s="169"/>
      <c r="V11" s="169"/>
    </row>
    <row r="12" spans="1:22" s="45" customFormat="1" ht="12.75" x14ac:dyDescent="0.2"/>
    <row r="13" spans="1:22" s="45" customFormat="1" ht="12.75" x14ac:dyDescent="0.2"/>
    <row r="14" spans="1:22" s="45" customFormat="1" ht="12.75" x14ac:dyDescent="0.2"/>
    <row r="15" spans="1:22" s="45" customFormat="1" ht="12.75" x14ac:dyDescent="0.2"/>
    <row r="16" spans="1:22" s="45" customFormat="1" ht="12.75" x14ac:dyDescent="0.2"/>
    <row r="17" spans="1:22" s="45" customFormat="1" ht="12.75" x14ac:dyDescent="0.2"/>
    <row r="18" spans="1:22" s="45" customFormat="1" ht="12.75" x14ac:dyDescent="0.2"/>
    <row r="19" spans="1:22" s="171" customFormat="1" ht="15" x14ac:dyDescent="0.25"/>
    <row r="20" spans="1:22" s="45" customFormat="1" ht="12.75" x14ac:dyDescent="0.2"/>
    <row r="21" spans="1:22" s="45" customFormat="1" ht="12.75" x14ac:dyDescent="0.2"/>
    <row r="22" spans="1:22" s="45" customFormat="1" ht="12.75" x14ac:dyDescent="0.2"/>
    <row r="23" spans="1:22" s="171" customFormat="1" ht="15" x14ac:dyDescent="0.25"/>
    <row r="24" spans="1:22" ht="12.75" x14ac:dyDescent="0.2">
      <c r="B24" s="168"/>
      <c r="C24" s="168"/>
      <c r="D24" s="168"/>
    </row>
    <row r="25" spans="1:22" s="169" customFormat="1" ht="15" x14ac:dyDescent="0.25"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</row>
    <row r="26" spans="1:22" ht="15" x14ac:dyDescent="0.25">
      <c r="B26" s="168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</row>
    <row r="27" spans="1:22" ht="15" x14ac:dyDescent="0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</row>
    <row r="28" spans="1:22" ht="12.75" x14ac:dyDescent="0.2">
      <c r="B28" s="168"/>
      <c r="C28" s="168"/>
      <c r="D28" s="168"/>
    </row>
    <row r="29" spans="1:22" s="169" customFormat="1" ht="15" x14ac:dyDescent="0.25">
      <c r="C29" s="171"/>
      <c r="D29" s="171"/>
      <c r="E29" s="171"/>
    </row>
    <row r="30" spans="1:22" ht="12.75" x14ac:dyDescent="0.2">
      <c r="B30" s="168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5" x14ac:dyDescent="0.25">
      <c r="B31" s="168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22" ht="15" x14ac:dyDescent="0.25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</row>
    <row r="33" spans="1:22" ht="12.75" x14ac:dyDescent="0.2"/>
    <row r="34" spans="1:22" s="181" customFormat="1" ht="12.75" x14ac:dyDescent="0.2">
      <c r="B34" s="182"/>
      <c r="C34" s="183"/>
      <c r="D34" s="184"/>
      <c r="E34" s="184"/>
      <c r="F34" s="184"/>
      <c r="G34" s="184"/>
      <c r="H34" s="183"/>
      <c r="I34" s="184"/>
      <c r="J34" s="184"/>
      <c r="K34" s="184"/>
      <c r="L34" s="184"/>
      <c r="M34" s="183"/>
      <c r="N34" s="184"/>
      <c r="O34" s="184"/>
      <c r="P34" s="184"/>
      <c r="Q34" s="184"/>
      <c r="R34" s="183"/>
      <c r="S34" s="184"/>
      <c r="T34" s="184"/>
      <c r="U34" s="184"/>
      <c r="V34" s="184"/>
    </row>
    <row r="35" spans="1:22" ht="12.75" x14ac:dyDescent="0.2">
      <c r="B35" s="168"/>
      <c r="C35" s="168"/>
      <c r="D35" s="185"/>
      <c r="E35" s="185"/>
      <c r="F35" s="186"/>
      <c r="G35" s="186"/>
      <c r="I35" s="185"/>
      <c r="J35" s="185"/>
      <c r="K35" s="186"/>
      <c r="L35" s="186"/>
      <c r="N35" s="185"/>
      <c r="O35" s="185"/>
      <c r="P35" s="186"/>
      <c r="Q35" s="186"/>
      <c r="S35" s="185"/>
      <c r="T35" s="185"/>
      <c r="U35" s="186"/>
      <c r="V35" s="186"/>
    </row>
    <row r="36" spans="1:22" ht="15.75" x14ac:dyDescent="0.25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</row>
    <row r="37" spans="1:22" ht="15.75" x14ac:dyDescent="0.25">
      <c r="A37" s="189"/>
      <c r="B37" s="190"/>
      <c r="C37" s="190"/>
      <c r="D37" s="190"/>
      <c r="E37" s="45"/>
      <c r="F37" s="45"/>
      <c r="G37" s="45"/>
      <c r="H37" s="190"/>
      <c r="I37" s="45"/>
      <c r="J37" s="45"/>
      <c r="K37" s="45"/>
      <c r="L37" s="45"/>
      <c r="M37" s="190"/>
      <c r="N37" s="45"/>
      <c r="O37" s="45"/>
      <c r="P37" s="45"/>
      <c r="Q37" s="45"/>
      <c r="R37" s="190"/>
      <c r="S37" s="45"/>
      <c r="T37" s="45"/>
      <c r="U37" s="45"/>
      <c r="V37" s="45"/>
    </row>
    <row r="38" spans="1:22" ht="15.75" x14ac:dyDescent="0.25">
      <c r="A38" s="189"/>
      <c r="B38" s="191"/>
      <c r="C38" s="191"/>
      <c r="E38" s="45"/>
      <c r="F38" s="45"/>
      <c r="G38" s="45"/>
      <c r="H38" s="191"/>
      <c r="I38" s="45"/>
      <c r="J38" s="45"/>
      <c r="K38" s="45"/>
      <c r="L38" s="45"/>
      <c r="M38" s="191"/>
      <c r="N38" s="45"/>
      <c r="O38" s="45"/>
      <c r="P38" s="45"/>
      <c r="Q38" s="45"/>
      <c r="R38" s="191"/>
      <c r="S38" s="45"/>
      <c r="T38" s="45"/>
      <c r="U38" s="45"/>
      <c r="V38" s="45"/>
    </row>
    <row r="39" spans="1:22" ht="12.75" x14ac:dyDescent="0.2"/>
    <row r="40" spans="1:22" ht="12.75" x14ac:dyDescent="0.2"/>
    <row r="41" spans="1:22" ht="12.75" x14ac:dyDescent="0.2"/>
    <row r="42" spans="1:22" ht="12.75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ColWidth="9.140625" defaultRowHeight="12.75" x14ac:dyDescent="0.2"/>
  <cols>
    <col min="1" max="1" width="56.42578125" style="124" customWidth="1"/>
    <col min="2" max="2" width="9.7109375" style="124" bestFit="1" customWidth="1"/>
    <col min="3" max="3" width="11.28515625" style="124" bestFit="1" customWidth="1"/>
    <col min="4" max="15" width="11.5703125" style="124" customWidth="1"/>
    <col min="16" max="16" width="12.140625" style="125" bestFit="1" customWidth="1"/>
    <col min="17" max="16384" width="9.140625" style="124"/>
  </cols>
  <sheetData>
    <row r="1" spans="1:16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00"/>
    </row>
    <row r="2" spans="1:16" ht="13.5" thickBot="1" x14ac:dyDescent="0.25">
      <c r="A2" s="98"/>
      <c r="B2" s="98"/>
      <c r="C2" s="98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00"/>
    </row>
    <row r="3" spans="1:16" ht="16.5" thickBot="1" x14ac:dyDescent="0.3">
      <c r="A3" s="113" t="s">
        <v>260</v>
      </c>
      <c r="B3" s="108"/>
      <c r="C3" s="120" t="s">
        <v>2</v>
      </c>
      <c r="D3" s="116" t="s">
        <v>723</v>
      </c>
      <c r="E3" s="114" t="s">
        <v>724</v>
      </c>
      <c r="F3" s="114" t="s">
        <v>725</v>
      </c>
      <c r="G3" s="114" t="s">
        <v>726</v>
      </c>
      <c r="H3" s="114" t="s">
        <v>727</v>
      </c>
      <c r="I3" s="114" t="s">
        <v>222</v>
      </c>
      <c r="J3" s="114" t="s">
        <v>223</v>
      </c>
      <c r="K3" s="114" t="s">
        <v>728</v>
      </c>
      <c r="L3" s="114" t="s">
        <v>729</v>
      </c>
      <c r="M3" s="114" t="s">
        <v>730</v>
      </c>
      <c r="N3" s="114" t="s">
        <v>731</v>
      </c>
      <c r="O3" s="115" t="s">
        <v>732</v>
      </c>
      <c r="P3" s="101" t="s">
        <v>277</v>
      </c>
    </row>
    <row r="4" spans="1:16" ht="15.75" x14ac:dyDescent="0.25">
      <c r="A4" s="109" t="s">
        <v>13</v>
      </c>
      <c r="B4" s="110">
        <v>1111</v>
      </c>
      <c r="C4" s="121">
        <f>'Souhrn příjmů a výdajů 2021'!I7</f>
        <v>18370444</v>
      </c>
      <c r="D4" s="117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02">
        <f>SUM(D4:O4)-C4</f>
        <v>-18370444</v>
      </c>
    </row>
    <row r="5" spans="1:16" ht="15.75" x14ac:dyDescent="0.25">
      <c r="A5" s="96" t="s">
        <v>14</v>
      </c>
      <c r="B5" s="107">
        <v>1112</v>
      </c>
      <c r="C5" s="122">
        <f>'Souhrn příjmů a výdajů 2021'!I8</f>
        <v>387129</v>
      </c>
      <c r="D5" s="118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2">
        <f t="shared" ref="P5:P22" si="0">SUM(D5:O5)-C5</f>
        <v>-387129</v>
      </c>
    </row>
    <row r="6" spans="1:16" ht="15.75" x14ac:dyDescent="0.25">
      <c r="A6" s="96" t="s">
        <v>15</v>
      </c>
      <c r="B6" s="107">
        <v>1121</v>
      </c>
      <c r="C6" s="122">
        <f>'Souhrn příjmů a výdajů 2021'!I9</f>
        <v>2419550</v>
      </c>
      <c r="D6" s="118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102">
        <f t="shared" si="0"/>
        <v>-2419550</v>
      </c>
    </row>
    <row r="7" spans="1:16" ht="15.75" x14ac:dyDescent="0.25">
      <c r="A7" s="96" t="s">
        <v>554</v>
      </c>
      <c r="B7" s="107">
        <v>1113</v>
      </c>
      <c r="C7" s="122">
        <f>'Souhrn příjmů a výdajů 2021'!I11</f>
        <v>15097595</v>
      </c>
      <c r="D7" s="118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2">
        <f t="shared" si="0"/>
        <v>-15097595</v>
      </c>
    </row>
    <row r="8" spans="1:16" ht="15.75" x14ac:dyDescent="0.25">
      <c r="A8" s="96" t="s">
        <v>16</v>
      </c>
      <c r="B8" s="107">
        <v>1211</v>
      </c>
      <c r="C8" s="122">
        <f>'Souhrn příjmů a výdajů 2021'!I12</f>
        <v>48518500</v>
      </c>
      <c r="D8" s="118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2">
        <f t="shared" si="0"/>
        <v>-48518500</v>
      </c>
    </row>
    <row r="9" spans="1:16" ht="15.75" x14ac:dyDescent="0.25">
      <c r="A9" s="96" t="s">
        <v>18</v>
      </c>
      <c r="B9" s="107" t="s">
        <v>17</v>
      </c>
      <c r="C9" s="122">
        <f>'Souhrn příjmů a výdajů 2021'!I13</f>
        <v>100000</v>
      </c>
      <c r="D9" s="118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2">
        <f t="shared" si="0"/>
        <v>-100000</v>
      </c>
    </row>
    <row r="10" spans="1:16" ht="15.75" x14ac:dyDescent="0.25">
      <c r="A10" s="96" t="s">
        <v>18</v>
      </c>
      <c r="B10" s="107" t="s">
        <v>17</v>
      </c>
      <c r="C10" s="122" t="e">
        <f>'Souhrn příjmů a výdajů 2021'!#REF!</f>
        <v>#REF!</v>
      </c>
      <c r="D10" s="118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  <c r="P10" s="102" t="e">
        <f t="shared" si="0"/>
        <v>#REF!</v>
      </c>
    </row>
    <row r="11" spans="1:16" ht="15.75" x14ac:dyDescent="0.25">
      <c r="A11" s="96" t="s">
        <v>20</v>
      </c>
      <c r="B11" s="107" t="s">
        <v>19</v>
      </c>
      <c r="C11" s="122">
        <f>'Souhrn příjmů a výdajů 2021'!I14</f>
        <v>6300000</v>
      </c>
      <c r="D11" s="118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102">
        <f t="shared" si="0"/>
        <v>-6300000</v>
      </c>
    </row>
    <row r="12" spans="1:16" ht="15.75" x14ac:dyDescent="0.25">
      <c r="A12" s="96" t="s">
        <v>21</v>
      </c>
      <c r="B12" s="107">
        <v>1341</v>
      </c>
      <c r="C12" s="122">
        <f>'Souhrn příjmů a výdajů 2021'!I15</f>
        <v>260000</v>
      </c>
      <c r="D12" s="118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2">
        <f t="shared" si="0"/>
        <v>-260000</v>
      </c>
    </row>
    <row r="13" spans="1:16" ht="15.75" x14ac:dyDescent="0.25">
      <c r="A13" s="96" t="s">
        <v>22</v>
      </c>
      <c r="B13" s="107">
        <v>1343</v>
      </c>
      <c r="C13" s="122">
        <f>'Souhrn příjmů a výdajů 2021'!I16</f>
        <v>75000</v>
      </c>
      <c r="D13" s="118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  <c r="P13" s="102">
        <f t="shared" si="0"/>
        <v>-75000</v>
      </c>
    </row>
    <row r="14" spans="1:16" ht="15.75" x14ac:dyDescent="0.25">
      <c r="A14" s="96" t="s">
        <v>23</v>
      </c>
      <c r="B14" s="107">
        <v>1344</v>
      </c>
      <c r="C14" s="122">
        <f>'Souhrn příjmů a výdajů 2021'!I17</f>
        <v>3000</v>
      </c>
      <c r="D14" s="118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102">
        <f t="shared" si="0"/>
        <v>-3000</v>
      </c>
    </row>
    <row r="15" spans="1:16" ht="15.75" x14ac:dyDescent="0.25">
      <c r="A15" s="96" t="s">
        <v>24</v>
      </c>
      <c r="B15" s="107">
        <v>1345</v>
      </c>
      <c r="C15" s="122">
        <f>'Souhrn příjmů a výdajů 2021'!I18</f>
        <v>20000</v>
      </c>
      <c r="D15" s="118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102">
        <f t="shared" si="0"/>
        <v>-20000</v>
      </c>
    </row>
    <row r="16" spans="1:16" ht="15.75" x14ac:dyDescent="0.25">
      <c r="A16" s="96" t="s">
        <v>25</v>
      </c>
      <c r="B16" s="107">
        <v>1347</v>
      </c>
      <c r="C16" s="122">
        <f>'Souhrn příjmů a výdajů 2021'!I19</f>
        <v>0</v>
      </c>
      <c r="D16" s="118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102">
        <f t="shared" si="0"/>
        <v>0</v>
      </c>
    </row>
    <row r="17" spans="1:16" ht="15.75" x14ac:dyDescent="0.25">
      <c r="A17" s="96" t="s">
        <v>27</v>
      </c>
      <c r="B17" s="107" t="s">
        <v>26</v>
      </c>
      <c r="C17" s="122">
        <f>'Souhrn příjmů a výdajů 2021'!I20</f>
        <v>100000</v>
      </c>
      <c r="D17" s="118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02">
        <f t="shared" si="0"/>
        <v>-100000</v>
      </c>
    </row>
    <row r="18" spans="1:16" ht="15.75" x14ac:dyDescent="0.25">
      <c r="A18" s="96" t="s">
        <v>553</v>
      </c>
      <c r="B18" s="107" t="s">
        <v>26</v>
      </c>
      <c r="C18" s="122">
        <f>'Souhrn příjmů a výdajů 2021'!I21</f>
        <v>0</v>
      </c>
      <c r="D18" s="118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102">
        <f t="shared" si="0"/>
        <v>0</v>
      </c>
    </row>
    <row r="19" spans="1:16" ht="15.75" x14ac:dyDescent="0.25">
      <c r="A19" s="96" t="s">
        <v>555</v>
      </c>
      <c r="B19" s="107">
        <v>1381</v>
      </c>
      <c r="C19" s="122">
        <f>'Souhrn příjmů a výdajů 2021'!I22</f>
        <v>900000</v>
      </c>
      <c r="D19" s="118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2">
        <f t="shared" si="0"/>
        <v>-900000</v>
      </c>
    </row>
    <row r="20" spans="1:16" ht="15.75" x14ac:dyDescent="0.25">
      <c r="A20" s="96" t="s">
        <v>29</v>
      </c>
      <c r="B20" s="107">
        <v>1381</v>
      </c>
      <c r="C20" s="122">
        <f>'Souhrn příjmů a výdajů 2021'!I23</f>
        <v>1000000</v>
      </c>
      <c r="D20" s="118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02">
        <f t="shared" si="0"/>
        <v>-1000000</v>
      </c>
    </row>
    <row r="21" spans="1:16" ht="15.75" x14ac:dyDescent="0.25">
      <c r="A21" s="96" t="s">
        <v>31</v>
      </c>
      <c r="B21" s="107" t="s">
        <v>30</v>
      </c>
      <c r="C21" s="122">
        <f>'Souhrn příjmů a výdajů 2021'!I24</f>
        <v>1500000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02">
        <f t="shared" si="0"/>
        <v>-1500000</v>
      </c>
    </row>
    <row r="22" spans="1:16" ht="16.5" thickBot="1" x14ac:dyDescent="0.3">
      <c r="A22" s="97" t="s">
        <v>32</v>
      </c>
      <c r="B22" s="108">
        <v>1511</v>
      </c>
      <c r="C22" s="123">
        <f>'Souhrn příjmů a výdajů 2021'!I25</f>
        <v>7810000</v>
      </c>
      <c r="D22" s="119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6"/>
      <c r="P22" s="102">
        <f t="shared" si="0"/>
        <v>-7810000</v>
      </c>
    </row>
    <row r="23" spans="1:16" ht="21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00"/>
    </row>
    <row r="24" spans="1:16" x14ac:dyDescent="0.2">
      <c r="A24" s="98"/>
      <c r="B24" s="98"/>
      <c r="C24" s="99" t="e">
        <f t="shared" ref="C24:O24" si="1">SUM(C4:C22)</f>
        <v>#REF!</v>
      </c>
      <c r="D24" s="99">
        <f t="shared" si="1"/>
        <v>0</v>
      </c>
      <c r="E24" s="99">
        <f t="shared" si="1"/>
        <v>0</v>
      </c>
      <c r="F24" s="99">
        <f t="shared" si="1"/>
        <v>0</v>
      </c>
      <c r="G24" s="99">
        <f t="shared" si="1"/>
        <v>0</v>
      </c>
      <c r="H24" s="99">
        <f t="shared" si="1"/>
        <v>0</v>
      </c>
      <c r="I24" s="99">
        <f t="shared" si="1"/>
        <v>0</v>
      </c>
      <c r="J24" s="99">
        <f t="shared" si="1"/>
        <v>0</v>
      </c>
      <c r="K24" s="99">
        <f t="shared" si="1"/>
        <v>0</v>
      </c>
      <c r="L24" s="99">
        <f t="shared" si="1"/>
        <v>0</v>
      </c>
      <c r="M24" s="99">
        <f t="shared" si="1"/>
        <v>0</v>
      </c>
      <c r="N24" s="99">
        <f t="shared" si="1"/>
        <v>0</v>
      </c>
      <c r="O24" s="99">
        <f t="shared" si="1"/>
        <v>0</v>
      </c>
      <c r="P24" s="102" t="e">
        <f>SUM(D24:O24)-C24</f>
        <v>#REF!</v>
      </c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158"/>
  <sheetViews>
    <sheetView workbookViewId="0"/>
  </sheetViews>
  <sheetFormatPr defaultRowHeight="12.75" x14ac:dyDescent="0.2"/>
  <cols>
    <col min="1" max="1" width="26" bestFit="1" customWidth="1"/>
    <col min="2" max="2" width="24" bestFit="1" customWidth="1"/>
    <col min="3" max="3" width="26" style="36" bestFit="1" customWidth="1"/>
    <col min="4" max="4" width="17.28515625" style="36" bestFit="1" customWidth="1"/>
    <col min="5" max="5" width="26" style="36" bestFit="1" customWidth="1"/>
    <col min="6" max="6" width="13.85546875" bestFit="1" customWidth="1"/>
    <col min="7" max="7" width="15.85546875" style="36" customWidth="1"/>
    <col min="8" max="8" width="14.5703125" style="36" customWidth="1"/>
    <col min="9" max="9" width="15.85546875" style="36" customWidth="1"/>
    <col min="10" max="10" width="14.5703125" style="36" customWidth="1"/>
    <col min="11" max="12" width="16.28515625" style="36" customWidth="1"/>
    <col min="13" max="13" width="6.140625" style="36" customWidth="1"/>
    <col min="14" max="14" width="26" style="36" bestFit="1" customWidth="1"/>
    <col min="15" max="15" width="12.7109375" bestFit="1" customWidth="1"/>
    <col min="16" max="16" width="4.5703125" style="36" bestFit="1" customWidth="1"/>
  </cols>
  <sheetData>
    <row r="2" spans="1:17" ht="20.25" x14ac:dyDescent="0.3">
      <c r="A2" s="43" t="s">
        <v>421</v>
      </c>
    </row>
    <row r="4" spans="1:17" x14ac:dyDescent="0.2">
      <c r="A4" t="s">
        <v>419</v>
      </c>
      <c r="B4" s="38">
        <v>2014</v>
      </c>
      <c r="E4" t="s">
        <v>419</v>
      </c>
      <c r="F4" s="38">
        <v>2015</v>
      </c>
      <c r="I4" t="s">
        <v>419</v>
      </c>
      <c r="J4" s="38" t="s">
        <v>661</v>
      </c>
      <c r="N4" t="s">
        <v>419</v>
      </c>
      <c r="O4" s="38">
        <v>2017</v>
      </c>
    </row>
    <row r="5" spans="1:17" ht="15.75" x14ac:dyDescent="0.25">
      <c r="A5" s="39" t="s">
        <v>416</v>
      </c>
      <c r="B5" s="41">
        <v>68876667</v>
      </c>
      <c r="C5" s="42">
        <f>B5/B5</f>
        <v>1</v>
      </c>
      <c r="D5" s="37"/>
      <c r="E5" s="39" t="s">
        <v>416</v>
      </c>
      <c r="F5" s="41">
        <v>70886189</v>
      </c>
      <c r="G5" s="42">
        <f>F5/F5</f>
        <v>1</v>
      </c>
      <c r="H5" s="37"/>
      <c r="I5" s="39" t="s">
        <v>416</v>
      </c>
      <c r="J5" s="41">
        <v>63565030</v>
      </c>
      <c r="K5" s="42">
        <f>J5/J5</f>
        <v>1</v>
      </c>
      <c r="L5" s="49"/>
      <c r="M5" s="37"/>
      <c r="N5" s="39" t="s">
        <v>416</v>
      </c>
      <c r="O5" s="41" t="e">
        <f>+'Souhrn příjmů a výdajů 2021'!#REF!+'Souhrn příjmů a výdajů 2021'!#REF!+'Souhrn příjmů a výdajů 2021'!#REF!+'Souhrn příjmů a výdajů 2021'!#REF!+'Souhrn příjmů a výdajů 2021'!#REF!</f>
        <v>#REF!</v>
      </c>
      <c r="P5" s="42" t="e">
        <f>O5/O5</f>
        <v>#REF!</v>
      </c>
    </row>
    <row r="6" spans="1:17" ht="15.75" x14ac:dyDescent="0.25">
      <c r="A6" s="33"/>
      <c r="B6" s="35"/>
      <c r="C6" s="37"/>
      <c r="D6" s="37"/>
      <c r="E6" s="33"/>
      <c r="F6" s="35"/>
      <c r="G6" s="37"/>
      <c r="H6" s="37"/>
      <c r="I6" s="33"/>
      <c r="J6" s="35"/>
      <c r="K6" s="37"/>
      <c r="L6" s="37"/>
      <c r="M6" s="37"/>
      <c r="N6" s="33"/>
      <c r="O6" s="35"/>
      <c r="P6" s="37"/>
    </row>
    <row r="7" spans="1:17" x14ac:dyDescent="0.2">
      <c r="B7" s="38"/>
      <c r="E7"/>
      <c r="F7" s="38"/>
      <c r="I7"/>
      <c r="J7" s="38"/>
      <c r="N7"/>
      <c r="O7" s="38"/>
    </row>
    <row r="8" spans="1:17" ht="15.75" x14ac:dyDescent="0.25">
      <c r="A8" s="39" t="s">
        <v>417</v>
      </c>
      <c r="B8" s="32">
        <f>26165877+459889</f>
        <v>26625766</v>
      </c>
      <c r="C8" s="40">
        <f>B8/$B$5</f>
        <v>0.38657163825886059</v>
      </c>
      <c r="D8" s="40">
        <f>B8/$B$11</f>
        <v>0.20190605051308216</v>
      </c>
      <c r="E8" s="39" t="s">
        <v>417</v>
      </c>
      <c r="F8" s="32">
        <f>28996060+30411</f>
        <v>29026471</v>
      </c>
      <c r="G8" s="40">
        <f>F8/$F$5</f>
        <v>0.40947991998836331</v>
      </c>
      <c r="H8" s="40">
        <f>F8/$F$11</f>
        <v>0.18637626266809582</v>
      </c>
      <c r="I8" s="39" t="s">
        <v>417</v>
      </c>
      <c r="J8" s="32" t="e">
        <f>'Souhrn příjmů a výdajů 2021'!#REF!/12*10</f>
        <v>#REF!</v>
      </c>
      <c r="K8" s="40" t="e">
        <f>J8/$J$5</f>
        <v>#REF!</v>
      </c>
      <c r="L8" s="40" t="e">
        <f>J8/$J$11</f>
        <v>#REF!</v>
      </c>
      <c r="N8" s="39" t="s">
        <v>417</v>
      </c>
      <c r="O8" s="32" t="e">
        <f>'Souhrn příjmů a výdajů 2021'!#REF!</f>
        <v>#REF!</v>
      </c>
      <c r="P8" s="40" t="e">
        <f>O8/$O$5</f>
        <v>#REF!</v>
      </c>
      <c r="Q8" s="40" t="e">
        <f>O8/$O$11</f>
        <v>#REF!</v>
      </c>
    </row>
    <row r="9" spans="1:17" ht="15.75" x14ac:dyDescent="0.25">
      <c r="A9" s="39" t="s">
        <v>420</v>
      </c>
      <c r="B9" s="32">
        <v>41185744.68</v>
      </c>
      <c r="C9" s="40">
        <f>B9/$B$5</f>
        <v>0.59796367149995799</v>
      </c>
      <c r="D9" s="40">
        <f>B9/$B$11</f>
        <v>0.3123159365923589</v>
      </c>
      <c r="E9" s="39" t="s">
        <v>420</v>
      </c>
      <c r="F9" s="32">
        <v>55735568.340000004</v>
      </c>
      <c r="G9" s="40">
        <f>F9/$F$5</f>
        <v>0.7862683708387822</v>
      </c>
      <c r="H9" s="40">
        <f>F9/$F$11</f>
        <v>0.35787288523263627</v>
      </c>
      <c r="I9" s="39" t="s">
        <v>420</v>
      </c>
      <c r="J9" s="32" t="e">
        <f>'Souhrn příjmů a výdajů 2021'!#REF!-3978254</f>
        <v>#REF!</v>
      </c>
      <c r="K9" s="40" t="e">
        <f>J9/$J$5</f>
        <v>#REF!</v>
      </c>
      <c r="L9" s="40" t="e">
        <f>J9/$J$11</f>
        <v>#REF!</v>
      </c>
      <c r="N9" s="39" t="s">
        <v>420</v>
      </c>
      <c r="O9" s="32" t="e">
        <f>'Souhrn příjmů a výdajů 2021'!#REF!</f>
        <v>#REF!</v>
      </c>
      <c r="P9" s="40" t="e">
        <f>O9/$O$5</f>
        <v>#REF!</v>
      </c>
      <c r="Q9" s="40" t="e">
        <f>O9/$O$11</f>
        <v>#REF!</v>
      </c>
    </row>
    <row r="10" spans="1:17" ht="15.75" x14ac:dyDescent="0.25">
      <c r="A10" s="39" t="s">
        <v>144</v>
      </c>
      <c r="B10" s="32">
        <v>64060545</v>
      </c>
      <c r="C10" s="40">
        <f>B10/$B$5</f>
        <v>0.93007614610619882</v>
      </c>
      <c r="D10" s="40">
        <f>B10/$B$11</f>
        <v>0.48577801046796448</v>
      </c>
      <c r="E10" s="39" t="s">
        <v>144</v>
      </c>
      <c r="F10" s="32">
        <v>70979205.209999993</v>
      </c>
      <c r="G10" s="40">
        <f>F10/$F$5</f>
        <v>1.0013121908697897</v>
      </c>
      <c r="H10" s="40">
        <f>F10/$F$11</f>
        <v>0.45575085563076662</v>
      </c>
      <c r="I10" s="39" t="s">
        <v>144</v>
      </c>
      <c r="J10" s="32">
        <v>20450785</v>
      </c>
      <c r="K10" s="40">
        <f>J10/$J$5</f>
        <v>0.32173012425228148</v>
      </c>
      <c r="L10" s="40">
        <f>J10/$J$11</f>
        <v>0.22267671571921197</v>
      </c>
      <c r="N10" s="39" t="s">
        <v>144</v>
      </c>
      <c r="O10" s="32" t="e">
        <f>'Souhrn příjmů a výdajů 2021'!#REF!</f>
        <v>#REF!</v>
      </c>
      <c r="P10" s="40" t="e">
        <f>O10/$O$5</f>
        <v>#REF!</v>
      </c>
      <c r="Q10" s="40" t="e">
        <f>O10/$O$11</f>
        <v>#REF!</v>
      </c>
    </row>
    <row r="11" spans="1:17" ht="15.75" x14ac:dyDescent="0.25">
      <c r="A11" s="39" t="s">
        <v>418</v>
      </c>
      <c r="B11" s="32">
        <v>131872056</v>
      </c>
      <c r="C11" s="40">
        <f>B11/$B$5</f>
        <v>1.9146114605110029</v>
      </c>
      <c r="D11" s="40">
        <f>B11/$B$11</f>
        <v>1</v>
      </c>
      <c r="E11" s="39" t="s">
        <v>418</v>
      </c>
      <c r="F11" s="32">
        <v>155741244</v>
      </c>
      <c r="G11" s="40">
        <f>F11/$F$5</f>
        <v>2.1970604739380191</v>
      </c>
      <c r="H11" s="40">
        <f>F11/$F$11</f>
        <v>1</v>
      </c>
      <c r="I11" s="39" t="s">
        <v>418</v>
      </c>
      <c r="J11" s="32">
        <v>91840698</v>
      </c>
      <c r="K11" s="40">
        <f>J11/$J$5</f>
        <v>1.4448305617097954</v>
      </c>
      <c r="L11" s="40">
        <f>J11/$J$11</f>
        <v>1</v>
      </c>
      <c r="N11" s="39" t="s">
        <v>418</v>
      </c>
      <c r="O11" s="32" t="e">
        <f>'Souhrn příjmů a výdajů 2021'!#REF!</f>
        <v>#REF!</v>
      </c>
      <c r="P11" s="40" t="e">
        <f>O11/$O$5</f>
        <v>#REF!</v>
      </c>
      <c r="Q11" s="40" t="e">
        <f>O11/$O$11</f>
        <v>#REF!</v>
      </c>
    </row>
    <row r="13" spans="1:17" x14ac:dyDescent="0.2">
      <c r="F13" s="9"/>
    </row>
    <row r="40" spans="2:14" x14ac:dyDescent="0.2">
      <c r="C40"/>
      <c r="D40"/>
      <c r="E40"/>
      <c r="G40"/>
      <c r="H40"/>
      <c r="I40"/>
      <c r="J40"/>
      <c r="K40"/>
      <c r="L40"/>
      <c r="M40"/>
      <c r="N40"/>
    </row>
    <row r="41" spans="2:14" x14ac:dyDescent="0.2">
      <c r="C41"/>
      <c r="D41"/>
      <c r="E41"/>
      <c r="G41"/>
      <c r="H41"/>
      <c r="I41"/>
      <c r="J41"/>
      <c r="K41"/>
      <c r="L41"/>
      <c r="M41"/>
      <c r="N41"/>
    </row>
    <row r="42" spans="2:14" ht="15.75" x14ac:dyDescent="0.25">
      <c r="B42" s="33" t="s">
        <v>260</v>
      </c>
      <c r="C42" s="9" t="e">
        <f>'Souhrn příjmů a výdajů 2021'!#REF!</f>
        <v>#REF!</v>
      </c>
      <c r="D42" s="9"/>
      <c r="E42" s="34" t="e">
        <f t="shared" ref="E42:E47" si="0">C42/$C$47</f>
        <v>#REF!</v>
      </c>
      <c r="G42"/>
      <c r="H42"/>
      <c r="I42"/>
      <c r="J42"/>
      <c r="K42"/>
      <c r="L42"/>
      <c r="M42"/>
      <c r="N42"/>
    </row>
    <row r="43" spans="2:14" ht="15.75" x14ac:dyDescent="0.25">
      <c r="B43" s="33" t="s">
        <v>262</v>
      </c>
      <c r="C43" s="9" t="e">
        <f>'Souhrn příjmů a výdajů 2021'!#REF!</f>
        <v>#REF!</v>
      </c>
      <c r="D43" s="9"/>
      <c r="E43" s="34" t="e">
        <f t="shared" si="0"/>
        <v>#REF!</v>
      </c>
      <c r="G43"/>
      <c r="H43"/>
      <c r="I43"/>
      <c r="J43"/>
      <c r="K43"/>
      <c r="L43"/>
      <c r="M43"/>
      <c r="N43"/>
    </row>
    <row r="44" spans="2:14" ht="15.75" x14ac:dyDescent="0.25">
      <c r="B44" s="33" t="s">
        <v>265</v>
      </c>
      <c r="C44" s="9" t="e">
        <f>'Souhrn příjmů a výdajů 2021'!#REF!</f>
        <v>#REF!</v>
      </c>
      <c r="D44" s="9"/>
      <c r="E44" s="34" t="e">
        <f t="shared" si="0"/>
        <v>#REF!</v>
      </c>
      <c r="G44"/>
      <c r="H44"/>
      <c r="I44"/>
      <c r="J44"/>
      <c r="K44"/>
      <c r="L44"/>
      <c r="M44"/>
      <c r="N44"/>
    </row>
    <row r="45" spans="2:14" ht="15.75" x14ac:dyDescent="0.25">
      <c r="B45" s="33" t="s">
        <v>413</v>
      </c>
      <c r="C45" s="9" t="e">
        <f>'Souhrn příjmů a výdajů 2021'!#REF!</f>
        <v>#REF!</v>
      </c>
      <c r="D45" s="9"/>
      <c r="E45" s="34" t="e">
        <f t="shared" si="0"/>
        <v>#REF!</v>
      </c>
      <c r="G45"/>
      <c r="H45"/>
      <c r="I45"/>
      <c r="J45"/>
      <c r="K45"/>
      <c r="L45"/>
      <c r="M45"/>
      <c r="N45"/>
    </row>
    <row r="46" spans="2:14" ht="15.75" x14ac:dyDescent="0.25">
      <c r="B46" s="33" t="s">
        <v>274</v>
      </c>
      <c r="C46" s="9" t="e">
        <f>'Souhrn příjmů a výdajů 2021'!#REF!</f>
        <v>#REF!</v>
      </c>
      <c r="D46" s="9"/>
      <c r="E46" s="34" t="e">
        <f t="shared" si="0"/>
        <v>#REF!</v>
      </c>
      <c r="G46"/>
      <c r="H46"/>
      <c r="I46"/>
      <c r="J46"/>
      <c r="K46"/>
      <c r="L46"/>
      <c r="M46"/>
      <c r="N46"/>
    </row>
    <row r="47" spans="2:14" x14ac:dyDescent="0.2">
      <c r="C47" s="9" t="e">
        <f>SUM(C42:C46)</f>
        <v>#REF!</v>
      </c>
      <c r="D47" s="9"/>
      <c r="E47" s="34" t="e">
        <f t="shared" si="0"/>
        <v>#REF!</v>
      </c>
      <c r="G47"/>
      <c r="H47"/>
      <c r="I47"/>
      <c r="J47"/>
      <c r="K47"/>
      <c r="L47"/>
      <c r="M47"/>
      <c r="N47"/>
    </row>
    <row r="48" spans="2:14" x14ac:dyDescent="0.2">
      <c r="C48"/>
      <c r="D48"/>
      <c r="E48"/>
      <c r="G48"/>
      <c r="H48"/>
      <c r="I48"/>
      <c r="J48"/>
      <c r="K48"/>
      <c r="L48"/>
      <c r="M48"/>
      <c r="N48"/>
    </row>
    <row r="49" spans="3:14" x14ac:dyDescent="0.2">
      <c r="C49"/>
      <c r="D49"/>
      <c r="E49"/>
      <c r="G49"/>
      <c r="H49"/>
      <c r="I49"/>
      <c r="J49"/>
      <c r="K49"/>
      <c r="L49"/>
      <c r="M49"/>
      <c r="N49"/>
    </row>
    <row r="50" spans="3:14" x14ac:dyDescent="0.2">
      <c r="C50"/>
      <c r="D50"/>
      <c r="E50"/>
      <c r="G50"/>
      <c r="H50"/>
      <c r="I50"/>
      <c r="J50"/>
      <c r="K50"/>
      <c r="L50"/>
      <c r="M50"/>
      <c r="N50"/>
    </row>
    <row r="51" spans="3:14" x14ac:dyDescent="0.2">
      <c r="C51"/>
      <c r="D51"/>
      <c r="E51"/>
      <c r="G51"/>
      <c r="H51"/>
      <c r="I51"/>
      <c r="J51"/>
      <c r="K51"/>
      <c r="L51"/>
      <c r="M51"/>
      <c r="N51"/>
    </row>
    <row r="52" spans="3:14" x14ac:dyDescent="0.2">
      <c r="C52"/>
      <c r="D52"/>
      <c r="E52"/>
      <c r="G52"/>
      <c r="H52"/>
      <c r="I52"/>
      <c r="J52"/>
      <c r="K52"/>
      <c r="L52"/>
      <c r="M52"/>
      <c r="N52"/>
    </row>
    <row r="53" spans="3:14" x14ac:dyDescent="0.2">
      <c r="C53"/>
      <c r="D53"/>
      <c r="E53"/>
      <c r="G53"/>
      <c r="H53"/>
      <c r="I53"/>
      <c r="J53"/>
      <c r="K53"/>
      <c r="L53"/>
      <c r="M53"/>
      <c r="N53"/>
    </row>
    <row r="54" spans="3:14" x14ac:dyDescent="0.2">
      <c r="C54"/>
      <c r="D54"/>
      <c r="E54"/>
      <c r="G54"/>
      <c r="H54"/>
      <c r="I54"/>
      <c r="J54"/>
      <c r="K54"/>
      <c r="L54"/>
      <c r="M54"/>
      <c r="N54"/>
    </row>
    <row r="55" spans="3:14" x14ac:dyDescent="0.2">
      <c r="C55"/>
      <c r="D55"/>
      <c r="E55"/>
      <c r="G55"/>
      <c r="H55"/>
      <c r="I55"/>
      <c r="J55"/>
      <c r="K55"/>
      <c r="L55"/>
      <c r="M55"/>
      <c r="N55"/>
    </row>
    <row r="56" spans="3:14" x14ac:dyDescent="0.2">
      <c r="C56"/>
      <c r="D56"/>
      <c r="E56"/>
      <c r="G56"/>
      <c r="H56"/>
      <c r="I56"/>
      <c r="J56"/>
      <c r="K56"/>
      <c r="L56"/>
      <c r="M56"/>
      <c r="N56"/>
    </row>
    <row r="57" spans="3:14" x14ac:dyDescent="0.2">
      <c r="C57"/>
      <c r="D57"/>
      <c r="E57"/>
      <c r="G57"/>
      <c r="H57"/>
      <c r="I57"/>
      <c r="J57"/>
      <c r="K57"/>
      <c r="L57"/>
      <c r="M57"/>
      <c r="N57"/>
    </row>
    <row r="58" spans="3:14" x14ac:dyDescent="0.2">
      <c r="C58"/>
      <c r="D58"/>
      <c r="E58"/>
      <c r="G58"/>
      <c r="H58"/>
      <c r="I58"/>
      <c r="J58"/>
      <c r="K58"/>
      <c r="L58"/>
      <c r="M58"/>
      <c r="N58"/>
    </row>
    <row r="59" spans="3:14" x14ac:dyDescent="0.2">
      <c r="C59"/>
      <c r="D59"/>
      <c r="E59"/>
      <c r="G59"/>
      <c r="H59"/>
      <c r="I59"/>
      <c r="J59"/>
      <c r="K59"/>
      <c r="L59"/>
      <c r="M59"/>
      <c r="N59"/>
    </row>
    <row r="60" spans="3:14" x14ac:dyDescent="0.2">
      <c r="C60"/>
      <c r="D60"/>
      <c r="E60"/>
      <c r="G60"/>
      <c r="H60"/>
      <c r="I60"/>
      <c r="J60"/>
      <c r="K60"/>
      <c r="L60"/>
      <c r="M60"/>
      <c r="N60"/>
    </row>
    <row r="61" spans="3:14" x14ac:dyDescent="0.2">
      <c r="C61"/>
      <c r="D61"/>
      <c r="E61"/>
      <c r="G61"/>
      <c r="H61"/>
      <c r="I61"/>
      <c r="J61"/>
      <c r="K61"/>
      <c r="L61"/>
      <c r="M61"/>
      <c r="N61"/>
    </row>
    <row r="62" spans="3:14" x14ac:dyDescent="0.2">
      <c r="C62"/>
      <c r="D62"/>
      <c r="E62"/>
      <c r="G62"/>
      <c r="H62"/>
      <c r="I62"/>
      <c r="J62"/>
      <c r="K62"/>
      <c r="L62"/>
      <c r="M62"/>
      <c r="N62"/>
    </row>
    <row r="63" spans="3:14" x14ac:dyDescent="0.2">
      <c r="C63"/>
      <c r="D63"/>
      <c r="E63"/>
      <c r="G63"/>
      <c r="H63"/>
      <c r="I63"/>
      <c r="J63"/>
      <c r="K63"/>
      <c r="L63"/>
      <c r="M63"/>
      <c r="N63"/>
    </row>
    <row r="64" spans="3:14" x14ac:dyDescent="0.2">
      <c r="C64"/>
      <c r="D64"/>
      <c r="E64"/>
      <c r="G64"/>
      <c r="H64"/>
      <c r="I64"/>
      <c r="J64"/>
      <c r="K64"/>
      <c r="L64"/>
      <c r="M64"/>
      <c r="N64"/>
    </row>
    <row r="65" spans="1:14" x14ac:dyDescent="0.2">
      <c r="C65"/>
      <c r="D65"/>
      <c r="E65"/>
      <c r="G65"/>
      <c r="H65"/>
      <c r="I65"/>
      <c r="J65"/>
      <c r="K65"/>
      <c r="L65"/>
      <c r="M65"/>
      <c r="N65"/>
    </row>
    <row r="66" spans="1:14" x14ac:dyDescent="0.2">
      <c r="C66"/>
      <c r="D66"/>
      <c r="E66"/>
      <c r="G66"/>
      <c r="H66"/>
      <c r="I66"/>
      <c r="J66"/>
      <c r="K66"/>
      <c r="L66"/>
      <c r="M66"/>
      <c r="N66"/>
    </row>
    <row r="67" spans="1:14" x14ac:dyDescent="0.2">
      <c r="C67"/>
      <c r="D67"/>
      <c r="E67"/>
      <c r="G67"/>
      <c r="H67"/>
      <c r="I67"/>
      <c r="J67"/>
      <c r="K67"/>
      <c r="L67"/>
      <c r="M67"/>
      <c r="N67"/>
    </row>
    <row r="68" spans="1:14" x14ac:dyDescent="0.2">
      <c r="C68"/>
      <c r="D68"/>
      <c r="E68"/>
      <c r="G68"/>
      <c r="H68"/>
      <c r="I68"/>
      <c r="J68"/>
      <c r="K68"/>
      <c r="L68"/>
      <c r="M68"/>
      <c r="N68"/>
    </row>
    <row r="69" spans="1:14" x14ac:dyDescent="0.2">
      <c r="C69"/>
      <c r="D69"/>
      <c r="E69"/>
      <c r="G69"/>
      <c r="H69"/>
      <c r="I69"/>
      <c r="J69"/>
      <c r="K69"/>
      <c r="L69"/>
      <c r="M69"/>
      <c r="N69"/>
    </row>
    <row r="70" spans="1:14" x14ac:dyDescent="0.2">
      <c r="A70" t="s">
        <v>151</v>
      </c>
      <c r="B70" s="9" t="e">
        <f>'Souhrn příjmů a výdajů 2021'!#REF!</f>
        <v>#REF!</v>
      </c>
      <c r="C70" s="35" t="e">
        <f>B70/$B$74</f>
        <v>#REF!</v>
      </c>
      <c r="D70"/>
      <c r="E70"/>
      <c r="G70"/>
      <c r="H70"/>
      <c r="I70"/>
      <c r="J70"/>
      <c r="K70"/>
      <c r="L70"/>
      <c r="M70"/>
      <c r="N70"/>
    </row>
    <row r="71" spans="1:14" x14ac:dyDescent="0.2">
      <c r="A71" t="s">
        <v>281</v>
      </c>
      <c r="B71" s="9" t="e">
        <f>'Souhrn příjmů a výdajů 2021'!#REF!</f>
        <v>#REF!</v>
      </c>
      <c r="C71" s="35" t="e">
        <f>B71/$B$74</f>
        <v>#REF!</v>
      </c>
      <c r="D71"/>
      <c r="E71"/>
      <c r="G71"/>
      <c r="H71"/>
      <c r="I71"/>
      <c r="J71"/>
      <c r="K71"/>
      <c r="L71"/>
      <c r="M71"/>
      <c r="N71"/>
    </row>
    <row r="72" spans="1:14" x14ac:dyDescent="0.2">
      <c r="A72" t="s">
        <v>283</v>
      </c>
      <c r="B72" s="9" t="e">
        <f>'Souhrn příjmů a výdajů 2021'!#REF!</f>
        <v>#REF!</v>
      </c>
      <c r="C72" s="35" t="e">
        <f>B72/$B$74</f>
        <v>#REF!</v>
      </c>
      <c r="D72"/>
      <c r="E72"/>
      <c r="G72"/>
      <c r="H72"/>
      <c r="I72"/>
      <c r="J72"/>
      <c r="K72"/>
      <c r="L72"/>
      <c r="M72"/>
      <c r="N72"/>
    </row>
    <row r="73" spans="1:14" x14ac:dyDescent="0.2">
      <c r="A73" t="s">
        <v>274</v>
      </c>
      <c r="B73" s="9" t="e">
        <f>'Souhrn příjmů a výdajů 2021'!#REF!</f>
        <v>#REF!</v>
      </c>
      <c r="C73" s="35" t="e">
        <f>B73/$B$74</f>
        <v>#REF!</v>
      </c>
    </row>
    <row r="74" spans="1:14" x14ac:dyDescent="0.2">
      <c r="B74" s="9" t="e">
        <f>SUM(B70:B73)</f>
        <v>#REF!</v>
      </c>
    </row>
    <row r="97" spans="1:12" ht="15.75" x14ac:dyDescent="0.25">
      <c r="G97" s="4"/>
    </row>
    <row r="98" spans="1:12" ht="15.75" x14ac:dyDescent="0.25">
      <c r="B98" s="39" t="s">
        <v>417</v>
      </c>
      <c r="C98" s="39" t="s">
        <v>420</v>
      </c>
      <c r="D98" s="39" t="s">
        <v>144</v>
      </c>
      <c r="E98" s="39" t="s">
        <v>418</v>
      </c>
      <c r="G98" s="4" t="s">
        <v>400</v>
      </c>
      <c r="H98" s="39">
        <v>2014</v>
      </c>
      <c r="I98" s="39">
        <v>2015</v>
      </c>
      <c r="J98" s="39">
        <v>2016</v>
      </c>
      <c r="K98" s="39">
        <v>2017</v>
      </c>
      <c r="L98" s="33"/>
    </row>
    <row r="99" spans="1:12" ht="15.75" x14ac:dyDescent="0.25">
      <c r="A99" s="38">
        <v>2017</v>
      </c>
      <c r="B99" s="34">
        <v>0.41</v>
      </c>
      <c r="C99" s="48">
        <v>0.99</v>
      </c>
      <c r="D99" s="48">
        <v>0.53</v>
      </c>
      <c r="E99" s="48">
        <v>2.13</v>
      </c>
      <c r="G99" s="4" t="s">
        <v>683</v>
      </c>
      <c r="H99" s="34">
        <v>0.17944808100989548</v>
      </c>
      <c r="I99" s="48">
        <v>0.18254106156577712</v>
      </c>
      <c r="J99" s="48" t="e">
        <f>'Souhrn příjmů a výdajů 2021'!#REF!</f>
        <v>#REF!</v>
      </c>
      <c r="K99" s="48" t="e">
        <f>'Souhrn příjmů a výdajů 2021'!#REF!</f>
        <v>#REF!</v>
      </c>
      <c r="L99" s="48"/>
    </row>
    <row r="100" spans="1:12" x14ac:dyDescent="0.2">
      <c r="A100" s="38">
        <v>2016</v>
      </c>
      <c r="B100" s="34">
        <v>0.39</v>
      </c>
      <c r="C100" s="48">
        <v>0.89</v>
      </c>
      <c r="D100" s="48">
        <v>0.52</v>
      </c>
      <c r="E100" s="48">
        <v>1.97</v>
      </c>
      <c r="G100" s="38"/>
      <c r="H100" s="34"/>
      <c r="I100" s="48"/>
      <c r="J100" s="48"/>
      <c r="K100" s="48"/>
      <c r="L100" s="48"/>
    </row>
    <row r="101" spans="1:12" x14ac:dyDescent="0.2">
      <c r="A101" s="38">
        <v>2015</v>
      </c>
      <c r="B101" s="34">
        <v>0.41</v>
      </c>
      <c r="C101" s="48">
        <v>0.79</v>
      </c>
      <c r="D101" s="48">
        <v>1</v>
      </c>
      <c r="E101" s="48">
        <v>2.2000000000000002</v>
      </c>
      <c r="G101" s="38"/>
      <c r="H101" s="34"/>
      <c r="I101" s="48"/>
      <c r="J101" s="48"/>
      <c r="K101" s="48"/>
      <c r="L101" s="48"/>
    </row>
    <row r="102" spans="1:12" x14ac:dyDescent="0.2">
      <c r="A102" s="44">
        <v>2014</v>
      </c>
      <c r="B102" s="34">
        <v>0.39</v>
      </c>
      <c r="C102" s="48">
        <v>0.6</v>
      </c>
      <c r="D102" s="48">
        <v>0.93</v>
      </c>
      <c r="E102" s="48">
        <v>1.91</v>
      </c>
      <c r="G102" s="44"/>
      <c r="H102" s="34"/>
      <c r="I102" s="48"/>
      <c r="J102" s="48"/>
      <c r="K102" s="48"/>
      <c r="L102" s="48"/>
    </row>
    <row r="103" spans="1:12" x14ac:dyDescent="0.2">
      <c r="A103" s="44">
        <v>2013</v>
      </c>
    </row>
    <row r="104" spans="1:12" x14ac:dyDescent="0.2">
      <c r="A104" s="44">
        <v>2012</v>
      </c>
    </row>
    <row r="122" spans="7:16" ht="15.75" x14ac:dyDescent="0.25">
      <c r="G122"/>
      <c r="H122" s="39" t="s">
        <v>280</v>
      </c>
      <c r="I122" s="39" t="s">
        <v>144</v>
      </c>
      <c r="J122" s="39"/>
      <c r="K122" s="33"/>
      <c r="N122"/>
      <c r="O122" s="36"/>
      <c r="P122"/>
    </row>
    <row r="123" spans="7:16" x14ac:dyDescent="0.2">
      <c r="G123" s="38">
        <v>2017</v>
      </c>
      <c r="H123" s="50" t="e">
        <f>+O8+O9</f>
        <v>#REF!</v>
      </c>
      <c r="I123" s="50" t="e">
        <f>+O10</f>
        <v>#REF!</v>
      </c>
      <c r="J123" s="50" t="e">
        <f>O11</f>
        <v>#REF!</v>
      </c>
      <c r="K123" s="48"/>
      <c r="N123"/>
      <c r="O123" s="36"/>
      <c r="P123"/>
    </row>
    <row r="124" spans="7:16" x14ac:dyDescent="0.2">
      <c r="G124" s="38">
        <v>2016</v>
      </c>
      <c r="H124" s="50" t="e">
        <f>'Výdaje kapitol celkem'!#REF!</f>
        <v>#REF!</v>
      </c>
      <c r="I124" s="50" t="e">
        <f>'Výdaje kapitol celkem'!#REF!</f>
        <v>#REF!</v>
      </c>
      <c r="J124" s="50" t="e">
        <f>'Výdaje kapitol celkem'!#REF!</f>
        <v>#REF!</v>
      </c>
      <c r="K124" s="48"/>
      <c r="N124"/>
      <c r="O124" s="36"/>
      <c r="P124"/>
    </row>
    <row r="125" spans="7:16" x14ac:dyDescent="0.2">
      <c r="G125" s="38">
        <v>2015</v>
      </c>
      <c r="H125" s="50">
        <f>+F8+F9</f>
        <v>84762039.340000004</v>
      </c>
      <c r="I125" s="50">
        <f>+F10</f>
        <v>70979205.209999993</v>
      </c>
      <c r="J125" s="50">
        <f>F11</f>
        <v>155741244</v>
      </c>
      <c r="K125" s="48"/>
      <c r="N125"/>
      <c r="O125" s="36"/>
      <c r="P125"/>
    </row>
    <row r="126" spans="7:16" x14ac:dyDescent="0.2">
      <c r="G126" s="44">
        <v>2014</v>
      </c>
      <c r="H126" s="50">
        <f>+B8+B9</f>
        <v>67811510.680000007</v>
      </c>
      <c r="I126" s="50">
        <f>+B10</f>
        <v>64060545</v>
      </c>
      <c r="J126" s="50">
        <f>B11</f>
        <v>131872056</v>
      </c>
      <c r="K126" s="48"/>
      <c r="N126"/>
      <c r="O126" s="36"/>
      <c r="P126"/>
    </row>
    <row r="129" spans="1:16" ht="15.75" x14ac:dyDescent="0.25">
      <c r="H129" s="39" t="s">
        <v>280</v>
      </c>
      <c r="I129" s="39" t="s">
        <v>144</v>
      </c>
      <c r="J129" s="39"/>
    </row>
    <row r="130" spans="1:16" x14ac:dyDescent="0.2">
      <c r="G130" s="44">
        <v>2014</v>
      </c>
      <c r="H130" s="34">
        <f>H126/J126</f>
        <v>0.51422198710544109</v>
      </c>
      <c r="I130" s="48">
        <f>I126/J126</f>
        <v>0.48577801046796448</v>
      </c>
    </row>
    <row r="131" spans="1:16" x14ac:dyDescent="0.2">
      <c r="G131" s="38">
        <v>2015</v>
      </c>
      <c r="H131" s="34">
        <f>H125/J125</f>
        <v>0.54424914790073209</v>
      </c>
      <c r="I131" s="48">
        <f>I125/J125</f>
        <v>0.45575085563076662</v>
      </c>
    </row>
    <row r="132" spans="1:16" x14ac:dyDescent="0.2">
      <c r="G132" s="38">
        <v>2016</v>
      </c>
      <c r="H132" s="34" t="e">
        <f>H124/J124</f>
        <v>#REF!</v>
      </c>
      <c r="I132" s="48" t="e">
        <f>I124/J124</f>
        <v>#REF!</v>
      </c>
    </row>
    <row r="133" spans="1:16" x14ac:dyDescent="0.2">
      <c r="G133" s="38">
        <v>2017</v>
      </c>
      <c r="H133" s="34" t="e">
        <f>H123/J123</f>
        <v>#REF!</v>
      </c>
      <c r="I133" s="48" t="e">
        <f>I123/J123</f>
        <v>#REF!</v>
      </c>
    </row>
    <row r="139" spans="1:16" x14ac:dyDescent="0.2">
      <c r="H139"/>
      <c r="J139"/>
      <c r="K139"/>
      <c r="L139"/>
      <c r="M139"/>
      <c r="N139"/>
      <c r="P139"/>
    </row>
    <row r="140" spans="1:16" x14ac:dyDescent="0.2">
      <c r="H140"/>
      <c r="J140"/>
      <c r="K140"/>
      <c r="L140"/>
      <c r="M140"/>
      <c r="N140"/>
      <c r="P140"/>
    </row>
    <row r="141" spans="1:16" x14ac:dyDescent="0.2">
      <c r="A141" t="s">
        <v>419</v>
      </c>
      <c r="B141" s="38">
        <v>2013</v>
      </c>
      <c r="C141" s="38">
        <v>2014</v>
      </c>
      <c r="D141" s="38">
        <v>2015</v>
      </c>
      <c r="E141" s="38">
        <v>2016</v>
      </c>
      <c r="F141" s="38">
        <v>2017</v>
      </c>
      <c r="H141"/>
      <c r="J141"/>
      <c r="K141"/>
      <c r="L141"/>
      <c r="M141"/>
      <c r="N141"/>
      <c r="P141"/>
    </row>
    <row r="142" spans="1:16" x14ac:dyDescent="0.2">
      <c r="A142" t="s">
        <v>666</v>
      </c>
      <c r="B142">
        <v>64168276</v>
      </c>
      <c r="C142" s="36">
        <v>68876667</v>
      </c>
      <c r="D142" s="36">
        <v>70886189</v>
      </c>
      <c r="E142" s="36" t="e">
        <f>'Souhrn příjmů a výdajů 2021'!#REF!</f>
        <v>#REF!</v>
      </c>
      <c r="F142" s="36" t="e">
        <f>'Souhrn příjmů a výdajů 2021'!#REF!</f>
        <v>#REF!</v>
      </c>
      <c r="H142"/>
      <c r="J142"/>
      <c r="K142"/>
      <c r="L142"/>
      <c r="M142"/>
      <c r="N142"/>
      <c r="P142"/>
    </row>
    <row r="143" spans="1:16" x14ac:dyDescent="0.2">
      <c r="A143" t="s">
        <v>662</v>
      </c>
      <c r="B143">
        <v>89472981</v>
      </c>
      <c r="C143" s="36">
        <v>70930301</v>
      </c>
      <c r="D143" s="36">
        <v>87313297</v>
      </c>
      <c r="E143" s="36" t="e">
        <f>+'Souhrn příjmů a výdajů 2021'!#REF!+'Souhrn příjmů a výdajů 2021'!#REF!+'Souhrn příjmů a výdajů 2021'!#REF!+'Souhrn příjmů a výdajů 2021'!#REF!</f>
        <v>#REF!</v>
      </c>
      <c r="F143" s="36" t="e">
        <f>+'Souhrn příjmů a výdajů 2021'!#REF!+'Souhrn příjmů a výdajů 2021'!#REF!+'Souhrn příjmů a výdajů 2021'!#REF!+'Souhrn příjmů a výdajů 2021'!#REF!</f>
        <v>#REF!</v>
      </c>
      <c r="H143"/>
      <c r="J143"/>
      <c r="K143"/>
      <c r="L143"/>
      <c r="M143"/>
      <c r="N143"/>
      <c r="P143"/>
    </row>
    <row r="144" spans="1:16" x14ac:dyDescent="0.2">
      <c r="A144" t="s">
        <v>663</v>
      </c>
      <c r="B144">
        <f>SUM(B142:B143)</f>
        <v>153641257</v>
      </c>
      <c r="C144" s="36">
        <f>SUM(C142:C143)</f>
        <v>139806968</v>
      </c>
      <c r="D144" s="36">
        <f>SUM(D142:D143)</f>
        <v>158199486</v>
      </c>
      <c r="E144" s="36" t="e">
        <f>SUM(E142:E143)</f>
        <v>#REF!</v>
      </c>
      <c r="F144" s="36" t="e">
        <f>SUM(F142:F143)</f>
        <v>#REF!</v>
      </c>
      <c r="H144"/>
      <c r="J144"/>
      <c r="K144"/>
      <c r="L144"/>
      <c r="M144"/>
      <c r="N144"/>
      <c r="P144"/>
    </row>
    <row r="145" spans="1:16" x14ac:dyDescent="0.2">
      <c r="F145" s="36"/>
      <c r="H145"/>
      <c r="J145"/>
      <c r="K145"/>
      <c r="L145"/>
      <c r="M145"/>
      <c r="N145"/>
      <c r="P145"/>
    </row>
    <row r="146" spans="1:16" x14ac:dyDescent="0.2">
      <c r="A146" t="s">
        <v>280</v>
      </c>
      <c r="B146">
        <v>66197417</v>
      </c>
      <c r="C146" s="36">
        <v>67811511</v>
      </c>
      <c r="D146" s="36">
        <v>84762039</v>
      </c>
      <c r="E146" s="36" t="e">
        <f>+'Souhrn příjmů a výdajů 2021'!#REF!</f>
        <v>#REF!</v>
      </c>
      <c r="F146" s="36" t="e">
        <f>+'Souhrn příjmů a výdajů 2021'!#REF!</f>
        <v>#REF!</v>
      </c>
      <c r="H146"/>
      <c r="J146"/>
      <c r="K146"/>
      <c r="L146"/>
      <c r="M146"/>
      <c r="N146"/>
      <c r="P146"/>
    </row>
    <row r="147" spans="1:16" x14ac:dyDescent="0.2">
      <c r="A147" t="s">
        <v>664</v>
      </c>
      <c r="B147">
        <v>102889487</v>
      </c>
      <c r="C147" s="36">
        <v>64060545</v>
      </c>
      <c r="D147" s="36">
        <v>70979205</v>
      </c>
      <c r="E147" s="36" t="e">
        <f>+'Souhrn příjmů a výdajů 2021'!#REF!+'Souhrn příjmů a výdajů 2021'!#REF!</f>
        <v>#REF!</v>
      </c>
      <c r="F147" s="36" t="e">
        <f>+'Souhrn příjmů a výdajů 2021'!#REF!</f>
        <v>#REF!</v>
      </c>
      <c r="H147"/>
      <c r="J147"/>
      <c r="K147"/>
      <c r="L147"/>
      <c r="M147"/>
      <c r="N147"/>
      <c r="P147"/>
    </row>
    <row r="148" spans="1:16" x14ac:dyDescent="0.2">
      <c r="A148" t="s">
        <v>665</v>
      </c>
      <c r="B148">
        <f>SUM(B146:B147)</f>
        <v>169086904</v>
      </c>
      <c r="C148" s="36">
        <f>SUM(C146:C147)</f>
        <v>131872056</v>
      </c>
      <c r="D148" s="36">
        <f>SUM(D146:D147)</f>
        <v>155741244</v>
      </c>
      <c r="E148" s="36" t="e">
        <f>SUM(E146:E147)</f>
        <v>#REF!</v>
      </c>
      <c r="F148" s="36" t="e">
        <f>+'Souhrn příjmů a výdajů 2021'!#REF!</f>
        <v>#REF!</v>
      </c>
      <c r="H148"/>
      <c r="J148"/>
      <c r="K148"/>
      <c r="L148"/>
      <c r="M148"/>
      <c r="N148"/>
      <c r="P148"/>
    </row>
    <row r="149" spans="1:16" x14ac:dyDescent="0.2">
      <c r="H149"/>
      <c r="J149"/>
      <c r="K149"/>
      <c r="L149"/>
      <c r="M149"/>
      <c r="N149"/>
      <c r="P149"/>
    </row>
    <row r="150" spans="1:16" x14ac:dyDescent="0.2">
      <c r="B150" s="36"/>
      <c r="D150"/>
      <c r="F150" s="36"/>
      <c r="M150"/>
      <c r="P150"/>
    </row>
    <row r="152" spans="1:16" x14ac:dyDescent="0.2">
      <c r="A152" s="46"/>
    </row>
    <row r="153" spans="1:16" x14ac:dyDescent="0.2">
      <c r="A153" s="46"/>
    </row>
    <row r="154" spans="1:16" x14ac:dyDescent="0.2">
      <c r="A154" s="46"/>
    </row>
    <row r="155" spans="1:16" x14ac:dyDescent="0.2">
      <c r="A155" s="46"/>
    </row>
    <row r="156" spans="1:16" x14ac:dyDescent="0.2">
      <c r="A156" s="46"/>
    </row>
    <row r="157" spans="1:16" x14ac:dyDescent="0.2">
      <c r="A157" s="46"/>
    </row>
    <row r="158" spans="1:16" x14ac:dyDescent="0.2">
      <c r="A158" s="46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7"/>
  <sheetViews>
    <sheetView topLeftCell="A79" workbookViewId="0">
      <selection activeCell="G80" sqref="G80"/>
    </sheetView>
  </sheetViews>
  <sheetFormatPr defaultRowHeight="12.75" x14ac:dyDescent="0.2"/>
  <cols>
    <col min="1" max="1" width="10.140625" bestFit="1" customWidth="1"/>
    <col min="2" max="2" width="20.5703125" customWidth="1"/>
    <col min="3" max="3" width="17.42578125" customWidth="1"/>
    <col min="4" max="4" width="16.28515625" customWidth="1"/>
  </cols>
  <sheetData>
    <row r="2" spans="1:4" ht="18.75" x14ac:dyDescent="0.3">
      <c r="B2" s="10" t="s">
        <v>1203</v>
      </c>
      <c r="C2" s="10"/>
    </row>
    <row r="4" spans="1:4" ht="15" x14ac:dyDescent="0.25">
      <c r="A4" s="2139" t="s">
        <v>1204</v>
      </c>
      <c r="B4" s="2139" t="s">
        <v>1205</v>
      </c>
      <c r="C4" s="2140" t="s">
        <v>583</v>
      </c>
      <c r="D4" s="2139" t="s">
        <v>1206</v>
      </c>
    </row>
    <row r="5" spans="1:4" x14ac:dyDescent="0.2">
      <c r="C5" s="2141"/>
    </row>
    <row r="6" spans="1:4" x14ac:dyDescent="0.2">
      <c r="B6" t="s">
        <v>1207</v>
      </c>
      <c r="C6" s="2142" t="s">
        <v>1208</v>
      </c>
      <c r="D6" s="2143" t="s">
        <v>1209</v>
      </c>
    </row>
    <row r="7" spans="1:4" x14ac:dyDescent="0.2">
      <c r="B7" t="s">
        <v>1888</v>
      </c>
      <c r="C7" s="2142" t="s">
        <v>1210</v>
      </c>
      <c r="D7" s="2143" t="s">
        <v>1211</v>
      </c>
    </row>
    <row r="8" spans="1:4" x14ac:dyDescent="0.2">
      <c r="B8" t="s">
        <v>1212</v>
      </c>
      <c r="C8" s="2142" t="s">
        <v>1213</v>
      </c>
      <c r="D8" s="2143" t="s">
        <v>1214</v>
      </c>
    </row>
    <row r="9" spans="1:4" ht="15" x14ac:dyDescent="0.25">
      <c r="A9" s="2144">
        <v>43374</v>
      </c>
      <c r="B9" s="2145" t="s">
        <v>1215</v>
      </c>
      <c r="C9" s="2146" t="s">
        <v>1216</v>
      </c>
      <c r="D9" s="2147" t="s">
        <v>1217</v>
      </c>
    </row>
    <row r="10" spans="1:4" x14ac:dyDescent="0.2">
      <c r="B10" t="s">
        <v>1207</v>
      </c>
      <c r="C10" s="2142" t="s">
        <v>1218</v>
      </c>
      <c r="D10" s="2143" t="s">
        <v>1219</v>
      </c>
    </row>
    <row r="11" spans="1:4" x14ac:dyDescent="0.2">
      <c r="B11" t="s">
        <v>1888</v>
      </c>
      <c r="C11" s="2142" t="s">
        <v>1210</v>
      </c>
      <c r="D11" s="2143" t="s">
        <v>1220</v>
      </c>
    </row>
    <row r="12" spans="1:4" x14ac:dyDescent="0.2">
      <c r="B12" t="s">
        <v>1221</v>
      </c>
      <c r="C12" s="2142" t="s">
        <v>1213</v>
      </c>
      <c r="D12" s="2143" t="s">
        <v>1214</v>
      </c>
    </row>
    <row r="13" spans="1:4" ht="15" x14ac:dyDescent="0.25">
      <c r="A13" s="2144">
        <v>43405</v>
      </c>
      <c r="B13" s="2145" t="s">
        <v>1215</v>
      </c>
      <c r="C13" s="2148" t="s">
        <v>1222</v>
      </c>
      <c r="D13" s="2149" t="s">
        <v>1223</v>
      </c>
    </row>
    <row r="14" spans="1:4" x14ac:dyDescent="0.2">
      <c r="B14" t="s">
        <v>1207</v>
      </c>
      <c r="C14" s="2142" t="s">
        <v>1224</v>
      </c>
      <c r="D14" s="2143" t="s">
        <v>1225</v>
      </c>
    </row>
    <row r="15" spans="1:4" x14ac:dyDescent="0.2">
      <c r="B15" t="s">
        <v>1888</v>
      </c>
      <c r="C15" s="2142" t="s">
        <v>1226</v>
      </c>
      <c r="D15" s="2143" t="s">
        <v>1227</v>
      </c>
    </row>
    <row r="16" spans="1:4" x14ac:dyDescent="0.2">
      <c r="B16" t="s">
        <v>1221</v>
      </c>
      <c r="C16" s="2142" t="s">
        <v>1228</v>
      </c>
      <c r="D16" s="2143" t="s">
        <v>1214</v>
      </c>
    </row>
    <row r="17" spans="1:4" ht="15" x14ac:dyDescent="0.25">
      <c r="A17" s="2144">
        <v>43465</v>
      </c>
      <c r="B17" s="2145" t="s">
        <v>1215</v>
      </c>
      <c r="C17" s="2146" t="s">
        <v>1229</v>
      </c>
      <c r="D17" s="2147" t="s">
        <v>1230</v>
      </c>
    </row>
    <row r="18" spans="1:4" x14ac:dyDescent="0.2">
      <c r="B18" t="s">
        <v>1207</v>
      </c>
      <c r="C18" s="2142" t="s">
        <v>1231</v>
      </c>
      <c r="D18" s="2143" t="s">
        <v>1232</v>
      </c>
    </row>
    <row r="19" spans="1:4" x14ac:dyDescent="0.2">
      <c r="B19" t="s">
        <v>1888</v>
      </c>
      <c r="C19" s="2142" t="s">
        <v>1233</v>
      </c>
      <c r="D19" s="2143" t="s">
        <v>1234</v>
      </c>
    </row>
    <row r="20" spans="1:4" x14ac:dyDescent="0.2">
      <c r="B20" t="s">
        <v>1221</v>
      </c>
      <c r="C20" s="2142" t="s">
        <v>1228</v>
      </c>
      <c r="D20" s="2143" t="s">
        <v>1214</v>
      </c>
    </row>
    <row r="21" spans="1:4" ht="15" x14ac:dyDescent="0.25">
      <c r="A21" s="2144">
        <v>43496</v>
      </c>
      <c r="B21" s="2145" t="s">
        <v>1215</v>
      </c>
      <c r="C21" s="2146" t="s">
        <v>1235</v>
      </c>
      <c r="D21" s="2147" t="s">
        <v>1236</v>
      </c>
    </row>
    <row r="22" spans="1:4" x14ac:dyDescent="0.2">
      <c r="B22" t="s">
        <v>1207</v>
      </c>
      <c r="C22" s="2142" t="s">
        <v>1237</v>
      </c>
      <c r="D22" s="2143" t="s">
        <v>1238</v>
      </c>
    </row>
    <row r="23" spans="1:4" x14ac:dyDescent="0.2">
      <c r="B23" t="s">
        <v>1888</v>
      </c>
      <c r="C23" s="2142" t="s">
        <v>1233</v>
      </c>
      <c r="D23" s="2143" t="s">
        <v>1239</v>
      </c>
    </row>
    <row r="24" spans="1:4" x14ac:dyDescent="0.2">
      <c r="B24" t="s">
        <v>1221</v>
      </c>
      <c r="C24" s="2142" t="s">
        <v>1228</v>
      </c>
      <c r="D24" s="2143" t="s">
        <v>1214</v>
      </c>
    </row>
    <row r="25" spans="1:4" ht="15" x14ac:dyDescent="0.25">
      <c r="A25" s="2144">
        <v>43524</v>
      </c>
      <c r="B25" s="2145" t="s">
        <v>1215</v>
      </c>
      <c r="C25" s="2146" t="s">
        <v>1240</v>
      </c>
      <c r="D25" s="2147" t="s">
        <v>1241</v>
      </c>
    </row>
    <row r="26" spans="1:4" x14ac:dyDescent="0.2">
      <c r="B26" t="s">
        <v>1207</v>
      </c>
      <c r="C26" s="2142" t="s">
        <v>1242</v>
      </c>
      <c r="D26" s="2143" t="s">
        <v>1243</v>
      </c>
    </row>
    <row r="27" spans="1:4" x14ac:dyDescent="0.2">
      <c r="B27" t="s">
        <v>1888</v>
      </c>
      <c r="C27" s="2142" t="s">
        <v>1233</v>
      </c>
      <c r="D27" s="2143" t="s">
        <v>1244</v>
      </c>
    </row>
    <row r="28" spans="1:4" x14ac:dyDescent="0.2">
      <c r="B28" t="s">
        <v>1221</v>
      </c>
      <c r="C28" s="2142" t="s">
        <v>1245</v>
      </c>
      <c r="D28" s="2143" t="s">
        <v>1214</v>
      </c>
    </row>
    <row r="29" spans="1:4" ht="15" x14ac:dyDescent="0.25">
      <c r="A29" s="2144">
        <v>43555</v>
      </c>
      <c r="B29" s="2145" t="s">
        <v>1215</v>
      </c>
      <c r="C29" s="2148" t="s">
        <v>1246</v>
      </c>
      <c r="D29" s="2149" t="s">
        <v>1247</v>
      </c>
    </row>
    <row r="30" spans="1:4" x14ac:dyDescent="0.2">
      <c r="B30" t="s">
        <v>1207</v>
      </c>
      <c r="C30" s="2142" t="s">
        <v>1248</v>
      </c>
      <c r="D30" s="2143" t="s">
        <v>1249</v>
      </c>
    </row>
    <row r="31" spans="1:4" x14ac:dyDescent="0.2">
      <c r="B31" t="s">
        <v>1888</v>
      </c>
      <c r="C31" s="2142" t="s">
        <v>1250</v>
      </c>
      <c r="D31" s="2143" t="s">
        <v>1251</v>
      </c>
    </row>
    <row r="32" spans="1:4" x14ac:dyDescent="0.2">
      <c r="B32" t="s">
        <v>1221</v>
      </c>
      <c r="C32" s="2143" t="s">
        <v>1245</v>
      </c>
      <c r="D32" s="2143" t="s">
        <v>1214</v>
      </c>
    </row>
    <row r="33" spans="1:4" ht="15" x14ac:dyDescent="0.25">
      <c r="A33" s="2144">
        <v>43585</v>
      </c>
      <c r="B33" s="2145" t="s">
        <v>1215</v>
      </c>
      <c r="C33" s="2148" t="s">
        <v>1252</v>
      </c>
      <c r="D33" s="2149" t="s">
        <v>1253</v>
      </c>
    </row>
    <row r="34" spans="1:4" x14ac:dyDescent="0.2">
      <c r="B34" t="s">
        <v>1207</v>
      </c>
      <c r="C34" s="2143" t="s">
        <v>1254</v>
      </c>
      <c r="D34" s="2143" t="s">
        <v>1255</v>
      </c>
    </row>
    <row r="35" spans="1:4" x14ac:dyDescent="0.2">
      <c r="B35" t="s">
        <v>1888</v>
      </c>
      <c r="C35" s="2143" t="s">
        <v>1256</v>
      </c>
      <c r="D35" s="2143" t="s">
        <v>1257</v>
      </c>
    </row>
    <row r="36" spans="1:4" x14ac:dyDescent="0.2">
      <c r="B36" t="s">
        <v>1889</v>
      </c>
      <c r="C36" s="2143" t="s">
        <v>1258</v>
      </c>
      <c r="D36" s="2143" t="s">
        <v>1214</v>
      </c>
    </row>
    <row r="37" spans="1:4" ht="15" x14ac:dyDescent="0.25">
      <c r="A37" s="2150"/>
      <c r="B37" s="2151" t="s">
        <v>1221</v>
      </c>
      <c r="C37" s="2152" t="s">
        <v>1245</v>
      </c>
      <c r="D37" s="2152" t="s">
        <v>1214</v>
      </c>
    </row>
    <row r="38" spans="1:4" x14ac:dyDescent="0.2">
      <c r="A38" s="2153">
        <v>43616</v>
      </c>
      <c r="B38" s="2154" t="s">
        <v>1215</v>
      </c>
      <c r="C38" s="2155" t="s">
        <v>1259</v>
      </c>
      <c r="D38" s="2156" t="s">
        <v>1260</v>
      </c>
    </row>
    <row r="39" spans="1:4" x14ac:dyDescent="0.2">
      <c r="B39" t="s">
        <v>1207</v>
      </c>
      <c r="C39" s="2143" t="s">
        <v>1749</v>
      </c>
      <c r="D39" s="2143" t="s">
        <v>1750</v>
      </c>
    </row>
    <row r="40" spans="1:4" x14ac:dyDescent="0.2">
      <c r="B40" t="s">
        <v>1890</v>
      </c>
      <c r="C40" s="2143" t="s">
        <v>1751</v>
      </c>
      <c r="D40" s="2143" t="s">
        <v>1752</v>
      </c>
    </row>
    <row r="41" spans="1:4" ht="15" x14ac:dyDescent="0.25">
      <c r="A41" s="2150"/>
      <c r="B41" s="2151" t="s">
        <v>1889</v>
      </c>
      <c r="C41" s="2152" t="s">
        <v>1753</v>
      </c>
      <c r="D41" s="2152" t="s">
        <v>1214</v>
      </c>
    </row>
    <row r="42" spans="1:4" x14ac:dyDescent="0.2">
      <c r="B42" t="s">
        <v>1221</v>
      </c>
      <c r="C42" s="2143" t="s">
        <v>1754</v>
      </c>
      <c r="D42" s="2143" t="s">
        <v>1214</v>
      </c>
    </row>
    <row r="43" spans="1:4" x14ac:dyDescent="0.2">
      <c r="A43" s="2157" t="s">
        <v>1261</v>
      </c>
      <c r="B43" s="2154"/>
      <c r="C43" s="2155" t="s">
        <v>1755</v>
      </c>
      <c r="D43" s="2156" t="s">
        <v>1756</v>
      </c>
    </row>
    <row r="44" spans="1:4" x14ac:dyDescent="0.2">
      <c r="B44" t="s">
        <v>1207</v>
      </c>
      <c r="C44" s="2143" t="s">
        <v>1757</v>
      </c>
      <c r="D44" s="2143" t="s">
        <v>1758</v>
      </c>
    </row>
    <row r="45" spans="1:4" x14ac:dyDescent="0.2">
      <c r="B45" t="s">
        <v>1891</v>
      </c>
      <c r="C45" s="2143" t="s">
        <v>1751</v>
      </c>
      <c r="D45" s="2143" t="s">
        <v>1759</v>
      </c>
    </row>
    <row r="46" spans="1:4" x14ac:dyDescent="0.2">
      <c r="B46" t="s">
        <v>1889</v>
      </c>
      <c r="C46" s="2143" t="s">
        <v>1760</v>
      </c>
      <c r="D46" s="2143" t="s">
        <v>1214</v>
      </c>
    </row>
    <row r="47" spans="1:4" x14ac:dyDescent="0.2">
      <c r="B47" t="s">
        <v>1221</v>
      </c>
      <c r="C47" s="2143" t="s">
        <v>1754</v>
      </c>
      <c r="D47" s="2143" t="s">
        <v>1214</v>
      </c>
    </row>
    <row r="48" spans="1:4" x14ac:dyDescent="0.2">
      <c r="A48" s="2153">
        <v>43677</v>
      </c>
      <c r="B48" s="2154" t="s">
        <v>1215</v>
      </c>
      <c r="C48" s="2155" t="s">
        <v>1761</v>
      </c>
      <c r="D48" s="2156" t="s">
        <v>1762</v>
      </c>
    </row>
    <row r="49" spans="1:4" x14ac:dyDescent="0.2">
      <c r="B49" t="s">
        <v>1207</v>
      </c>
      <c r="C49" s="2143" t="s">
        <v>1763</v>
      </c>
      <c r="D49" s="2143" t="s">
        <v>1764</v>
      </c>
    </row>
    <row r="50" spans="1:4" x14ac:dyDescent="0.2">
      <c r="B50" t="s">
        <v>1892</v>
      </c>
      <c r="C50" s="2143" t="s">
        <v>1765</v>
      </c>
      <c r="D50" s="2143" t="s">
        <v>1766</v>
      </c>
    </row>
    <row r="51" spans="1:4" x14ac:dyDescent="0.2">
      <c r="B51" t="s">
        <v>1893</v>
      </c>
      <c r="C51" s="2143" t="s">
        <v>1767</v>
      </c>
      <c r="D51" s="2143" t="s">
        <v>1214</v>
      </c>
    </row>
    <row r="52" spans="1:4" x14ac:dyDescent="0.2">
      <c r="B52" t="s">
        <v>1221</v>
      </c>
      <c r="C52" s="2143" t="s">
        <v>1754</v>
      </c>
      <c r="D52" s="2143" t="s">
        <v>1214</v>
      </c>
    </row>
    <row r="53" spans="1:4" x14ac:dyDescent="0.2">
      <c r="A53" s="2158">
        <v>43708</v>
      </c>
      <c r="B53" s="2154" t="s">
        <v>1215</v>
      </c>
      <c r="C53" s="2155" t="s">
        <v>1768</v>
      </c>
      <c r="D53" s="2155" t="s">
        <v>1769</v>
      </c>
    </row>
    <row r="54" spans="1:4" x14ac:dyDescent="0.2">
      <c r="B54" t="s">
        <v>1207</v>
      </c>
      <c r="C54" s="2143" t="s">
        <v>1770</v>
      </c>
      <c r="D54" s="2143" t="s">
        <v>1771</v>
      </c>
    </row>
    <row r="55" spans="1:4" x14ac:dyDescent="0.2">
      <c r="B55" t="s">
        <v>1890</v>
      </c>
      <c r="C55" s="2143" t="s">
        <v>1772</v>
      </c>
      <c r="D55" s="2143" t="s">
        <v>1773</v>
      </c>
    </row>
    <row r="56" spans="1:4" x14ac:dyDescent="0.2">
      <c r="B56" t="s">
        <v>1889</v>
      </c>
      <c r="C56" s="2143" t="s">
        <v>1774</v>
      </c>
      <c r="D56" s="2143" t="s">
        <v>1775</v>
      </c>
    </row>
    <row r="57" spans="1:4" x14ac:dyDescent="0.2">
      <c r="B57" t="s">
        <v>1221</v>
      </c>
      <c r="C57" s="2143" t="s">
        <v>1776</v>
      </c>
      <c r="D57" s="2143" t="s">
        <v>1214</v>
      </c>
    </row>
    <row r="58" spans="1:4" x14ac:dyDescent="0.2">
      <c r="A58" s="2154" t="s">
        <v>1777</v>
      </c>
      <c r="B58" s="2154"/>
      <c r="C58" s="2155" t="s">
        <v>1778</v>
      </c>
      <c r="D58" s="2155">
        <v>286953.67</v>
      </c>
    </row>
    <row r="59" spans="1:4" x14ac:dyDescent="0.2">
      <c r="B59" t="s">
        <v>1207</v>
      </c>
      <c r="C59" s="2143" t="s">
        <v>1779</v>
      </c>
      <c r="D59" s="2143" t="s">
        <v>1780</v>
      </c>
    </row>
    <row r="60" spans="1:4" x14ac:dyDescent="0.2">
      <c r="B60" t="s">
        <v>1890</v>
      </c>
      <c r="C60" s="2143" t="s">
        <v>1781</v>
      </c>
      <c r="D60" s="2143" t="s">
        <v>1782</v>
      </c>
    </row>
    <row r="61" spans="1:4" x14ac:dyDescent="0.2">
      <c r="B61" t="s">
        <v>1889</v>
      </c>
      <c r="C61" s="2143" t="s">
        <v>1774</v>
      </c>
      <c r="D61" s="2143" t="s">
        <v>1214</v>
      </c>
    </row>
    <row r="62" spans="1:4" x14ac:dyDescent="0.2">
      <c r="B62" t="s">
        <v>1221</v>
      </c>
      <c r="C62" s="2143" t="s">
        <v>1776</v>
      </c>
      <c r="D62" s="2143" t="s">
        <v>1214</v>
      </c>
    </row>
    <row r="63" spans="1:4" x14ac:dyDescent="0.2">
      <c r="A63" s="2154" t="s">
        <v>1783</v>
      </c>
      <c r="B63" s="2154"/>
      <c r="C63" s="2155" t="s">
        <v>1784</v>
      </c>
      <c r="D63" s="2155" t="s">
        <v>1785</v>
      </c>
    </row>
    <row r="64" spans="1:4" x14ac:dyDescent="0.2">
      <c r="B64" t="s">
        <v>1207</v>
      </c>
      <c r="C64" s="2143" t="s">
        <v>1786</v>
      </c>
      <c r="D64" s="2143" t="s">
        <v>1787</v>
      </c>
    </row>
    <row r="65" spans="1:4" x14ac:dyDescent="0.2">
      <c r="B65" t="s">
        <v>1890</v>
      </c>
      <c r="C65" s="2143" t="s">
        <v>1788</v>
      </c>
      <c r="D65" s="2143" t="s">
        <v>1789</v>
      </c>
    </row>
    <row r="66" spans="1:4" x14ac:dyDescent="0.2">
      <c r="B66" t="s">
        <v>1889</v>
      </c>
      <c r="C66" s="2143" t="s">
        <v>1774</v>
      </c>
      <c r="D66" s="2143" t="s">
        <v>1214</v>
      </c>
    </row>
    <row r="67" spans="1:4" x14ac:dyDescent="0.2">
      <c r="B67" t="s">
        <v>1221</v>
      </c>
      <c r="C67" s="2143" t="s">
        <v>1776</v>
      </c>
      <c r="D67" s="2143" t="s">
        <v>1214</v>
      </c>
    </row>
    <row r="68" spans="1:4" x14ac:dyDescent="0.2">
      <c r="A68" s="2154" t="s">
        <v>1790</v>
      </c>
      <c r="B68" s="2154"/>
      <c r="C68" s="2155" t="s">
        <v>1791</v>
      </c>
      <c r="D68" s="2155" t="s">
        <v>1792</v>
      </c>
    </row>
    <row r="69" spans="1:4" x14ac:dyDescent="0.2">
      <c r="B69" t="s">
        <v>1207</v>
      </c>
      <c r="C69" s="2143" t="s">
        <v>1786</v>
      </c>
      <c r="D69" s="2143" t="s">
        <v>1793</v>
      </c>
    </row>
    <row r="70" spans="1:4" x14ac:dyDescent="0.2">
      <c r="B70" t="s">
        <v>1890</v>
      </c>
      <c r="C70" s="2143" t="s">
        <v>1788</v>
      </c>
      <c r="D70" s="2143" t="s">
        <v>1794</v>
      </c>
    </row>
    <row r="71" spans="1:4" x14ac:dyDescent="0.2">
      <c r="B71" t="s">
        <v>1889</v>
      </c>
      <c r="C71" s="2143" t="s">
        <v>1774</v>
      </c>
      <c r="D71" s="2143" t="s">
        <v>1795</v>
      </c>
    </row>
    <row r="72" spans="1:4" x14ac:dyDescent="0.2">
      <c r="B72" t="s">
        <v>1221</v>
      </c>
      <c r="C72" s="2143" t="s">
        <v>1214</v>
      </c>
      <c r="D72" s="2143" t="s">
        <v>1214</v>
      </c>
    </row>
    <row r="73" spans="1:4" x14ac:dyDescent="0.2">
      <c r="A73" s="2154" t="s">
        <v>1796</v>
      </c>
      <c r="B73" s="2154"/>
      <c r="C73" s="2155" t="s">
        <v>1797</v>
      </c>
      <c r="D73" s="2155" t="s">
        <v>1798</v>
      </c>
    </row>
    <row r="74" spans="1:4" x14ac:dyDescent="0.2">
      <c r="B74" t="s">
        <v>1207</v>
      </c>
      <c r="C74" s="2143" t="s">
        <v>1799</v>
      </c>
      <c r="D74" s="2143" t="s">
        <v>1800</v>
      </c>
    </row>
    <row r="75" spans="1:4" x14ac:dyDescent="0.2">
      <c r="B75" t="s">
        <v>1890</v>
      </c>
      <c r="C75" s="2143" t="s">
        <v>1801</v>
      </c>
      <c r="D75" s="2143" t="s">
        <v>1802</v>
      </c>
    </row>
    <row r="76" spans="1:4" x14ac:dyDescent="0.2">
      <c r="B76" t="s">
        <v>1889</v>
      </c>
      <c r="C76" s="2143" t="s">
        <v>1774</v>
      </c>
      <c r="D76" s="2143" t="s">
        <v>1214</v>
      </c>
    </row>
    <row r="77" spans="1:4" x14ac:dyDescent="0.2">
      <c r="A77" s="2154" t="s">
        <v>1803</v>
      </c>
      <c r="B77" s="2154"/>
      <c r="C77" s="2155" t="s">
        <v>1804</v>
      </c>
      <c r="D77" s="2155" t="s">
        <v>1805</v>
      </c>
    </row>
    <row r="78" spans="1:4" x14ac:dyDescent="0.2">
      <c r="B78" t="s">
        <v>1207</v>
      </c>
      <c r="C78" s="2143" t="s">
        <v>1806</v>
      </c>
      <c r="D78" s="2143" t="s">
        <v>1807</v>
      </c>
    </row>
    <row r="79" spans="1:4" x14ac:dyDescent="0.2">
      <c r="B79" t="s">
        <v>1890</v>
      </c>
      <c r="C79" s="2143" t="s">
        <v>1808</v>
      </c>
      <c r="D79" s="2143" t="s">
        <v>1809</v>
      </c>
    </row>
    <row r="80" spans="1:4" x14ac:dyDescent="0.2">
      <c r="B80" t="s">
        <v>1889</v>
      </c>
      <c r="C80" s="2143" t="s">
        <v>1774</v>
      </c>
      <c r="D80" s="2143" t="s">
        <v>1214</v>
      </c>
    </row>
    <row r="81" spans="1:4" x14ac:dyDescent="0.2">
      <c r="A81" s="2154" t="s">
        <v>1810</v>
      </c>
      <c r="B81" s="2154"/>
      <c r="C81" s="2155" t="s">
        <v>1811</v>
      </c>
      <c r="D81" s="2155" t="s">
        <v>1812</v>
      </c>
    </row>
    <row r="82" spans="1:4" x14ac:dyDescent="0.2">
      <c r="B82" t="s">
        <v>1207</v>
      </c>
      <c r="C82" s="2143" t="s">
        <v>1894</v>
      </c>
      <c r="D82" s="2143" t="s">
        <v>1895</v>
      </c>
    </row>
    <row r="83" spans="1:4" x14ac:dyDescent="0.2">
      <c r="B83" t="s">
        <v>1890</v>
      </c>
      <c r="C83" s="2143" t="s">
        <v>1896</v>
      </c>
      <c r="D83" s="2143" t="s">
        <v>1897</v>
      </c>
    </row>
    <row r="84" spans="1:4" x14ac:dyDescent="0.2">
      <c r="B84" t="s">
        <v>1889</v>
      </c>
      <c r="C84" s="2143" t="s">
        <v>1774</v>
      </c>
      <c r="D84" s="2143" t="s">
        <v>1898</v>
      </c>
    </row>
    <row r="85" spans="1:4" x14ac:dyDescent="0.2">
      <c r="A85" s="2154" t="s">
        <v>1899</v>
      </c>
      <c r="B85" s="2154"/>
      <c r="C85" s="2155" t="s">
        <v>1900</v>
      </c>
      <c r="D85" s="2155" t="s">
        <v>1901</v>
      </c>
    </row>
    <row r="86" spans="1:4" x14ac:dyDescent="0.2">
      <c r="B86" t="s">
        <v>1207</v>
      </c>
      <c r="C86" s="2143" t="s">
        <v>1902</v>
      </c>
      <c r="D86" s="2143" t="s">
        <v>1903</v>
      </c>
    </row>
    <row r="87" spans="1:4" x14ac:dyDescent="0.2">
      <c r="B87" t="s">
        <v>1890</v>
      </c>
      <c r="C87" s="2143" t="s">
        <v>1904</v>
      </c>
      <c r="D87" s="2143" t="s">
        <v>1905</v>
      </c>
    </row>
    <row r="88" spans="1:4" x14ac:dyDescent="0.2">
      <c r="B88" t="s">
        <v>1889</v>
      </c>
      <c r="C88" s="2143" t="s">
        <v>1774</v>
      </c>
      <c r="D88" s="2143" t="s">
        <v>1214</v>
      </c>
    </row>
    <row r="89" spans="1:4" x14ac:dyDescent="0.2">
      <c r="A89" s="2158">
        <v>43951</v>
      </c>
      <c r="B89" s="2154" t="s">
        <v>1215</v>
      </c>
      <c r="C89" s="2155" t="s">
        <v>1906</v>
      </c>
      <c r="D89" s="2155" t="s">
        <v>1907</v>
      </c>
    </row>
    <row r="90" spans="1:4" x14ac:dyDescent="0.2">
      <c r="B90" t="s">
        <v>1207</v>
      </c>
      <c r="C90" s="2143" t="s">
        <v>1908</v>
      </c>
      <c r="D90" s="2143" t="s">
        <v>1909</v>
      </c>
    </row>
    <row r="91" spans="1:4" x14ac:dyDescent="0.2">
      <c r="B91" t="s">
        <v>1910</v>
      </c>
      <c r="C91" s="2143" t="s">
        <v>1911</v>
      </c>
      <c r="D91" s="2143" t="s">
        <v>1912</v>
      </c>
    </row>
    <row r="92" spans="1:4" x14ac:dyDescent="0.2">
      <c r="B92" t="s">
        <v>1889</v>
      </c>
      <c r="C92" s="2143" t="s">
        <v>1774</v>
      </c>
      <c r="D92" s="2143" t="s">
        <v>1214</v>
      </c>
    </row>
    <row r="93" spans="1:4" x14ac:dyDescent="0.2">
      <c r="A93" s="2154" t="s">
        <v>1913</v>
      </c>
      <c r="B93" s="2154"/>
      <c r="C93" s="2155" t="s">
        <v>1914</v>
      </c>
      <c r="D93" s="2155" t="s">
        <v>1915</v>
      </c>
    </row>
    <row r="94" spans="1:4" x14ac:dyDescent="0.2">
      <c r="B94" t="s">
        <v>1207</v>
      </c>
      <c r="C94" s="2143" t="s">
        <v>1940</v>
      </c>
      <c r="D94" s="2143" t="s">
        <v>1941</v>
      </c>
    </row>
    <row r="95" spans="1:4" x14ac:dyDescent="0.2">
      <c r="B95" t="s">
        <v>1890</v>
      </c>
      <c r="C95" s="2143" t="s">
        <v>1942</v>
      </c>
      <c r="D95" s="2143" t="s">
        <v>1943</v>
      </c>
    </row>
    <row r="96" spans="1:4" x14ac:dyDescent="0.2">
      <c r="B96" t="s">
        <v>1944</v>
      </c>
      <c r="C96" s="2143" t="s">
        <v>1774</v>
      </c>
      <c r="D96" s="2143" t="s">
        <v>1945</v>
      </c>
    </row>
    <row r="97" spans="1:4" x14ac:dyDescent="0.2">
      <c r="A97" s="2154" t="s">
        <v>1946</v>
      </c>
      <c r="B97" s="2154"/>
      <c r="C97" s="2155" t="s">
        <v>1947</v>
      </c>
      <c r="D97" s="2155" t="s">
        <v>1948</v>
      </c>
    </row>
  </sheetData>
  <sheetProtection algorithmName="SHA-512" hashValue="aJT4QGxp67A3YOrCPpyDIE46ozPZ+Zln7Pm8Na+GsB2pooLn3h77D++jn/dooJI07NcknMQ7Oa1lvIx70v7OxQ==" saltValue="D4HCVw7eAl4SbnAF6IZNfw==" spinCount="100000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K222"/>
  <sheetViews>
    <sheetView zoomScale="83" zoomScaleNormal="83" workbookViewId="0">
      <selection activeCell="D6" sqref="D6:D7"/>
    </sheetView>
  </sheetViews>
  <sheetFormatPr defaultColWidth="9.140625" defaultRowHeight="13.5" outlineLevelRow="1" x14ac:dyDescent="0.25"/>
  <cols>
    <col min="1" max="1" width="8.7109375" style="446" customWidth="1"/>
    <col min="2" max="2" width="65.7109375" style="446" bestFit="1" customWidth="1"/>
    <col min="3" max="3" width="5.5703125" style="451" bestFit="1" customWidth="1"/>
    <col min="4" max="4" width="8.5703125" style="527" bestFit="1" customWidth="1"/>
    <col min="5" max="5" width="11.28515625" style="446" customWidth="1"/>
    <col min="6" max="6" width="11.28515625" style="446" bestFit="1" customWidth="1"/>
    <col min="7" max="9" width="11" style="446" bestFit="1" customWidth="1"/>
    <col min="10" max="10" width="9.140625" style="446"/>
    <col min="11" max="11" width="10" style="527" bestFit="1" customWidth="1"/>
    <col min="12" max="16384" width="9.140625" style="446"/>
  </cols>
  <sheetData>
    <row r="2" spans="1:11" ht="27" x14ac:dyDescent="0.25">
      <c r="A2" s="1540" t="s">
        <v>953</v>
      </c>
      <c r="B2" s="526"/>
      <c r="C2" s="1541" t="s">
        <v>90</v>
      </c>
      <c r="D2" s="1542" t="s">
        <v>1957</v>
      </c>
      <c r="E2" s="1542" t="s">
        <v>845</v>
      </c>
      <c r="F2" s="1542" t="s">
        <v>846</v>
      </c>
      <c r="G2" s="1542" t="s">
        <v>954</v>
      </c>
      <c r="H2" s="1542" t="s">
        <v>2039</v>
      </c>
      <c r="I2" s="1542" t="s">
        <v>2040</v>
      </c>
    </row>
    <row r="4" spans="1:11" x14ac:dyDescent="0.25">
      <c r="A4" s="1543" t="s">
        <v>258</v>
      </c>
      <c r="B4" s="1544"/>
      <c r="C4" s="1544"/>
      <c r="D4" s="1544"/>
      <c r="E4" s="1544"/>
      <c r="F4" s="1544"/>
      <c r="G4" s="1544"/>
      <c r="H4" s="1544"/>
      <c r="I4" s="1544"/>
    </row>
    <row r="5" spans="1:11" s="526" customFormat="1" ht="15" customHeight="1" x14ac:dyDescent="0.25">
      <c r="A5" s="1545" t="s">
        <v>259</v>
      </c>
      <c r="B5" s="1545" t="s">
        <v>260</v>
      </c>
      <c r="C5" s="1546"/>
      <c r="D5" s="1547">
        <f>SUM(D6:D24)</f>
        <v>123557</v>
      </c>
      <c r="E5" s="1547">
        <f>SUM(E6:E24)</f>
        <v>102861.21799999999</v>
      </c>
      <c r="F5" s="1547">
        <f t="shared" ref="F5:H5" si="0">SUM(F6:F24)</f>
        <v>105436.77576</v>
      </c>
      <c r="G5" s="1547">
        <f t="shared" si="0"/>
        <v>108219.35583040002</v>
      </c>
      <c r="H5" s="1547">
        <f t="shared" si="0"/>
        <v>111113.23910361601</v>
      </c>
      <c r="I5" s="1547">
        <f t="shared" ref="I5" si="1">SUM(I6:I24)</f>
        <v>114112.87770776066</v>
      </c>
      <c r="K5" s="726"/>
    </row>
    <row r="6" spans="1:11" s="517" customFormat="1" ht="18" customHeight="1" outlineLevel="1" x14ac:dyDescent="0.25">
      <c r="B6" s="1548" t="s">
        <v>13</v>
      </c>
      <c r="C6" s="1549">
        <v>1111</v>
      </c>
      <c r="D6" s="1550">
        <f>'Souhrn příjmů a výdajů 2021'!E7/1000</f>
        <v>26500</v>
      </c>
      <c r="E6" s="1550">
        <f>+'Souhrn příjmů a výdajů 2021'!I7/1000</f>
        <v>18370.444</v>
      </c>
      <c r="F6" s="1550">
        <f>+E6*1.04</f>
        <v>19105.261760000001</v>
      </c>
      <c r="G6" s="1550">
        <f t="shared" ref="G6:I6" si="2">+F6*1.04</f>
        <v>19869.472230400002</v>
      </c>
      <c r="H6" s="1550">
        <f t="shared" si="2"/>
        <v>20664.251119616005</v>
      </c>
      <c r="I6" s="1550">
        <f t="shared" si="2"/>
        <v>21490.821164400644</v>
      </c>
      <c r="K6" s="656"/>
    </row>
    <row r="7" spans="1:11" s="517" customFormat="1" ht="18" customHeight="1" outlineLevel="1" x14ac:dyDescent="0.25">
      <c r="B7" s="1551" t="s">
        <v>14</v>
      </c>
      <c r="C7" s="1552">
        <v>1112</v>
      </c>
      <c r="D7" s="869">
        <f>'Souhrn příjmů a výdajů 2021'!E8/1000</f>
        <v>600</v>
      </c>
      <c r="E7" s="869">
        <f>+'Souhrn příjmů a výdajů 2021'!I8/1000</f>
        <v>387.12900000000002</v>
      </c>
      <c r="F7" s="869">
        <f t="shared" ref="F7:G9" si="3">+E7</f>
        <v>387.12900000000002</v>
      </c>
      <c r="G7" s="869">
        <f t="shared" si="3"/>
        <v>387.12900000000002</v>
      </c>
      <c r="H7" s="869">
        <f t="shared" ref="H7:I7" si="4">+G7</f>
        <v>387.12900000000002</v>
      </c>
      <c r="I7" s="869">
        <f t="shared" si="4"/>
        <v>387.12900000000002</v>
      </c>
      <c r="K7" s="656"/>
    </row>
    <row r="8" spans="1:11" s="517" customFormat="1" ht="18" customHeight="1" outlineLevel="1" x14ac:dyDescent="0.25">
      <c r="B8" s="1551" t="s">
        <v>15</v>
      </c>
      <c r="C8" s="1552">
        <v>1121</v>
      </c>
      <c r="D8" s="869">
        <f>'Souhrn příjmů a výdajů 2021'!E9/1000</f>
        <v>23300</v>
      </c>
      <c r="E8" s="869">
        <f>+'Souhrn příjmů a výdajů 2021'!I9/1000</f>
        <v>2419.5500000000002</v>
      </c>
      <c r="F8" s="869">
        <f t="shared" si="3"/>
        <v>2419.5500000000002</v>
      </c>
      <c r="G8" s="869">
        <f t="shared" si="3"/>
        <v>2419.5500000000002</v>
      </c>
      <c r="H8" s="869">
        <f t="shared" ref="H8:I8" si="5">+G8</f>
        <v>2419.5500000000002</v>
      </c>
      <c r="I8" s="869">
        <f t="shared" si="5"/>
        <v>2419.5500000000002</v>
      </c>
      <c r="K8" s="656"/>
    </row>
    <row r="9" spans="1:11" s="517" customFormat="1" ht="18" customHeight="1" outlineLevel="1" x14ac:dyDescent="0.25">
      <c r="B9" s="1551" t="s">
        <v>554</v>
      </c>
      <c r="C9" s="1552">
        <v>1113</v>
      </c>
      <c r="D9" s="869">
        <f>'Souhrn příjmů a výdajů 2021'!E11/1000</f>
        <v>2400</v>
      </c>
      <c r="E9" s="869">
        <f>+'Souhrn příjmů a výdajů 2021'!I11/1000</f>
        <v>15097.594999999999</v>
      </c>
      <c r="F9" s="869">
        <f t="shared" si="3"/>
        <v>15097.594999999999</v>
      </c>
      <c r="G9" s="869">
        <f t="shared" si="3"/>
        <v>15097.594999999999</v>
      </c>
      <c r="H9" s="869">
        <f t="shared" ref="H9:I9" si="6">+G9</f>
        <v>15097.594999999999</v>
      </c>
      <c r="I9" s="869">
        <f t="shared" si="6"/>
        <v>15097.594999999999</v>
      </c>
      <c r="K9" s="656"/>
    </row>
    <row r="10" spans="1:11" s="517" customFormat="1" ht="18" customHeight="1" outlineLevel="1" x14ac:dyDescent="0.25">
      <c r="B10" s="1551" t="s">
        <v>16</v>
      </c>
      <c r="C10" s="1552">
        <v>1211</v>
      </c>
      <c r="D10" s="869">
        <f>'Souhrn příjmů a výdajů 2021'!E12/1000</f>
        <v>54000</v>
      </c>
      <c r="E10" s="869">
        <f>+'Souhrn příjmů a výdajů 2021'!I12/1000</f>
        <v>48518.5</v>
      </c>
      <c r="F10" s="869">
        <f>+E10*1.04</f>
        <v>50459.240000000005</v>
      </c>
      <c r="G10" s="869">
        <f t="shared" ref="G10:I10" si="7">+F10*1.04</f>
        <v>52477.609600000011</v>
      </c>
      <c r="H10" s="869">
        <f t="shared" si="7"/>
        <v>54576.713984000016</v>
      </c>
      <c r="I10" s="869">
        <f t="shared" si="7"/>
        <v>56759.782543360016</v>
      </c>
      <c r="K10" s="656"/>
    </row>
    <row r="11" spans="1:11" ht="18" customHeight="1" outlineLevel="1" x14ac:dyDescent="0.25">
      <c r="B11" s="1553" t="s">
        <v>18</v>
      </c>
      <c r="C11" s="863" t="s">
        <v>17</v>
      </c>
      <c r="D11" s="869">
        <f>'Souhrn příjmů a výdajů 2021'!E13/1000</f>
        <v>103</v>
      </c>
      <c r="E11" s="869">
        <f>+'Souhrn příjmů a výdajů 2021'!I13/1000</f>
        <v>100</v>
      </c>
      <c r="F11" s="858"/>
      <c r="G11" s="858"/>
      <c r="H11" s="858"/>
      <c r="I11" s="858"/>
    </row>
    <row r="12" spans="1:11" ht="18" customHeight="1" outlineLevel="1" x14ac:dyDescent="0.25">
      <c r="B12" s="1553" t="s">
        <v>18</v>
      </c>
      <c r="C12" s="863" t="s">
        <v>17</v>
      </c>
      <c r="D12" s="869"/>
      <c r="E12" s="869"/>
      <c r="F12" s="858"/>
      <c r="G12" s="858"/>
      <c r="H12" s="858"/>
      <c r="I12" s="858"/>
    </row>
    <row r="13" spans="1:11" s="663" customFormat="1" ht="18" customHeight="1" outlineLevel="1" x14ac:dyDescent="0.25">
      <c r="B13" s="1554" t="s">
        <v>20</v>
      </c>
      <c r="C13" s="1555" t="s">
        <v>19</v>
      </c>
      <c r="D13" s="869">
        <f>'Souhrn příjmů a výdajů 2021'!E14/1000</f>
        <v>4540</v>
      </c>
      <c r="E13" s="869">
        <f>+'Souhrn příjmů a výdajů 2021'!I14/1000</f>
        <v>6300</v>
      </c>
      <c r="F13" s="1556">
        <f t="shared" ref="F13:I19" si="8">+E13</f>
        <v>6300</v>
      </c>
      <c r="G13" s="1556">
        <f t="shared" si="8"/>
        <v>6300</v>
      </c>
      <c r="H13" s="1556">
        <f t="shared" si="8"/>
        <v>6300</v>
      </c>
      <c r="I13" s="1556">
        <f t="shared" si="8"/>
        <v>6300</v>
      </c>
      <c r="K13" s="667"/>
    </row>
    <row r="14" spans="1:11" ht="18" customHeight="1" outlineLevel="1" x14ac:dyDescent="0.25">
      <c r="B14" s="1553" t="s">
        <v>21</v>
      </c>
      <c r="C14" s="863">
        <v>1341</v>
      </c>
      <c r="D14" s="869">
        <f>'Souhrn příjmů a výdajů 2021'!E15/1000</f>
        <v>267</v>
      </c>
      <c r="E14" s="869">
        <f>+'Souhrn příjmů a výdajů 2021'!I15/1000</f>
        <v>260</v>
      </c>
      <c r="F14" s="858">
        <f t="shared" si="8"/>
        <v>260</v>
      </c>
      <c r="G14" s="858">
        <f t="shared" si="8"/>
        <v>260</v>
      </c>
      <c r="H14" s="858">
        <f t="shared" si="8"/>
        <v>260</v>
      </c>
      <c r="I14" s="858">
        <f t="shared" si="8"/>
        <v>260</v>
      </c>
    </row>
    <row r="15" spans="1:11" ht="18" customHeight="1" outlineLevel="1" x14ac:dyDescent="0.25">
      <c r="B15" s="1553" t="s">
        <v>22</v>
      </c>
      <c r="C15" s="863">
        <v>1343</v>
      </c>
      <c r="D15" s="869">
        <f>'Souhrn příjmů a výdajů 2021'!E16/1000</f>
        <v>75</v>
      </c>
      <c r="E15" s="869">
        <f>+'Souhrn příjmů a výdajů 2021'!I16/1000</f>
        <v>75</v>
      </c>
      <c r="F15" s="858">
        <f t="shared" si="8"/>
        <v>75</v>
      </c>
      <c r="G15" s="858">
        <f t="shared" si="8"/>
        <v>75</v>
      </c>
      <c r="H15" s="858">
        <f t="shared" si="8"/>
        <v>75</v>
      </c>
      <c r="I15" s="858">
        <f t="shared" si="8"/>
        <v>75</v>
      </c>
    </row>
    <row r="16" spans="1:11" ht="18" customHeight="1" outlineLevel="1" x14ac:dyDescent="0.25">
      <c r="B16" s="1553" t="s">
        <v>23</v>
      </c>
      <c r="C16" s="863">
        <v>1344</v>
      </c>
      <c r="D16" s="869">
        <f>'Souhrn příjmů a výdajů 2021'!E17/1000</f>
        <v>3</v>
      </c>
      <c r="E16" s="869">
        <f>+'Souhrn příjmů a výdajů 2021'!I17/1000</f>
        <v>3</v>
      </c>
      <c r="F16" s="858">
        <f t="shared" si="8"/>
        <v>3</v>
      </c>
      <c r="G16" s="858">
        <f t="shared" si="8"/>
        <v>3</v>
      </c>
      <c r="H16" s="858">
        <f t="shared" si="8"/>
        <v>3</v>
      </c>
      <c r="I16" s="858">
        <f t="shared" si="8"/>
        <v>3</v>
      </c>
    </row>
    <row r="17" spans="1:11" ht="18" customHeight="1" outlineLevel="1" x14ac:dyDescent="0.25">
      <c r="B17" s="1553" t="s">
        <v>24</v>
      </c>
      <c r="C17" s="863">
        <v>1345</v>
      </c>
      <c r="D17" s="869">
        <f>'Souhrn příjmů a výdajů 2021'!E18/1000</f>
        <v>42</v>
      </c>
      <c r="E17" s="869">
        <f>+'Souhrn příjmů a výdajů 2021'!I18/1000</f>
        <v>20</v>
      </c>
      <c r="F17" s="858">
        <f t="shared" si="8"/>
        <v>20</v>
      </c>
      <c r="G17" s="858">
        <f t="shared" si="8"/>
        <v>20</v>
      </c>
      <c r="H17" s="858">
        <f t="shared" si="8"/>
        <v>20</v>
      </c>
      <c r="I17" s="858">
        <f t="shared" si="8"/>
        <v>20</v>
      </c>
    </row>
    <row r="18" spans="1:11" ht="18" customHeight="1" outlineLevel="1" x14ac:dyDescent="0.25">
      <c r="B18" s="1553" t="s">
        <v>25</v>
      </c>
      <c r="C18" s="863">
        <v>1347</v>
      </c>
      <c r="D18" s="869">
        <f>'Souhrn příjmů a výdajů 2021'!E19/1000</f>
        <v>0</v>
      </c>
      <c r="E18" s="869">
        <f>+'Souhrn příjmů a výdajů 2021'!I19/1000</f>
        <v>0</v>
      </c>
      <c r="F18" s="858">
        <f t="shared" si="8"/>
        <v>0</v>
      </c>
      <c r="G18" s="858">
        <f t="shared" si="8"/>
        <v>0</v>
      </c>
      <c r="H18" s="858">
        <f t="shared" si="8"/>
        <v>0</v>
      </c>
      <c r="I18" s="858">
        <f t="shared" si="8"/>
        <v>0</v>
      </c>
    </row>
    <row r="19" spans="1:11" ht="18" customHeight="1" outlineLevel="1" x14ac:dyDescent="0.25">
      <c r="B19" s="1553" t="s">
        <v>27</v>
      </c>
      <c r="C19" s="863" t="s">
        <v>26</v>
      </c>
      <c r="D19" s="869">
        <f>'Souhrn příjmů a výdajů 2021'!E20/1000</f>
        <v>100</v>
      </c>
      <c r="E19" s="869">
        <f>+'Souhrn příjmů a výdajů 2021'!I20/1000</f>
        <v>100</v>
      </c>
      <c r="F19" s="858">
        <f t="shared" si="8"/>
        <v>100</v>
      </c>
      <c r="G19" s="858">
        <f t="shared" si="8"/>
        <v>100</v>
      </c>
      <c r="H19" s="858">
        <f t="shared" si="8"/>
        <v>100</v>
      </c>
      <c r="I19" s="858">
        <f t="shared" si="8"/>
        <v>100</v>
      </c>
    </row>
    <row r="20" spans="1:11" ht="18" customHeight="1" outlineLevel="1" x14ac:dyDescent="0.25">
      <c r="B20" s="1553" t="s">
        <v>553</v>
      </c>
      <c r="C20" s="863" t="s">
        <v>26</v>
      </c>
      <c r="D20" s="869">
        <f>'Souhrn příjmů a výdajů 2021'!E21/1000</f>
        <v>0</v>
      </c>
      <c r="E20" s="869">
        <f>+'Souhrn příjmů a výdajů 2021'!I21/1000</f>
        <v>0</v>
      </c>
      <c r="F20" s="858"/>
      <c r="G20" s="858"/>
      <c r="H20" s="858"/>
      <c r="I20" s="858"/>
    </row>
    <row r="21" spans="1:11" ht="18" customHeight="1" outlineLevel="1" x14ac:dyDescent="0.25">
      <c r="B21" s="1553" t="s">
        <v>555</v>
      </c>
      <c r="C21" s="863">
        <v>1355</v>
      </c>
      <c r="D21" s="869">
        <f>'Souhrn příjmů a výdajů 2021'!E22/1000</f>
        <v>927</v>
      </c>
      <c r="E21" s="858">
        <f>+'Souhrn příjmů a výdajů 2021'!I22/1000</f>
        <v>900</v>
      </c>
      <c r="F21" s="858">
        <f t="shared" ref="F21:I23" si="9">+E21</f>
        <v>900</v>
      </c>
      <c r="G21" s="858">
        <f t="shared" si="9"/>
        <v>900</v>
      </c>
      <c r="H21" s="858">
        <f t="shared" si="9"/>
        <v>900</v>
      </c>
      <c r="I21" s="858">
        <f t="shared" si="9"/>
        <v>900</v>
      </c>
    </row>
    <row r="22" spans="1:11" ht="18" customHeight="1" outlineLevel="1" x14ac:dyDescent="0.25">
      <c r="B22" s="1553" t="s">
        <v>29</v>
      </c>
      <c r="C22" s="863" t="s">
        <v>28</v>
      </c>
      <c r="D22" s="858">
        <f>'Souhrn příjmů a výdajů 2021'!E23/1000</f>
        <v>1000</v>
      </c>
      <c r="E22" s="858">
        <f>+'Souhrn příjmů a výdajů 2021'!I23/1000</f>
        <v>1000</v>
      </c>
      <c r="F22" s="858">
        <f t="shared" si="9"/>
        <v>1000</v>
      </c>
      <c r="G22" s="858">
        <f t="shared" si="9"/>
        <v>1000</v>
      </c>
      <c r="H22" s="858">
        <f t="shared" si="9"/>
        <v>1000</v>
      </c>
      <c r="I22" s="858">
        <f t="shared" si="9"/>
        <v>1000</v>
      </c>
    </row>
    <row r="23" spans="1:11" ht="18" customHeight="1" outlineLevel="1" x14ac:dyDescent="0.25">
      <c r="B23" s="1553" t="s">
        <v>31</v>
      </c>
      <c r="C23" s="863" t="s">
        <v>30</v>
      </c>
      <c r="D23" s="858">
        <f>'Souhrn příjmů a výdajů 2021'!E24/1000</f>
        <v>1900</v>
      </c>
      <c r="E23" s="858">
        <f>+'Souhrn příjmů a výdajů 2021'!I24/1000</f>
        <v>1500</v>
      </c>
      <c r="F23" s="858">
        <f t="shared" si="9"/>
        <v>1500</v>
      </c>
      <c r="G23" s="858">
        <f t="shared" si="9"/>
        <v>1500</v>
      </c>
      <c r="H23" s="858">
        <f t="shared" si="9"/>
        <v>1500</v>
      </c>
      <c r="I23" s="858">
        <f t="shared" si="9"/>
        <v>1500</v>
      </c>
    </row>
    <row r="24" spans="1:11" s="517" customFormat="1" ht="18" customHeight="1" outlineLevel="1" x14ac:dyDescent="0.25">
      <c r="B24" s="1559" t="s">
        <v>32</v>
      </c>
      <c r="C24" s="1560">
        <v>1511</v>
      </c>
      <c r="D24" s="1561">
        <f>'Souhrn příjmů a výdajů 2021'!E25/1000</f>
        <v>7800</v>
      </c>
      <c r="E24" s="1561">
        <f>+'Souhrn příjmů a výdajů 2021'!I25/1000</f>
        <v>7810</v>
      </c>
      <c r="F24" s="1561">
        <f>+E24</f>
        <v>7810</v>
      </c>
      <c r="G24" s="1561">
        <f>+F24</f>
        <v>7810</v>
      </c>
      <c r="H24" s="1561">
        <f>+G24</f>
        <v>7810</v>
      </c>
      <c r="I24" s="1561">
        <v>7800</v>
      </c>
      <c r="K24" s="656"/>
    </row>
    <row r="25" spans="1:11" s="526" customFormat="1" ht="17.25" customHeight="1" x14ac:dyDescent="0.25">
      <c r="A25" s="1545" t="s">
        <v>261</v>
      </c>
      <c r="B25" s="1545" t="s">
        <v>262</v>
      </c>
      <c r="C25" s="1546"/>
      <c r="D25" s="1547" t="e">
        <f t="shared" ref="D25:I25" si="10">SUM(D26:D81)</f>
        <v>#REF!</v>
      </c>
      <c r="E25" s="1547" t="e">
        <f t="shared" si="10"/>
        <v>#REF!</v>
      </c>
      <c r="F25" s="1547" t="e">
        <f t="shared" si="10"/>
        <v>#REF!</v>
      </c>
      <c r="G25" s="1547" t="e">
        <f t="shared" si="10"/>
        <v>#REF!</v>
      </c>
      <c r="H25" s="1547" t="e">
        <f t="shared" si="10"/>
        <v>#REF!</v>
      </c>
      <c r="I25" s="1547" t="e">
        <f t="shared" si="10"/>
        <v>#REF!</v>
      </c>
      <c r="K25" s="726"/>
    </row>
    <row r="26" spans="1:11" ht="16.5" customHeight="1" outlineLevel="1" x14ac:dyDescent="0.25">
      <c r="B26" s="1553" t="s">
        <v>34</v>
      </c>
      <c r="C26" s="863" t="s">
        <v>33</v>
      </c>
      <c r="D26" s="858">
        <f>'Souhrn příjmů a výdajů 2021'!E28/1000</f>
        <v>0</v>
      </c>
      <c r="E26" s="858">
        <f>'Souhrn příjmů a výdajů 2021'!I28/1000</f>
        <v>0</v>
      </c>
      <c r="F26" s="858">
        <f>'Příjmy kapitol celkem'!Q27</f>
        <v>0</v>
      </c>
      <c r="G26" s="858">
        <f>'Příjmy kapitol celkem'!R27</f>
        <v>0</v>
      </c>
      <c r="H26" s="858">
        <f>'Příjmy kapitol celkem'!S27</f>
        <v>0</v>
      </c>
      <c r="I26" s="858">
        <f>'Příjmy kapitol celkem'!T27</f>
        <v>0</v>
      </c>
    </row>
    <row r="27" spans="1:11" ht="17.25" customHeight="1" outlineLevel="1" x14ac:dyDescent="0.25">
      <c r="B27" s="1553" t="s">
        <v>816</v>
      </c>
      <c r="C27" s="863" t="s">
        <v>35</v>
      </c>
      <c r="D27" s="858">
        <f>'Souhrn příjmů a výdajů 2021'!E29/1000</f>
        <v>0</v>
      </c>
      <c r="E27" s="858">
        <f>'Souhrn příjmů a výdajů 2021'!I29/1000</f>
        <v>0</v>
      </c>
      <c r="F27" s="858">
        <f t="shared" ref="F27:I27" si="11">+E27</f>
        <v>0</v>
      </c>
      <c r="G27" s="858">
        <f t="shared" si="11"/>
        <v>0</v>
      </c>
      <c r="H27" s="858">
        <f t="shared" si="11"/>
        <v>0</v>
      </c>
      <c r="I27" s="858">
        <f t="shared" si="11"/>
        <v>0</v>
      </c>
    </row>
    <row r="28" spans="1:11" ht="17.25" customHeight="1" outlineLevel="1" x14ac:dyDescent="0.25">
      <c r="B28" s="1553" t="s">
        <v>38</v>
      </c>
      <c r="C28" s="863" t="s">
        <v>37</v>
      </c>
      <c r="D28" s="858"/>
      <c r="E28" s="858"/>
      <c r="F28" s="858"/>
      <c r="G28" s="858"/>
      <c r="H28" s="858"/>
      <c r="I28" s="858"/>
    </row>
    <row r="29" spans="1:11" ht="17.25" customHeight="1" outlineLevel="1" x14ac:dyDescent="0.25">
      <c r="B29" s="1553" t="s">
        <v>224</v>
      </c>
      <c r="C29" s="863">
        <v>2460</v>
      </c>
      <c r="D29" s="858"/>
      <c r="E29" s="858"/>
      <c r="F29" s="858"/>
      <c r="G29" s="858"/>
      <c r="H29" s="858"/>
      <c r="I29" s="858"/>
    </row>
    <row r="30" spans="1:11" ht="17.25" customHeight="1" outlineLevel="1" x14ac:dyDescent="0.25">
      <c r="B30" s="1553" t="s">
        <v>225</v>
      </c>
      <c r="C30" s="863">
        <v>2481</v>
      </c>
      <c r="D30" s="858"/>
      <c r="E30" s="858"/>
      <c r="F30" s="858"/>
      <c r="G30" s="858"/>
      <c r="H30" s="858"/>
      <c r="I30" s="858"/>
    </row>
    <row r="31" spans="1:11" ht="17.25" customHeight="1" outlineLevel="1" x14ac:dyDescent="0.25">
      <c r="B31" s="1553" t="s">
        <v>1280</v>
      </c>
      <c r="C31" s="863" t="s">
        <v>49</v>
      </c>
      <c r="D31" s="858"/>
      <c r="E31" s="858"/>
      <c r="F31" s="858"/>
      <c r="G31" s="858"/>
      <c r="H31" s="858"/>
      <c r="I31" s="858"/>
    </row>
    <row r="32" spans="1:11" ht="17.25" customHeight="1" outlineLevel="1" x14ac:dyDescent="0.25">
      <c r="B32" s="1553" t="s">
        <v>1281</v>
      </c>
      <c r="C32" s="863" t="s">
        <v>49</v>
      </c>
      <c r="D32" s="858"/>
      <c r="E32" s="858"/>
      <c r="F32" s="858"/>
      <c r="G32" s="858"/>
      <c r="H32" s="858"/>
      <c r="I32" s="858"/>
    </row>
    <row r="33" spans="2:11" ht="17.25" customHeight="1" outlineLevel="1" x14ac:dyDescent="0.25">
      <c r="B33" s="1553" t="s">
        <v>911</v>
      </c>
      <c r="C33" s="863" t="s">
        <v>49</v>
      </c>
      <c r="D33" s="858"/>
      <c r="E33" s="858"/>
      <c r="F33" s="858"/>
      <c r="G33" s="858"/>
      <c r="H33" s="858"/>
      <c r="I33" s="858"/>
    </row>
    <row r="34" spans="2:11" ht="17.25" customHeight="1" outlineLevel="1" x14ac:dyDescent="0.25">
      <c r="B34" s="1553" t="s">
        <v>51</v>
      </c>
      <c r="C34" s="863">
        <v>2132</v>
      </c>
      <c r="D34" s="858">
        <f>'Souhrn příjmů a výdajů 2021'!E30/1000</f>
        <v>4740.7292600000001</v>
      </c>
      <c r="E34" s="858">
        <f>'Souhrn příjmů a výdajů 2021'!I30/1000</f>
        <v>4249.5200000000004</v>
      </c>
      <c r="F34" s="858">
        <f>+'Příjmy kapitol celkem'!U38*1.21/1000</f>
        <v>4249.5200000000004</v>
      </c>
      <c r="G34" s="858">
        <f>+'Příjmy kapitol celkem'!V38*1.21/1000</f>
        <v>4806.12</v>
      </c>
      <c r="H34" s="858">
        <f>+G34</f>
        <v>4806.12</v>
      </c>
      <c r="I34" s="858">
        <f>+H34</f>
        <v>4806.12</v>
      </c>
    </row>
    <row r="35" spans="2:11" s="517" customFormat="1" ht="17.25" customHeight="1" outlineLevel="1" x14ac:dyDescent="0.25">
      <c r="B35" s="1551" t="s">
        <v>53</v>
      </c>
      <c r="C35" s="1552" t="s">
        <v>50</v>
      </c>
      <c r="D35" s="869">
        <f>'Souhrn příjmů a výdajů 2021'!E31/1000</f>
        <v>8870</v>
      </c>
      <c r="E35" s="869">
        <f>'Souhrn příjmů a výdajů 2021'!I31/1000</f>
        <v>7946.07</v>
      </c>
      <c r="F35" s="858">
        <f>+'Příjmy kapitol celkem'!U39*1.21/1000</f>
        <v>7946.07</v>
      </c>
      <c r="G35" s="858">
        <f>+'Příjmy kapitol celkem'!V39*1.21/1000</f>
        <v>8646.66</v>
      </c>
      <c r="H35" s="858">
        <f>+G35</f>
        <v>8646.66</v>
      </c>
      <c r="I35" s="869">
        <f>+H35</f>
        <v>8646.66</v>
      </c>
      <c r="K35" s="656"/>
    </row>
    <row r="36" spans="2:11" s="517" customFormat="1" ht="17.25" customHeight="1" outlineLevel="1" x14ac:dyDescent="0.25">
      <c r="B36" s="1551" t="s">
        <v>55</v>
      </c>
      <c r="C36" s="1552" t="s">
        <v>50</v>
      </c>
      <c r="D36" s="869">
        <f>'Souhrn příjmů a výdajů 2021'!E32/1000</f>
        <v>50</v>
      </c>
      <c r="E36" s="869">
        <f>'Souhrn příjmů a výdajů 2021'!I32/1000</f>
        <v>50</v>
      </c>
      <c r="F36" s="869">
        <f>+E36</f>
        <v>50</v>
      </c>
      <c r="G36" s="869">
        <v>50</v>
      </c>
      <c r="H36" s="869">
        <v>50</v>
      </c>
      <c r="I36" s="869">
        <v>50</v>
      </c>
      <c r="K36" s="656"/>
    </row>
    <row r="37" spans="2:11" ht="17.25" customHeight="1" outlineLevel="1" x14ac:dyDescent="0.25">
      <c r="B37" s="1553" t="s">
        <v>56</v>
      </c>
      <c r="C37" s="863" t="s">
        <v>54</v>
      </c>
      <c r="D37" s="858">
        <f>'Souhrn příjmů a výdajů 2021'!E33/1000</f>
        <v>154</v>
      </c>
      <c r="E37" s="858">
        <f>'Souhrn příjmů a výdajů 2021'!I33/1000</f>
        <v>154</v>
      </c>
      <c r="F37" s="858">
        <f t="shared" ref="F37:F52" si="12">+E37</f>
        <v>154</v>
      </c>
      <c r="G37" s="858">
        <f t="shared" ref="G37:I53" si="13">+F37</f>
        <v>154</v>
      </c>
      <c r="H37" s="858">
        <f t="shared" si="13"/>
        <v>154</v>
      </c>
      <c r="I37" s="858">
        <f t="shared" si="13"/>
        <v>154</v>
      </c>
    </row>
    <row r="38" spans="2:11" ht="17.25" customHeight="1" outlineLevel="1" x14ac:dyDescent="0.25">
      <c r="B38" s="1553" t="s">
        <v>410</v>
      </c>
      <c r="C38" s="863" t="s">
        <v>50</v>
      </c>
      <c r="D38" s="858"/>
      <c r="E38" s="858"/>
      <c r="F38" s="858"/>
      <c r="G38" s="858"/>
      <c r="H38" s="858"/>
      <c r="I38" s="858"/>
    </row>
    <row r="39" spans="2:11" ht="17.25" customHeight="1" outlineLevel="1" x14ac:dyDescent="0.25">
      <c r="B39" s="1553" t="s">
        <v>57</v>
      </c>
      <c r="C39" s="863">
        <v>2111</v>
      </c>
      <c r="D39" s="858" t="e">
        <f>'Souhrn příjmů a výdajů 2021'!#REF!/1000</f>
        <v>#REF!</v>
      </c>
      <c r="E39" s="858" t="e">
        <f>'Souhrn příjmů a výdajů 2021'!#REF!/1000</f>
        <v>#REF!</v>
      </c>
      <c r="F39" s="858" t="e">
        <f t="shared" si="12"/>
        <v>#REF!</v>
      </c>
      <c r="G39" s="858" t="e">
        <f t="shared" si="13"/>
        <v>#REF!</v>
      </c>
      <c r="H39" s="858" t="e">
        <f t="shared" si="13"/>
        <v>#REF!</v>
      </c>
      <c r="I39" s="858" t="e">
        <f t="shared" si="13"/>
        <v>#REF!</v>
      </c>
    </row>
    <row r="40" spans="2:11" ht="17.25" customHeight="1" outlineLevel="1" x14ac:dyDescent="0.25">
      <c r="B40" s="1553" t="s">
        <v>58</v>
      </c>
      <c r="C40" s="863">
        <v>2132</v>
      </c>
      <c r="D40" s="858" t="e">
        <f>'Souhrn příjmů a výdajů 2021'!#REF!/1000</f>
        <v>#REF!</v>
      </c>
      <c r="E40" s="858" t="e">
        <f>'Souhrn příjmů a výdajů 2021'!#REF!/1000</f>
        <v>#REF!</v>
      </c>
      <c r="F40" s="858" t="e">
        <f t="shared" si="12"/>
        <v>#REF!</v>
      </c>
      <c r="G40" s="858" t="e">
        <f t="shared" si="13"/>
        <v>#REF!</v>
      </c>
      <c r="H40" s="858" t="e">
        <f t="shared" si="13"/>
        <v>#REF!</v>
      </c>
      <c r="I40" s="858" t="e">
        <f t="shared" si="13"/>
        <v>#REF!</v>
      </c>
    </row>
    <row r="41" spans="2:11" ht="17.25" customHeight="1" outlineLevel="1" x14ac:dyDescent="0.25">
      <c r="B41" s="1553" t="s">
        <v>59</v>
      </c>
      <c r="C41" s="863">
        <v>2322</v>
      </c>
      <c r="D41" s="858">
        <f>'Souhrn příjmů a výdajů 2021'!E36/1000</f>
        <v>50</v>
      </c>
      <c r="E41" s="858">
        <f>'Souhrn příjmů a výdajů 2021'!I36/1000</f>
        <v>50</v>
      </c>
      <c r="F41" s="858"/>
      <c r="G41" s="858"/>
      <c r="H41" s="858"/>
      <c r="I41" s="858"/>
    </row>
    <row r="42" spans="2:11" ht="17.25" customHeight="1" outlineLevel="1" x14ac:dyDescent="0.25">
      <c r="B42" s="1553" t="s">
        <v>60</v>
      </c>
      <c r="C42" s="863">
        <v>2111</v>
      </c>
      <c r="D42" s="858">
        <f>'Souhrn příjmů a výdajů 2021'!E37/1000</f>
        <v>250</v>
      </c>
      <c r="E42" s="858">
        <f>'Souhrn příjmů a výdajů 2021'!I37/1000</f>
        <v>250</v>
      </c>
      <c r="F42" s="858">
        <f t="shared" si="12"/>
        <v>250</v>
      </c>
      <c r="G42" s="858">
        <f t="shared" si="13"/>
        <v>250</v>
      </c>
      <c r="H42" s="858">
        <f t="shared" si="13"/>
        <v>250</v>
      </c>
      <c r="I42" s="858">
        <f t="shared" si="13"/>
        <v>250</v>
      </c>
    </row>
    <row r="43" spans="2:11" ht="17.25" customHeight="1" outlineLevel="1" x14ac:dyDescent="0.25">
      <c r="B43" s="1553" t="s">
        <v>1282</v>
      </c>
      <c r="C43" s="863">
        <v>2111</v>
      </c>
      <c r="D43" s="858" t="e">
        <f>'Souhrn příjmů a výdajů 2021'!#REF!/1000</f>
        <v>#REF!</v>
      </c>
      <c r="E43" s="858" t="e">
        <f>'Souhrn příjmů a výdajů 2021'!#REF!/1000</f>
        <v>#REF!</v>
      </c>
      <c r="F43" s="858" t="e">
        <f t="shared" ref="F43:I43" si="14">+E43*1.02</f>
        <v>#REF!</v>
      </c>
      <c r="G43" s="858" t="e">
        <f t="shared" si="14"/>
        <v>#REF!</v>
      </c>
      <c r="H43" s="858" t="e">
        <f t="shared" si="14"/>
        <v>#REF!</v>
      </c>
      <c r="I43" s="858" t="e">
        <f t="shared" si="14"/>
        <v>#REF!</v>
      </c>
    </row>
    <row r="44" spans="2:11" ht="17.25" customHeight="1" outlineLevel="1" x14ac:dyDescent="0.25">
      <c r="B44" s="1553" t="s">
        <v>61</v>
      </c>
      <c r="C44" s="863" t="s">
        <v>54</v>
      </c>
      <c r="D44" s="858">
        <f>'Souhrn příjmů a výdajů 2021'!E38/1000</f>
        <v>70</v>
      </c>
      <c r="E44" s="858">
        <f>'Souhrn příjmů a výdajů 2021'!I38/1000</f>
        <v>70</v>
      </c>
      <c r="F44" s="858">
        <f t="shared" si="12"/>
        <v>70</v>
      </c>
      <c r="G44" s="858">
        <f t="shared" si="13"/>
        <v>70</v>
      </c>
      <c r="H44" s="858">
        <f t="shared" si="13"/>
        <v>70</v>
      </c>
      <c r="I44" s="858">
        <f t="shared" si="13"/>
        <v>70</v>
      </c>
    </row>
    <row r="45" spans="2:11" ht="17.25" customHeight="1" outlineLevel="1" x14ac:dyDescent="0.25">
      <c r="B45" s="1553" t="s">
        <v>998</v>
      </c>
      <c r="C45" s="863" t="s">
        <v>52</v>
      </c>
      <c r="D45" s="858" t="e">
        <f>'Souhrn příjmů a výdajů 2021'!#REF!/1000</f>
        <v>#REF!</v>
      </c>
      <c r="E45" s="858" t="e">
        <f>'Souhrn příjmů a výdajů 2021'!#REF!/1000</f>
        <v>#REF!</v>
      </c>
      <c r="F45" s="858" t="e">
        <f t="shared" si="12"/>
        <v>#REF!</v>
      </c>
      <c r="G45" s="858" t="e">
        <f t="shared" si="13"/>
        <v>#REF!</v>
      </c>
      <c r="H45" s="858" t="e">
        <f t="shared" si="13"/>
        <v>#REF!</v>
      </c>
      <c r="I45" s="858" t="e">
        <f t="shared" si="13"/>
        <v>#REF!</v>
      </c>
    </row>
    <row r="46" spans="2:11" ht="17.25" customHeight="1" outlineLevel="1" x14ac:dyDescent="0.25">
      <c r="B46" s="1553" t="s">
        <v>1682</v>
      </c>
      <c r="C46" s="863">
        <v>2132</v>
      </c>
      <c r="D46" s="858">
        <f>'Souhrn příjmů a výdajů 2021'!E35/1000</f>
        <v>343</v>
      </c>
      <c r="E46" s="858">
        <f>'Souhrn příjmů a výdajů 2021'!I35/1000</f>
        <v>1320.02</v>
      </c>
      <c r="F46" s="858">
        <f>+E46</f>
        <v>1320.02</v>
      </c>
      <c r="G46" s="858">
        <f>+F46</f>
        <v>1320.02</v>
      </c>
      <c r="H46" s="858">
        <f>+G46</f>
        <v>1320.02</v>
      </c>
      <c r="I46" s="858">
        <f>+H46</f>
        <v>1320.02</v>
      </c>
    </row>
    <row r="47" spans="2:11" ht="17.25" customHeight="1" outlineLevel="1" x14ac:dyDescent="0.25">
      <c r="B47" s="1557" t="s">
        <v>63</v>
      </c>
      <c r="C47" s="1558" t="s">
        <v>54</v>
      </c>
      <c r="D47" s="858" t="e">
        <f>'Souhrn příjmů a výdajů 2021'!#REF!/1000</f>
        <v>#REF!</v>
      </c>
      <c r="E47" s="858" t="e">
        <f>'Souhrn příjmů a výdajů 2021'!#REF!/1000</f>
        <v>#REF!</v>
      </c>
      <c r="F47" s="858"/>
      <c r="G47" s="858"/>
      <c r="H47" s="858"/>
      <c r="I47" s="858"/>
    </row>
    <row r="48" spans="2:11" ht="17.25" customHeight="1" outlineLevel="1" x14ac:dyDescent="0.25">
      <c r="B48" s="1557" t="s">
        <v>64</v>
      </c>
      <c r="C48" s="1558" t="s">
        <v>50</v>
      </c>
      <c r="D48" s="858" t="e">
        <f>'Souhrn příjmů a výdajů 2021'!#REF!/1000</f>
        <v>#REF!</v>
      </c>
      <c r="E48" s="858" t="e">
        <f>'Souhrn příjmů a výdajů 2021'!#REF!/1000</f>
        <v>#REF!</v>
      </c>
      <c r="F48" s="858"/>
      <c r="G48" s="858"/>
      <c r="H48" s="858"/>
      <c r="I48" s="858"/>
    </row>
    <row r="49" spans="2:11" ht="17.25" customHeight="1" outlineLevel="1" x14ac:dyDescent="0.25">
      <c r="B49" s="1553" t="s">
        <v>66</v>
      </c>
      <c r="C49" s="863" t="s">
        <v>65</v>
      </c>
      <c r="D49" s="858"/>
      <c r="E49" s="858"/>
      <c r="F49" s="858"/>
      <c r="G49" s="858"/>
      <c r="H49" s="858"/>
      <c r="I49" s="858"/>
    </row>
    <row r="50" spans="2:11" ht="17.25" customHeight="1" outlineLevel="1" x14ac:dyDescent="0.25">
      <c r="B50" s="1553" t="s">
        <v>67</v>
      </c>
      <c r="C50" s="863">
        <v>2111</v>
      </c>
      <c r="D50" s="858" t="e">
        <f>'Souhrn příjmů a výdajů 2021'!#REF!/1000</f>
        <v>#REF!</v>
      </c>
      <c r="E50" s="858" t="e">
        <f>'Souhrn příjmů a výdajů 2021'!#REF!/1000</f>
        <v>#REF!</v>
      </c>
      <c r="F50" s="858"/>
      <c r="G50" s="858"/>
      <c r="H50" s="858"/>
      <c r="I50" s="858"/>
    </row>
    <row r="51" spans="2:11" ht="17.25" customHeight="1" outlineLevel="1" x14ac:dyDescent="0.25">
      <c r="B51" s="1553" t="s">
        <v>68</v>
      </c>
      <c r="C51" s="863">
        <v>2132</v>
      </c>
      <c r="D51" s="858">
        <f>'Souhrn příjmů a výdajů 2021'!E39/1000</f>
        <v>775.8</v>
      </c>
      <c r="E51" s="858">
        <f>'Souhrn příjmů a výdajů 2021'!I39/1000</f>
        <v>765.8</v>
      </c>
      <c r="F51" s="858">
        <f t="shared" si="12"/>
        <v>765.8</v>
      </c>
      <c r="G51" s="858">
        <f t="shared" si="13"/>
        <v>765.8</v>
      </c>
      <c r="H51" s="858">
        <f t="shared" si="13"/>
        <v>765.8</v>
      </c>
      <c r="I51" s="858">
        <f t="shared" si="13"/>
        <v>765.8</v>
      </c>
    </row>
    <row r="52" spans="2:11" ht="17.25" customHeight="1" outlineLevel="1" x14ac:dyDescent="0.25">
      <c r="B52" s="1553" t="s">
        <v>69</v>
      </c>
      <c r="C52" s="863">
        <v>2111</v>
      </c>
      <c r="D52" s="858">
        <f>'Souhrn příjmů a výdajů 2021'!E40/1000</f>
        <v>1700</v>
      </c>
      <c r="E52" s="858">
        <f>'Souhrn příjmů a výdajů 2021'!I40/1000</f>
        <v>1800</v>
      </c>
      <c r="F52" s="858">
        <f t="shared" si="12"/>
        <v>1800</v>
      </c>
      <c r="G52" s="858">
        <f t="shared" si="13"/>
        <v>1800</v>
      </c>
      <c r="H52" s="858">
        <f t="shared" si="13"/>
        <v>1800</v>
      </c>
      <c r="I52" s="858">
        <f t="shared" si="13"/>
        <v>1800</v>
      </c>
    </row>
    <row r="53" spans="2:11" ht="17.25" customHeight="1" outlineLevel="1" x14ac:dyDescent="0.25">
      <c r="B53" s="1553" t="s">
        <v>70</v>
      </c>
      <c r="C53" s="863">
        <v>2132</v>
      </c>
      <c r="D53" s="858">
        <f>'Souhrn příjmů a výdajů 2021'!E41/1000</f>
        <v>3200</v>
      </c>
      <c r="E53" s="858">
        <f>'Souhrn příjmů a výdajů 2021'!I41/1000</f>
        <v>3600</v>
      </c>
      <c r="F53" s="858">
        <f>+E53*1.04</f>
        <v>3744</v>
      </c>
      <c r="G53" s="858">
        <f t="shared" si="13"/>
        <v>3744</v>
      </c>
      <c r="H53" s="858">
        <f t="shared" si="13"/>
        <v>3744</v>
      </c>
      <c r="I53" s="858">
        <f t="shared" si="13"/>
        <v>3744</v>
      </c>
    </row>
    <row r="54" spans="2:11" ht="17.25" customHeight="1" outlineLevel="1" x14ac:dyDescent="0.25">
      <c r="B54" s="1553" t="s">
        <v>72</v>
      </c>
      <c r="C54" s="863" t="s">
        <v>71</v>
      </c>
      <c r="D54" s="858"/>
      <c r="E54" s="858"/>
      <c r="F54" s="858"/>
      <c r="G54" s="858"/>
      <c r="H54" s="858"/>
      <c r="I54" s="858"/>
    </row>
    <row r="55" spans="2:11" ht="17.25" customHeight="1" outlineLevel="1" x14ac:dyDescent="0.25">
      <c r="B55" s="1553" t="s">
        <v>73</v>
      </c>
      <c r="C55" s="863">
        <v>2132</v>
      </c>
      <c r="D55" s="858">
        <f>'Souhrn příjmů a výdajů 2021'!E42/1000</f>
        <v>81</v>
      </c>
      <c r="E55" s="858">
        <f>'Souhrn příjmů a výdajů 2021'!I42/1000</f>
        <v>81</v>
      </c>
      <c r="F55" s="858">
        <f t="shared" ref="F55:F68" si="15">+E55</f>
        <v>81</v>
      </c>
      <c r="G55" s="858">
        <f t="shared" ref="G55:I68" si="16">+F55</f>
        <v>81</v>
      </c>
      <c r="H55" s="858">
        <f t="shared" si="16"/>
        <v>81</v>
      </c>
      <c r="I55" s="858">
        <f t="shared" si="16"/>
        <v>81</v>
      </c>
    </row>
    <row r="56" spans="2:11" ht="17.25" customHeight="1" outlineLevel="1" x14ac:dyDescent="0.25">
      <c r="B56" s="1553" t="s">
        <v>604</v>
      </c>
      <c r="C56" s="863">
        <v>2132</v>
      </c>
      <c r="D56" s="858">
        <f>'Souhrn příjmů a výdajů 2021'!E43/1000</f>
        <v>240</v>
      </c>
      <c r="E56" s="858">
        <f>'Souhrn příjmů a výdajů 2021'!I43/1000</f>
        <v>179.39500000000001</v>
      </c>
      <c r="F56" s="858">
        <f t="shared" si="15"/>
        <v>179.39500000000001</v>
      </c>
      <c r="G56" s="858">
        <f t="shared" si="16"/>
        <v>179.39500000000001</v>
      </c>
      <c r="H56" s="858">
        <f t="shared" si="16"/>
        <v>179.39500000000001</v>
      </c>
      <c r="I56" s="858">
        <f t="shared" si="16"/>
        <v>179.39500000000001</v>
      </c>
    </row>
    <row r="57" spans="2:11" s="517" customFormat="1" ht="17.25" customHeight="1" outlineLevel="1" x14ac:dyDescent="0.25">
      <c r="B57" s="1551" t="s">
        <v>605</v>
      </c>
      <c r="C57" s="1552">
        <v>2132</v>
      </c>
      <c r="D57" s="869">
        <f>'Souhrn příjmů a výdajů 2021'!E44/1000</f>
        <v>78</v>
      </c>
      <c r="E57" s="869">
        <f>'Souhrn příjmů a výdajů 2021'!I44/1000</f>
        <v>78</v>
      </c>
      <c r="F57" s="869">
        <f t="shared" si="15"/>
        <v>78</v>
      </c>
      <c r="G57" s="869">
        <f t="shared" si="16"/>
        <v>78</v>
      </c>
      <c r="H57" s="869">
        <f t="shared" si="16"/>
        <v>78</v>
      </c>
      <c r="I57" s="869">
        <f t="shared" si="16"/>
        <v>78</v>
      </c>
      <c r="K57" s="656"/>
    </row>
    <row r="58" spans="2:11" ht="17.25" customHeight="1" outlineLevel="1" x14ac:dyDescent="0.25">
      <c r="B58" s="1553" t="s">
        <v>74</v>
      </c>
      <c r="C58" s="863">
        <v>2111</v>
      </c>
      <c r="D58" s="858">
        <f>'Souhrn příjmů a výdajů 2021'!E45/1000</f>
        <v>400</v>
      </c>
      <c r="E58" s="858">
        <f>'Souhrn příjmů a výdajů 2021'!I45/1000</f>
        <v>400</v>
      </c>
      <c r="F58" s="858">
        <f t="shared" si="15"/>
        <v>400</v>
      </c>
      <c r="G58" s="858">
        <f t="shared" si="16"/>
        <v>400</v>
      </c>
      <c r="H58" s="858">
        <f t="shared" si="16"/>
        <v>400</v>
      </c>
      <c r="I58" s="858">
        <f t="shared" si="16"/>
        <v>400</v>
      </c>
    </row>
    <row r="59" spans="2:11" ht="17.25" customHeight="1" outlineLevel="1" x14ac:dyDescent="0.25">
      <c r="B59" s="1553" t="s">
        <v>563</v>
      </c>
      <c r="C59" s="863" t="s">
        <v>54</v>
      </c>
      <c r="D59" s="858">
        <f>'Souhrn příjmů a výdajů 2021'!E46/1000</f>
        <v>1063</v>
      </c>
      <c r="E59" s="858">
        <f>'Souhrn příjmů a výdajů 2021'!I46/1000</f>
        <v>1063</v>
      </c>
      <c r="F59" s="858">
        <f>+E59</f>
        <v>1063</v>
      </c>
      <c r="G59" s="858">
        <f t="shared" si="16"/>
        <v>1063</v>
      </c>
      <c r="H59" s="858">
        <f t="shared" si="16"/>
        <v>1063</v>
      </c>
      <c r="I59" s="858">
        <f t="shared" si="16"/>
        <v>1063</v>
      </c>
    </row>
    <row r="60" spans="2:11" ht="17.25" customHeight="1" outlineLevel="1" x14ac:dyDescent="0.25">
      <c r="B60" s="1553" t="s">
        <v>263</v>
      </c>
      <c r="C60" s="863" t="s">
        <v>50</v>
      </c>
      <c r="D60" s="866"/>
      <c r="E60" s="858"/>
      <c r="F60" s="858"/>
      <c r="G60" s="858"/>
      <c r="H60" s="858"/>
      <c r="I60" s="858"/>
    </row>
    <row r="61" spans="2:11" ht="17.25" customHeight="1" outlineLevel="1" x14ac:dyDescent="0.25">
      <c r="B61" s="1553" t="s">
        <v>75</v>
      </c>
      <c r="C61" s="863" t="s">
        <v>54</v>
      </c>
      <c r="D61" s="858">
        <f>'Souhrn příjmů a výdajů 2021'!E47/1000</f>
        <v>250</v>
      </c>
      <c r="E61" s="858">
        <f>'Souhrn příjmů a výdajů 2021'!I47/1000</f>
        <v>250</v>
      </c>
      <c r="F61" s="858">
        <f t="shared" si="15"/>
        <v>250</v>
      </c>
      <c r="G61" s="858">
        <f t="shared" si="16"/>
        <v>250</v>
      </c>
      <c r="H61" s="858">
        <f t="shared" si="16"/>
        <v>250</v>
      </c>
      <c r="I61" s="858">
        <f t="shared" si="16"/>
        <v>250</v>
      </c>
    </row>
    <row r="62" spans="2:11" ht="17.25" customHeight="1" outlineLevel="1" x14ac:dyDescent="0.25">
      <c r="B62" s="1553" t="s">
        <v>263</v>
      </c>
      <c r="C62" s="863" t="s">
        <v>54</v>
      </c>
      <c r="D62" s="858"/>
      <c r="E62" s="858"/>
      <c r="F62" s="858"/>
      <c r="G62" s="858"/>
      <c r="H62" s="858"/>
      <c r="I62" s="858"/>
    </row>
    <row r="63" spans="2:11" ht="17.25" customHeight="1" outlineLevel="1" x14ac:dyDescent="0.25">
      <c r="B63" s="1553" t="s">
        <v>76</v>
      </c>
      <c r="C63" s="863">
        <v>2321</v>
      </c>
      <c r="D63" s="858" t="e">
        <f>'Souhrn příjmů a výdajů 2021'!#REF!/1000</f>
        <v>#REF!</v>
      </c>
      <c r="E63" s="858" t="e">
        <f>'Souhrn příjmů a výdajů 2021'!#REF!/1000</f>
        <v>#REF!</v>
      </c>
      <c r="F63" s="858"/>
      <c r="G63" s="858"/>
      <c r="H63" s="858"/>
      <c r="I63" s="858"/>
    </row>
    <row r="64" spans="2:11" ht="17.25" customHeight="1" outlineLevel="1" x14ac:dyDescent="0.25">
      <c r="B64" s="1553" t="s">
        <v>77</v>
      </c>
      <c r="C64" s="863">
        <v>2111</v>
      </c>
      <c r="D64" s="858">
        <f>'Souhrn příjmů a výdajů 2021'!E48/1000</f>
        <v>800</v>
      </c>
      <c r="E64" s="858">
        <f>'Souhrn příjmů a výdajů 2021'!I48/1000</f>
        <v>1200</v>
      </c>
      <c r="F64" s="858">
        <f t="shared" si="15"/>
        <v>1200</v>
      </c>
      <c r="G64" s="858">
        <f t="shared" si="16"/>
        <v>1200</v>
      </c>
      <c r="H64" s="858">
        <f t="shared" si="16"/>
        <v>1200</v>
      </c>
      <c r="I64" s="858">
        <f t="shared" si="16"/>
        <v>1200</v>
      </c>
    </row>
    <row r="65" spans="2:9" ht="17.25" customHeight="1" outlineLevel="1" x14ac:dyDescent="0.25">
      <c r="B65" s="1553" t="s">
        <v>78</v>
      </c>
      <c r="C65" s="863">
        <v>2132</v>
      </c>
      <c r="D65" s="858">
        <f>'Souhrn příjmů a výdajů 2021'!E49/1000</f>
        <v>20</v>
      </c>
      <c r="E65" s="858">
        <f>'Souhrn příjmů a výdajů 2021'!I49/1000</f>
        <v>20</v>
      </c>
      <c r="F65" s="858">
        <f t="shared" si="15"/>
        <v>20</v>
      </c>
      <c r="G65" s="858">
        <f t="shared" si="16"/>
        <v>20</v>
      </c>
      <c r="H65" s="858">
        <f t="shared" si="16"/>
        <v>20</v>
      </c>
      <c r="I65" s="858">
        <f t="shared" si="16"/>
        <v>20</v>
      </c>
    </row>
    <row r="66" spans="2:9" ht="17.25" customHeight="1" outlineLevel="1" x14ac:dyDescent="0.25">
      <c r="B66" s="1553" t="s">
        <v>79</v>
      </c>
      <c r="C66" s="863" t="s">
        <v>71</v>
      </c>
      <c r="D66" s="858"/>
      <c r="E66" s="858"/>
      <c r="F66" s="858"/>
      <c r="G66" s="858"/>
      <c r="H66" s="858"/>
      <c r="I66" s="858"/>
    </row>
    <row r="67" spans="2:9" ht="17.25" customHeight="1" outlineLevel="1" x14ac:dyDescent="0.25">
      <c r="B67" s="1553" t="s">
        <v>1283</v>
      </c>
      <c r="C67" s="863" t="s">
        <v>52</v>
      </c>
      <c r="D67" s="858"/>
      <c r="E67" s="858"/>
      <c r="F67" s="858"/>
      <c r="G67" s="858"/>
      <c r="H67" s="858"/>
      <c r="I67" s="858"/>
    </row>
    <row r="68" spans="2:9" ht="17.25" customHeight="1" outlineLevel="1" x14ac:dyDescent="0.25">
      <c r="B68" s="1553" t="s">
        <v>549</v>
      </c>
      <c r="C68" s="863" t="s">
        <v>54</v>
      </c>
      <c r="D68" s="858">
        <f>'Souhrn příjmů a výdajů 2021'!E50/1000</f>
        <v>555</v>
      </c>
      <c r="E68" s="858">
        <f>'Souhrn příjmů a výdajů 2021'!I50/1000</f>
        <v>600</v>
      </c>
      <c r="F68" s="858">
        <f t="shared" si="15"/>
        <v>600</v>
      </c>
      <c r="G68" s="858">
        <f t="shared" si="16"/>
        <v>600</v>
      </c>
      <c r="H68" s="858">
        <f t="shared" si="16"/>
        <v>600</v>
      </c>
      <c r="I68" s="858">
        <f t="shared" si="16"/>
        <v>600</v>
      </c>
    </row>
    <row r="69" spans="2:9" ht="17.25" customHeight="1" outlineLevel="1" x14ac:dyDescent="0.25">
      <c r="B69" s="1553" t="s">
        <v>263</v>
      </c>
      <c r="C69" s="863" t="s">
        <v>52</v>
      </c>
      <c r="D69" s="858"/>
      <c r="E69" s="858"/>
      <c r="F69" s="858"/>
      <c r="G69" s="858"/>
      <c r="H69" s="858"/>
      <c r="I69" s="858"/>
    </row>
    <row r="70" spans="2:9" ht="17.25" customHeight="1" outlineLevel="1" x14ac:dyDescent="0.25">
      <c r="B70" s="1553" t="s">
        <v>981</v>
      </c>
      <c r="C70" s="863" t="s">
        <v>54</v>
      </c>
      <c r="D70" s="858">
        <f>'Souhrn příjmů a výdajů 2021'!E51/1000</f>
        <v>24</v>
      </c>
      <c r="E70" s="858">
        <f>'Souhrn příjmů a výdajů 2021'!I51/1000</f>
        <v>24</v>
      </c>
      <c r="F70" s="858"/>
      <c r="G70" s="858"/>
      <c r="H70" s="858"/>
      <c r="I70" s="858"/>
    </row>
    <row r="71" spans="2:9" ht="17.25" customHeight="1" outlineLevel="1" x14ac:dyDescent="0.25">
      <c r="B71" s="1553" t="s">
        <v>660</v>
      </c>
      <c r="C71" s="863">
        <v>2111</v>
      </c>
      <c r="D71" s="858"/>
      <c r="E71" s="858"/>
      <c r="F71" s="858"/>
      <c r="G71" s="858"/>
      <c r="H71" s="858"/>
      <c r="I71" s="858"/>
    </row>
    <row r="72" spans="2:9" ht="17.25" customHeight="1" outlineLevel="1" x14ac:dyDescent="0.25">
      <c r="B72" s="1553" t="s">
        <v>80</v>
      </c>
      <c r="C72" s="863">
        <v>2141</v>
      </c>
      <c r="D72" s="858"/>
      <c r="E72" s="858"/>
      <c r="F72" s="858"/>
      <c r="G72" s="858"/>
      <c r="H72" s="858"/>
      <c r="I72" s="858"/>
    </row>
    <row r="73" spans="2:9" ht="17.25" customHeight="1" outlineLevel="1" x14ac:dyDescent="0.25">
      <c r="B73" s="1553" t="s">
        <v>81</v>
      </c>
      <c r="C73" s="863">
        <v>2212</v>
      </c>
      <c r="D73" s="858">
        <f>'Souhrn příjmů a výdajů 2021'!E52/1000</f>
        <v>25</v>
      </c>
      <c r="E73" s="858">
        <f>'Souhrn příjmů a výdajů 2021'!I52/1000</f>
        <v>17</v>
      </c>
      <c r="F73" s="858">
        <f t="shared" ref="F73:F81" si="17">+E73</f>
        <v>17</v>
      </c>
      <c r="G73" s="858">
        <f t="shared" ref="G73:I81" si="18">+F73</f>
        <v>17</v>
      </c>
      <c r="H73" s="858">
        <f t="shared" si="18"/>
        <v>17</v>
      </c>
      <c r="I73" s="858">
        <f t="shared" si="18"/>
        <v>17</v>
      </c>
    </row>
    <row r="74" spans="2:9" ht="17.25" customHeight="1" outlineLevel="1" x14ac:dyDescent="0.25">
      <c r="B74" s="1553" t="s">
        <v>1284</v>
      </c>
      <c r="C74" s="863">
        <v>2212</v>
      </c>
      <c r="D74" s="858"/>
      <c r="E74" s="858"/>
      <c r="F74" s="858"/>
      <c r="G74" s="858"/>
      <c r="H74" s="858"/>
      <c r="I74" s="858">
        <f t="shared" si="18"/>
        <v>0</v>
      </c>
    </row>
    <row r="75" spans="2:9" ht="17.25" customHeight="1" outlineLevel="1" x14ac:dyDescent="0.25">
      <c r="B75" s="1553" t="s">
        <v>82</v>
      </c>
      <c r="C75" s="863">
        <v>2132</v>
      </c>
      <c r="D75" s="858">
        <f>'Souhrn příjmů a výdajů 2021'!E53/1000</f>
        <v>10</v>
      </c>
      <c r="E75" s="858">
        <f>'Souhrn příjmů a výdajů 2021'!I53/1000</f>
        <v>10</v>
      </c>
      <c r="F75" s="858">
        <f t="shared" si="17"/>
        <v>10</v>
      </c>
      <c r="G75" s="858">
        <f t="shared" si="18"/>
        <v>10</v>
      </c>
      <c r="H75" s="858">
        <f t="shared" si="18"/>
        <v>10</v>
      </c>
      <c r="I75" s="858">
        <f t="shared" si="18"/>
        <v>10</v>
      </c>
    </row>
    <row r="76" spans="2:9" ht="17.25" customHeight="1" outlineLevel="1" x14ac:dyDescent="0.25">
      <c r="B76" s="1553" t="s">
        <v>1683</v>
      </c>
      <c r="C76" s="863">
        <v>3122</v>
      </c>
      <c r="D76" s="858" t="e">
        <f>'Souhrn příjmů a výdajů 2021'!#REF!/1000</f>
        <v>#REF!</v>
      </c>
      <c r="E76" s="858" t="e">
        <f>'Souhrn příjmů a výdajů 2021'!#REF!/1000</f>
        <v>#REF!</v>
      </c>
      <c r="F76" s="858"/>
      <c r="G76" s="858"/>
      <c r="H76" s="858"/>
      <c r="I76" s="858"/>
    </row>
    <row r="77" spans="2:9" ht="17.25" customHeight="1" outlineLevel="1" x14ac:dyDescent="0.25">
      <c r="B77" s="1553" t="s">
        <v>983</v>
      </c>
      <c r="C77" s="863">
        <v>3122</v>
      </c>
      <c r="D77" s="858"/>
      <c r="E77" s="858"/>
      <c r="F77" s="858"/>
      <c r="G77" s="858"/>
      <c r="H77" s="858"/>
      <c r="I77" s="858"/>
    </row>
    <row r="78" spans="2:9" ht="17.25" customHeight="1" outlineLevel="1" x14ac:dyDescent="0.25">
      <c r="B78" s="1553" t="s">
        <v>557</v>
      </c>
      <c r="C78" s="863">
        <v>3122</v>
      </c>
      <c r="D78" s="858"/>
      <c r="E78" s="858"/>
      <c r="F78" s="858"/>
      <c r="G78" s="858"/>
      <c r="H78" s="858"/>
      <c r="I78" s="858"/>
    </row>
    <row r="79" spans="2:9" ht="17.25" customHeight="1" outlineLevel="1" x14ac:dyDescent="0.25">
      <c r="B79" s="1553" t="s">
        <v>556</v>
      </c>
      <c r="C79" s="863" t="s">
        <v>83</v>
      </c>
      <c r="D79" s="858"/>
      <c r="E79" s="858"/>
      <c r="F79" s="858"/>
      <c r="G79" s="858"/>
      <c r="H79" s="858"/>
      <c r="I79" s="858"/>
    </row>
    <row r="80" spans="2:9" ht="17.25" customHeight="1" outlineLevel="1" x14ac:dyDescent="0.25">
      <c r="B80" s="1553" t="s">
        <v>411</v>
      </c>
      <c r="C80" s="863">
        <v>2229</v>
      </c>
      <c r="D80" s="858">
        <f>'Souhrn příjmů a výdajů 2021'!E54/1000</f>
        <v>4.4000000000000004</v>
      </c>
      <c r="E80" s="858">
        <f>'Souhrn příjmů a výdajů 2021'!I54/1000</f>
        <v>4.4000000000000004</v>
      </c>
      <c r="F80" s="858">
        <f>+E80</f>
        <v>4.4000000000000004</v>
      </c>
      <c r="G80" s="858">
        <f>+F80</f>
        <v>4.4000000000000004</v>
      </c>
      <c r="H80" s="858">
        <f>+G80</f>
        <v>4.4000000000000004</v>
      </c>
      <c r="I80" s="858">
        <f>+H80</f>
        <v>4.4000000000000004</v>
      </c>
    </row>
    <row r="81" spans="1:11" ht="12.75" customHeight="1" outlineLevel="1" x14ac:dyDescent="0.25">
      <c r="B81" s="1562" t="s">
        <v>267</v>
      </c>
      <c r="C81" s="1563">
        <v>2119</v>
      </c>
      <c r="D81" s="1476">
        <f>'Souhrn příjmů a výdajů 2021'!E55/1000</f>
        <v>400</v>
      </c>
      <c r="E81" s="1476">
        <f>'Souhrn příjmů a výdajů 2021'!I55/1000</f>
        <v>300</v>
      </c>
      <c r="F81" s="1476">
        <f t="shared" si="17"/>
        <v>300</v>
      </c>
      <c r="G81" s="1476">
        <f t="shared" si="18"/>
        <v>300</v>
      </c>
      <c r="H81" s="1476">
        <f t="shared" si="18"/>
        <v>300</v>
      </c>
      <c r="I81" s="1476">
        <f t="shared" si="18"/>
        <v>300</v>
      </c>
    </row>
    <row r="82" spans="1:11" s="526" customFormat="1" ht="16.5" customHeight="1" x14ac:dyDescent="0.25">
      <c r="A82" s="1545" t="s">
        <v>264</v>
      </c>
      <c r="B82" s="1545" t="s">
        <v>265</v>
      </c>
      <c r="C82" s="1546"/>
      <c r="D82" s="1547">
        <f t="shared" ref="D82:I82" si="19">SUM(D83:D85)</f>
        <v>65</v>
      </c>
      <c r="E82" s="1547">
        <f t="shared" si="19"/>
        <v>65</v>
      </c>
      <c r="F82" s="1547">
        <f t="shared" si="19"/>
        <v>30065</v>
      </c>
      <c r="G82" s="1547">
        <f t="shared" si="19"/>
        <v>65</v>
      </c>
      <c r="H82" s="1547">
        <f t="shared" si="19"/>
        <v>65</v>
      </c>
      <c r="I82" s="1547">
        <f t="shared" si="19"/>
        <v>65</v>
      </c>
      <c r="K82" s="726"/>
    </row>
    <row r="83" spans="1:11" ht="16.5" customHeight="1" outlineLevel="1" x14ac:dyDescent="0.25">
      <c r="B83" s="1553" t="s">
        <v>266</v>
      </c>
      <c r="C83" s="863">
        <v>3111</v>
      </c>
      <c r="D83" s="858"/>
      <c r="E83" s="858">
        <f>'Souhrn příjmů a výdajů 2021'!I58/1000</f>
        <v>0</v>
      </c>
      <c r="F83" s="858">
        <v>30000</v>
      </c>
      <c r="G83" s="858">
        <v>0</v>
      </c>
      <c r="H83" s="929">
        <v>0</v>
      </c>
      <c r="I83" s="929">
        <v>0</v>
      </c>
    </row>
    <row r="84" spans="1:11" ht="16.5" customHeight="1" outlineLevel="1" x14ac:dyDescent="0.25">
      <c r="B84" s="1553" t="s">
        <v>85</v>
      </c>
      <c r="C84" s="863" t="s">
        <v>84</v>
      </c>
      <c r="D84" s="858">
        <f>'Souhrn příjmů a výdajů 2021'!E59/1000</f>
        <v>65</v>
      </c>
      <c r="E84" s="858">
        <f>'Souhrn příjmů a výdajů 2021'!I59/1000</f>
        <v>65</v>
      </c>
      <c r="F84" s="858">
        <f t="shared" ref="F84:I84" si="20">+E84</f>
        <v>65</v>
      </c>
      <c r="G84" s="858">
        <f t="shared" si="20"/>
        <v>65</v>
      </c>
      <c r="H84" s="858">
        <f t="shared" si="20"/>
        <v>65</v>
      </c>
      <c r="I84" s="858">
        <f t="shared" si="20"/>
        <v>65</v>
      </c>
    </row>
    <row r="85" spans="1:11" ht="16.5" customHeight="1" outlineLevel="1" x14ac:dyDescent="0.25">
      <c r="B85" s="1562" t="s">
        <v>268</v>
      </c>
      <c r="C85" s="1563">
        <v>2132</v>
      </c>
      <c r="D85" s="1476">
        <f>'Souhrn příjmů a výdajů 2021'!E60/1000</f>
        <v>0</v>
      </c>
      <c r="E85" s="1476">
        <f>'Souhrn příjmů a výdajů 2021'!I60/1000</f>
        <v>0</v>
      </c>
      <c r="F85" s="1476"/>
      <c r="G85" s="1476"/>
      <c r="H85" s="1476"/>
      <c r="I85" s="1476"/>
    </row>
    <row r="86" spans="1:11" s="526" customFormat="1" ht="17.25" customHeight="1" x14ac:dyDescent="0.25">
      <c r="A86" s="1545" t="s">
        <v>269</v>
      </c>
      <c r="B86" s="1545" t="s">
        <v>270</v>
      </c>
      <c r="C86" s="1546"/>
      <c r="D86" s="1547" t="e">
        <f t="shared" ref="D86:I86" si="21">SUM(D87:D112)</f>
        <v>#REF!</v>
      </c>
      <c r="E86" s="1547" t="e">
        <f t="shared" si="21"/>
        <v>#REF!</v>
      </c>
      <c r="F86" s="1547" t="e">
        <f t="shared" si="21"/>
        <v>#REF!</v>
      </c>
      <c r="G86" s="1547" t="e">
        <f t="shared" si="21"/>
        <v>#REF!</v>
      </c>
      <c r="H86" s="1547" t="e">
        <f t="shared" si="21"/>
        <v>#REF!</v>
      </c>
      <c r="I86" s="1547" t="e">
        <f t="shared" si="21"/>
        <v>#REF!</v>
      </c>
      <c r="K86" s="726"/>
    </row>
    <row r="87" spans="1:11" ht="19.5" customHeight="1" outlineLevel="1" x14ac:dyDescent="0.25">
      <c r="B87" s="1553" t="s">
        <v>40</v>
      </c>
      <c r="C87" s="863" t="s">
        <v>39</v>
      </c>
      <c r="D87" s="858"/>
      <c r="E87" s="858"/>
      <c r="F87" s="858">
        <v>0</v>
      </c>
      <c r="G87" s="858">
        <v>0</v>
      </c>
      <c r="H87" s="858">
        <v>0</v>
      </c>
      <c r="I87" s="858">
        <v>0</v>
      </c>
    </row>
    <row r="88" spans="1:11" ht="19.5" customHeight="1" outlineLevel="1" x14ac:dyDescent="0.25">
      <c r="B88" s="1553" t="s">
        <v>1279</v>
      </c>
      <c r="C88" s="863" t="s">
        <v>39</v>
      </c>
      <c r="D88" s="858" t="e">
        <f>'Souhrn příjmů a výdajů 2021'!#REF!/1000</f>
        <v>#REF!</v>
      </c>
      <c r="E88" s="858" t="e">
        <f>'Souhrn příjmů a výdajů 2021'!#REF!/1000</f>
        <v>#REF!</v>
      </c>
      <c r="F88" s="858" t="e">
        <f>+E88</f>
        <v>#REF!</v>
      </c>
      <c r="G88" s="858" t="e">
        <f t="shared" ref="G88:I88" si="22">+F88</f>
        <v>#REF!</v>
      </c>
      <c r="H88" s="858" t="e">
        <f t="shared" si="22"/>
        <v>#REF!</v>
      </c>
      <c r="I88" s="858" t="e">
        <f t="shared" si="22"/>
        <v>#REF!</v>
      </c>
    </row>
    <row r="89" spans="1:11" ht="19.5" customHeight="1" outlineLevel="1" x14ac:dyDescent="0.25">
      <c r="B89" s="1553" t="s">
        <v>41</v>
      </c>
      <c r="C89" s="863">
        <v>4112</v>
      </c>
      <c r="D89" s="858">
        <f>'Souhrn příjmů a výdajů 2021'!E63/1000</f>
        <v>8974.6</v>
      </c>
      <c r="E89" s="858">
        <f>'Souhrn příjmů a výdajů 2021'!I63/1000</f>
        <v>8721.2000000000007</v>
      </c>
      <c r="F89" s="858">
        <f>+E89*1.04</f>
        <v>9070.0480000000007</v>
      </c>
      <c r="G89" s="858">
        <f t="shared" ref="G89:I89" si="23">+F89*1.04</f>
        <v>9432.8499200000006</v>
      </c>
      <c r="H89" s="858">
        <f t="shared" si="23"/>
        <v>9810.1639168000002</v>
      </c>
      <c r="I89" s="858">
        <f t="shared" si="23"/>
        <v>10202.570473472</v>
      </c>
    </row>
    <row r="90" spans="1:11" ht="19.5" customHeight="1" outlineLevel="1" x14ac:dyDescent="0.25">
      <c r="B90" s="1553" t="s">
        <v>42</v>
      </c>
      <c r="C90" s="863">
        <v>4121</v>
      </c>
      <c r="D90" s="858">
        <f>'Souhrn příjmů a výdajů 2021'!E64/1000</f>
        <v>400</v>
      </c>
      <c r="E90" s="858">
        <f>'Souhrn příjmů a výdajů 2021'!I64/1000</f>
        <v>400</v>
      </c>
      <c r="F90" s="858">
        <f>+E90</f>
        <v>400</v>
      </c>
      <c r="G90" s="858">
        <f t="shared" ref="G90:I90" si="24">+F90</f>
        <v>400</v>
      </c>
      <c r="H90" s="858">
        <f t="shared" si="24"/>
        <v>400</v>
      </c>
      <c r="I90" s="858">
        <f t="shared" si="24"/>
        <v>400</v>
      </c>
    </row>
    <row r="91" spans="1:11" ht="19.5" customHeight="1" outlineLevel="1" x14ac:dyDescent="0.25">
      <c r="B91" s="1553" t="s">
        <v>271</v>
      </c>
      <c r="C91" s="863">
        <v>4121</v>
      </c>
      <c r="D91" s="858">
        <f>'Souhrn příjmů a výdajů 2021'!E65/1000</f>
        <v>800</v>
      </c>
      <c r="E91" s="858">
        <f>'Souhrn příjmů a výdajů 2021'!I65/1000</f>
        <v>898.4</v>
      </c>
      <c r="F91" s="858">
        <f>+E91</f>
        <v>898.4</v>
      </c>
      <c r="G91" s="858">
        <f t="shared" ref="G91:I91" si="25">+F91</f>
        <v>898.4</v>
      </c>
      <c r="H91" s="858">
        <f t="shared" si="25"/>
        <v>898.4</v>
      </c>
      <c r="I91" s="858">
        <f t="shared" si="25"/>
        <v>898.4</v>
      </c>
    </row>
    <row r="92" spans="1:11" ht="19.5" customHeight="1" outlineLevel="1" x14ac:dyDescent="0.25">
      <c r="B92" s="1553" t="s">
        <v>909</v>
      </c>
      <c r="C92" s="863">
        <v>4213</v>
      </c>
      <c r="D92" s="858"/>
      <c r="E92" s="858"/>
      <c r="F92" s="858"/>
      <c r="G92" s="858"/>
      <c r="H92" s="858"/>
      <c r="I92" s="858"/>
    </row>
    <row r="93" spans="1:11" ht="19.5" customHeight="1" outlineLevel="1" x14ac:dyDescent="0.25">
      <c r="B93" s="1553" t="s">
        <v>910</v>
      </c>
      <c r="C93" s="863">
        <v>4213</v>
      </c>
      <c r="D93" s="858"/>
      <c r="E93" s="858"/>
      <c r="F93" s="858"/>
      <c r="G93" s="858"/>
      <c r="H93" s="858"/>
      <c r="I93" s="858"/>
    </row>
    <row r="94" spans="1:11" ht="19.5" customHeight="1" outlineLevel="1" x14ac:dyDescent="0.25">
      <c r="B94" s="1553" t="s">
        <v>908</v>
      </c>
      <c r="C94" s="863">
        <v>4213</v>
      </c>
      <c r="D94" s="858"/>
      <c r="E94" s="858"/>
      <c r="F94" s="858"/>
      <c r="G94" s="858"/>
      <c r="H94" s="858"/>
      <c r="I94" s="858"/>
    </row>
    <row r="95" spans="1:11" ht="19.5" customHeight="1" outlineLevel="1" x14ac:dyDescent="0.25">
      <c r="B95" s="1553" t="s">
        <v>1699</v>
      </c>
      <c r="C95" s="863">
        <v>4116</v>
      </c>
      <c r="D95" s="858"/>
      <c r="E95" s="858"/>
      <c r="F95" s="858"/>
      <c r="G95" s="858"/>
      <c r="H95" s="858"/>
      <c r="I95" s="858"/>
    </row>
    <row r="96" spans="1:11" ht="19.5" customHeight="1" outlineLevel="1" x14ac:dyDescent="0.25">
      <c r="B96" s="1553" t="s">
        <v>912</v>
      </c>
      <c r="C96" s="863">
        <v>4213</v>
      </c>
      <c r="D96" s="858"/>
      <c r="E96" s="858"/>
      <c r="F96" s="858"/>
      <c r="G96" s="858"/>
      <c r="H96" s="858"/>
      <c r="I96" s="858"/>
    </row>
    <row r="97" spans="2:9" ht="19.5" customHeight="1" outlineLevel="1" x14ac:dyDescent="0.25">
      <c r="B97" s="1553" t="s">
        <v>843</v>
      </c>
      <c r="C97" s="863">
        <v>4213</v>
      </c>
      <c r="D97" s="858"/>
      <c r="E97" s="858"/>
      <c r="F97" s="858"/>
      <c r="G97" s="858"/>
      <c r="H97" s="858"/>
      <c r="I97" s="858"/>
    </row>
    <row r="98" spans="2:9" ht="19.5" customHeight="1" outlineLevel="1" x14ac:dyDescent="0.25">
      <c r="B98" s="1553" t="s">
        <v>46</v>
      </c>
      <c r="C98" s="863" t="s">
        <v>35</v>
      </c>
      <c r="D98" s="858">
        <f>'Souhrn příjmů a výdajů 2021'!E66/1000</f>
        <v>1574</v>
      </c>
      <c r="E98" s="858">
        <f>'Souhrn příjmů a výdajů 2021'!I66/1000</f>
        <v>1574</v>
      </c>
      <c r="F98" s="858"/>
      <c r="G98" s="858"/>
      <c r="H98" s="858"/>
      <c r="I98" s="858"/>
    </row>
    <row r="99" spans="2:9" ht="19.5" customHeight="1" outlineLevel="1" x14ac:dyDescent="0.25">
      <c r="B99" s="1553" t="s">
        <v>1700</v>
      </c>
      <c r="C99" s="863">
        <v>4116</v>
      </c>
      <c r="D99" s="858"/>
      <c r="E99" s="858"/>
      <c r="F99" s="858"/>
      <c r="G99" s="858"/>
      <c r="H99" s="858"/>
      <c r="I99" s="858"/>
    </row>
    <row r="100" spans="2:9" ht="19.5" customHeight="1" outlineLevel="1" x14ac:dyDescent="0.25">
      <c r="B100" s="1553" t="s">
        <v>1684</v>
      </c>
      <c r="C100" s="863">
        <v>4116</v>
      </c>
      <c r="D100" s="858"/>
      <c r="E100" s="858"/>
      <c r="F100" s="858"/>
      <c r="G100" s="858"/>
      <c r="H100" s="858"/>
      <c r="I100" s="858"/>
    </row>
    <row r="101" spans="2:9" ht="19.5" customHeight="1" outlineLevel="1" x14ac:dyDescent="0.25">
      <c r="B101" s="1553" t="s">
        <v>1685</v>
      </c>
      <c r="C101" s="863">
        <v>4122</v>
      </c>
      <c r="D101" s="858"/>
      <c r="E101" s="858"/>
      <c r="F101" s="858"/>
      <c r="G101" s="858"/>
      <c r="H101" s="858"/>
      <c r="I101" s="858"/>
    </row>
    <row r="102" spans="2:9" ht="19.5" customHeight="1" outlineLevel="1" x14ac:dyDescent="0.25">
      <c r="B102" s="1553" t="s">
        <v>861</v>
      </c>
      <c r="C102" s="863">
        <v>4122</v>
      </c>
      <c r="D102" s="858"/>
      <c r="E102" s="858"/>
      <c r="F102" s="858"/>
      <c r="G102" s="858"/>
      <c r="H102" s="858"/>
      <c r="I102" s="858"/>
    </row>
    <row r="103" spans="2:9" ht="19.5" customHeight="1" outlineLevel="1" x14ac:dyDescent="0.25">
      <c r="B103" s="1553" t="s">
        <v>1679</v>
      </c>
      <c r="C103" s="863">
        <v>4216</v>
      </c>
      <c r="D103" s="858">
        <f>'Souhrn příjmů a výdajů 2021'!E67/1000</f>
        <v>0</v>
      </c>
      <c r="E103" s="858">
        <f>'Souhrn příjmů a výdajů 2021'!I67/1000</f>
        <v>1995.7760000000001</v>
      </c>
      <c r="F103" s="858"/>
      <c r="G103" s="858"/>
      <c r="H103" s="858"/>
      <c r="I103" s="858"/>
    </row>
    <row r="104" spans="2:9" ht="19.5" customHeight="1" outlineLevel="1" x14ac:dyDescent="0.25">
      <c r="B104" s="1553" t="s">
        <v>841</v>
      </c>
      <c r="C104" s="863" t="s">
        <v>43</v>
      </c>
      <c r="D104" s="858"/>
      <c r="E104" s="858"/>
      <c r="F104" s="858"/>
      <c r="G104" s="858"/>
      <c r="H104" s="858"/>
      <c r="I104" s="858"/>
    </row>
    <row r="105" spans="2:9" ht="19.5" customHeight="1" outlineLevel="1" x14ac:dyDescent="0.25">
      <c r="B105" s="1553" t="s">
        <v>1056</v>
      </c>
      <c r="C105" s="863">
        <v>4116</v>
      </c>
      <c r="D105" s="858"/>
      <c r="E105" s="858"/>
      <c r="F105" s="858"/>
      <c r="G105" s="858"/>
      <c r="H105" s="858"/>
      <c r="I105" s="858"/>
    </row>
    <row r="106" spans="2:9" ht="19.5" customHeight="1" outlineLevel="1" x14ac:dyDescent="0.25">
      <c r="B106" s="1553" t="s">
        <v>968</v>
      </c>
      <c r="C106" s="863">
        <v>4213</v>
      </c>
      <c r="D106" s="858"/>
      <c r="E106" s="858"/>
      <c r="F106" s="858"/>
      <c r="G106" s="858"/>
      <c r="H106" s="858"/>
      <c r="I106" s="858"/>
    </row>
    <row r="107" spans="2:9" ht="19.5" customHeight="1" outlineLevel="1" x14ac:dyDescent="0.25">
      <c r="B107" s="1553" t="s">
        <v>44</v>
      </c>
      <c r="C107" s="863" t="s">
        <v>43</v>
      </c>
      <c r="D107" s="858"/>
      <c r="E107" s="858"/>
      <c r="F107" s="858"/>
      <c r="G107" s="858"/>
      <c r="H107" s="858"/>
      <c r="I107" s="858"/>
    </row>
    <row r="108" spans="2:9" ht="19.5" customHeight="1" outlineLevel="1" x14ac:dyDescent="0.25">
      <c r="B108" s="1553" t="s">
        <v>45</v>
      </c>
      <c r="C108" s="863" t="s">
        <v>43</v>
      </c>
      <c r="D108" s="858"/>
      <c r="E108" s="858"/>
      <c r="F108" s="858"/>
      <c r="G108" s="858"/>
      <c r="H108" s="858"/>
      <c r="I108" s="858"/>
    </row>
    <row r="109" spans="2:9" ht="19.5" customHeight="1" outlineLevel="1" x14ac:dyDescent="0.25">
      <c r="B109" s="1553" t="s">
        <v>272</v>
      </c>
      <c r="C109" s="863">
        <v>4213</v>
      </c>
      <c r="D109" s="858">
        <f>'Souhrn příjmů a výdajů 2021'!E72/1000</f>
        <v>0</v>
      </c>
      <c r="E109" s="858">
        <f>'Souhrn příjmů a výdajů 2021'!I72/1000</f>
        <v>0</v>
      </c>
      <c r="F109" s="858"/>
      <c r="G109" s="858"/>
      <c r="H109" s="858"/>
      <c r="I109" s="858"/>
    </row>
    <row r="110" spans="2:9" ht="19.5" customHeight="1" outlineLevel="1" x14ac:dyDescent="0.25">
      <c r="B110" s="1553" t="s">
        <v>1080</v>
      </c>
      <c r="C110" s="863">
        <v>4213</v>
      </c>
      <c r="D110" s="858"/>
      <c r="E110" s="858"/>
      <c r="F110" s="858"/>
      <c r="G110" s="858"/>
      <c r="H110" s="858"/>
      <c r="I110" s="858"/>
    </row>
    <row r="111" spans="2:9" ht="19.5" customHeight="1" outlineLevel="1" x14ac:dyDescent="0.25">
      <c r="B111" s="1553" t="s">
        <v>1680</v>
      </c>
      <c r="C111" s="863">
        <v>4116</v>
      </c>
      <c r="D111" s="858"/>
      <c r="E111" s="858"/>
      <c r="F111" s="858"/>
      <c r="G111" s="858"/>
      <c r="H111" s="858"/>
      <c r="I111" s="858"/>
    </row>
    <row r="112" spans="2:9" ht="19.5" customHeight="1" outlineLevel="1" x14ac:dyDescent="0.25">
      <c r="B112" s="1553" t="s">
        <v>969</v>
      </c>
      <c r="C112" s="863">
        <v>4216</v>
      </c>
      <c r="D112" s="858"/>
      <c r="E112" s="858"/>
      <c r="F112" s="858"/>
      <c r="G112" s="858"/>
      <c r="H112" s="858"/>
      <c r="I112" s="858"/>
    </row>
    <row r="113" spans="1:11" s="526" customFormat="1" ht="18.75" customHeight="1" x14ac:dyDescent="0.25">
      <c r="A113" s="1545" t="s">
        <v>273</v>
      </c>
      <c r="B113" s="1545" t="s">
        <v>274</v>
      </c>
      <c r="C113" s="1546"/>
      <c r="D113" s="1547">
        <f>SUM(D114:D116)</f>
        <v>35743.546000000002</v>
      </c>
      <c r="E113" s="1547">
        <f t="shared" ref="E113:I113" si="26">SUM(E114:E116)</f>
        <v>11000</v>
      </c>
      <c r="F113" s="1547">
        <f t="shared" si="26"/>
        <v>10000</v>
      </c>
      <c r="G113" s="1547">
        <f t="shared" si="26"/>
        <v>12000</v>
      </c>
      <c r="H113" s="1547">
        <f t="shared" si="26"/>
        <v>15000</v>
      </c>
      <c r="I113" s="1547">
        <f t="shared" si="26"/>
        <v>15000</v>
      </c>
      <c r="K113" s="726"/>
    </row>
    <row r="114" spans="1:11" ht="17.25" customHeight="1" outlineLevel="1" x14ac:dyDescent="0.25">
      <c r="B114" s="1553" t="s">
        <v>275</v>
      </c>
      <c r="C114" s="863" t="s">
        <v>47</v>
      </c>
      <c r="D114" s="858">
        <f>'Souhrn příjmů a výdajů 2021'!E76/1000</f>
        <v>5743.5460000000003</v>
      </c>
      <c r="E114" s="858">
        <f>+'Souhrn příjmů a výdajů 2021'!I76/1000</f>
        <v>11000</v>
      </c>
      <c r="F114" s="858">
        <v>10000</v>
      </c>
      <c r="G114" s="858">
        <v>12000</v>
      </c>
      <c r="H114" s="858">
        <v>15000</v>
      </c>
      <c r="I114" s="858">
        <v>15000</v>
      </c>
    </row>
    <row r="115" spans="1:11" ht="17.25" customHeight="1" outlineLevel="1" x14ac:dyDescent="0.25">
      <c r="B115" s="1553" t="s">
        <v>48</v>
      </c>
      <c r="C115" s="863" t="s">
        <v>47</v>
      </c>
      <c r="D115" s="858">
        <f>'Souhrn příjmů a výdajů 2021'!E77/1000</f>
        <v>0</v>
      </c>
      <c r="E115" s="858">
        <f>+'Souhrn příjmů a výdajů 2021'!I77/1000</f>
        <v>0</v>
      </c>
      <c r="F115" s="858"/>
      <c r="G115" s="858"/>
      <c r="H115" s="858"/>
      <c r="I115" s="858"/>
    </row>
    <row r="116" spans="1:11" ht="17.25" customHeight="1" outlineLevel="1" x14ac:dyDescent="0.25">
      <c r="B116" s="1553" t="s">
        <v>1093</v>
      </c>
      <c r="C116" s="863"/>
      <c r="D116" s="858">
        <f>'Souhrn příjmů a výdajů 2021'!E78/1000</f>
        <v>30000</v>
      </c>
      <c r="E116" s="858">
        <f>+'Souhrn příjmů a výdajů 2021'!I78/1000</f>
        <v>0</v>
      </c>
      <c r="F116" s="858"/>
      <c r="G116" s="858"/>
      <c r="H116" s="858"/>
      <c r="I116" s="858"/>
    </row>
    <row r="117" spans="1:11" s="526" customFormat="1" ht="14.25" thickBot="1" x14ac:dyDescent="0.3">
      <c r="A117" s="1564" t="s">
        <v>276</v>
      </c>
      <c r="B117" s="1564"/>
      <c r="C117" s="1565"/>
      <c r="D117" s="1566" t="e">
        <f t="shared" ref="D117:I117" si="27">+D113+D86+D82+D25+D5</f>
        <v>#REF!</v>
      </c>
      <c r="E117" s="1566" t="e">
        <f t="shared" si="27"/>
        <v>#REF!</v>
      </c>
      <c r="F117" s="1566" t="e">
        <f t="shared" si="27"/>
        <v>#REF!</v>
      </c>
      <c r="G117" s="1566" t="e">
        <f t="shared" si="27"/>
        <v>#REF!</v>
      </c>
      <c r="H117" s="1566" t="e">
        <f t="shared" si="27"/>
        <v>#REF!</v>
      </c>
      <c r="I117" s="1566" t="e">
        <f t="shared" si="27"/>
        <v>#REF!</v>
      </c>
      <c r="K117" s="726"/>
    </row>
    <row r="118" spans="1:11" s="517" customFormat="1" ht="12.75" customHeight="1" x14ac:dyDescent="0.25">
      <c r="B118" s="653"/>
      <c r="C118" s="654"/>
      <c r="D118" s="656"/>
      <c r="E118" s="656"/>
      <c r="F118" s="656"/>
      <c r="G118" s="656"/>
      <c r="H118" s="656"/>
      <c r="I118" s="656"/>
      <c r="K118" s="656"/>
    </row>
    <row r="119" spans="1:11" x14ac:dyDescent="0.25">
      <c r="A119" s="1543" t="s">
        <v>278</v>
      </c>
      <c r="B119" s="1544"/>
      <c r="C119" s="1544"/>
      <c r="D119" s="1544"/>
      <c r="E119" s="1544"/>
      <c r="F119" s="1544"/>
      <c r="G119" s="1544"/>
      <c r="H119" s="1544"/>
      <c r="I119" s="1544"/>
    </row>
    <row r="120" spans="1:11" s="526" customFormat="1" ht="14.25" thickBot="1" x14ac:dyDescent="0.3">
      <c r="A120" s="1567" t="s">
        <v>279</v>
      </c>
      <c r="B120" s="1567" t="s">
        <v>280</v>
      </c>
      <c r="C120" s="1568"/>
      <c r="D120" s="1569">
        <f t="shared" ref="D120:H120" si="28">+D121+D130</f>
        <v>120792.2671038</v>
      </c>
      <c r="E120" s="1569">
        <f t="shared" si="28"/>
        <v>123067.9478735</v>
      </c>
      <c r="F120" s="1569">
        <f t="shared" si="28"/>
        <v>128193.49755487998</v>
      </c>
      <c r="G120" s="1569">
        <f t="shared" si="28"/>
        <v>130413.51127767521</v>
      </c>
      <c r="H120" s="1569">
        <f t="shared" si="28"/>
        <v>132307.78610243861</v>
      </c>
      <c r="I120" s="1569">
        <f t="shared" ref="I120" si="29">+I121+I130</f>
        <v>134235.37247172932</v>
      </c>
      <c r="K120" s="726"/>
    </row>
    <row r="121" spans="1:11" s="526" customFormat="1" x14ac:dyDescent="0.25">
      <c r="B121" s="1570" t="s">
        <v>151</v>
      </c>
      <c r="C121" s="1571"/>
      <c r="D121" s="1572">
        <f>SUM(D122:D129)</f>
        <v>37838.448799999998</v>
      </c>
      <c r="E121" s="1572">
        <f t="shared" ref="E121:I121" si="30">SUM(E122:E129)</f>
        <v>36162.828399999999</v>
      </c>
      <c r="F121" s="1572">
        <f t="shared" si="30"/>
        <v>39566.774451999998</v>
      </c>
      <c r="G121" s="1572">
        <f t="shared" si="30"/>
        <v>40856.602317559998</v>
      </c>
      <c r="H121" s="1572">
        <f t="shared" si="30"/>
        <v>42040.208146286801</v>
      </c>
      <c r="I121" s="1572">
        <f t="shared" si="30"/>
        <v>43223.937785059396</v>
      </c>
      <c r="K121" s="726"/>
    </row>
    <row r="122" spans="1:11" s="683" customFormat="1" outlineLevel="1" x14ac:dyDescent="0.2">
      <c r="B122" s="1573" t="s">
        <v>91</v>
      </c>
      <c r="C122" s="1541">
        <v>5011</v>
      </c>
      <c r="D122" s="1574">
        <f>'Souhrn příjmů a výdajů 2021'!E87/1000</f>
        <v>23730</v>
      </c>
      <c r="E122" s="1574">
        <f>'Souhrn příjmů a výdajů 2021'!I87/1000</f>
        <v>22720</v>
      </c>
      <c r="F122" s="1574">
        <v>25300</v>
      </c>
      <c r="G122" s="1574">
        <v>26100</v>
      </c>
      <c r="H122" s="1574">
        <v>26900</v>
      </c>
      <c r="I122" s="1574">
        <v>27700</v>
      </c>
      <c r="K122" s="687"/>
    </row>
    <row r="123" spans="1:11" s="683" customFormat="1" outlineLevel="1" x14ac:dyDescent="0.2">
      <c r="B123" s="1573" t="s">
        <v>92</v>
      </c>
      <c r="C123" s="1541">
        <v>5021</v>
      </c>
      <c r="D123" s="1574">
        <f>'Souhrn příjmů a výdajů 2021'!E88/1000</f>
        <v>1823</v>
      </c>
      <c r="E123" s="1574">
        <f>'Souhrn příjmů a výdajů 2021'!I88/1000</f>
        <v>1432</v>
      </c>
      <c r="F123" s="1574">
        <f t="shared" ref="F123" si="31">+E123*1.02</f>
        <v>1460.64</v>
      </c>
      <c r="G123" s="1574">
        <v>1570</v>
      </c>
      <c r="H123" s="1574">
        <v>1600</v>
      </c>
      <c r="I123" s="1574">
        <v>1630</v>
      </c>
      <c r="K123" s="687"/>
    </row>
    <row r="124" spans="1:11" ht="18" customHeight="1" outlineLevel="1" x14ac:dyDescent="0.25">
      <c r="B124" s="1553" t="s">
        <v>93</v>
      </c>
      <c r="C124" s="863">
        <v>5023</v>
      </c>
      <c r="D124" s="858">
        <f>'Souhrn příjmů a výdajů 2021'!E89/1000</f>
        <v>2512</v>
      </c>
      <c r="E124" s="1574">
        <f>'Souhrn příjmů a výdajů 2021'!I89/1000</f>
        <v>2790</v>
      </c>
      <c r="F124" s="1574">
        <v>2650</v>
      </c>
      <c r="G124" s="1574">
        <v>2700</v>
      </c>
      <c r="H124" s="1574">
        <v>2750</v>
      </c>
      <c r="I124" s="1574">
        <v>2800</v>
      </c>
    </row>
    <row r="125" spans="1:11" ht="18" customHeight="1" outlineLevel="1" x14ac:dyDescent="0.25">
      <c r="B125" s="1553" t="s">
        <v>94</v>
      </c>
      <c r="C125" s="863">
        <v>5024</v>
      </c>
      <c r="D125" s="858">
        <f>'Souhrn příjmů a výdajů 2021'!E90/1000</f>
        <v>198.53</v>
      </c>
      <c r="E125" s="1574">
        <f>'Souhrn příjmů a výdajů 2021'!I90/1000</f>
        <v>0</v>
      </c>
      <c r="F125" s="1574">
        <f t="shared" ref="F125" si="32">+E125*1.03</f>
        <v>0</v>
      </c>
      <c r="G125" s="1574">
        <f t="shared" ref="G125" si="33">+F125*1.03</f>
        <v>0</v>
      </c>
      <c r="H125" s="1574">
        <f t="shared" ref="H125" si="34">+G125*1.03</f>
        <v>0</v>
      </c>
      <c r="I125" s="1574">
        <f t="shared" ref="I125" si="35">+H125*1.03</f>
        <v>0</v>
      </c>
    </row>
    <row r="126" spans="1:11" ht="18" customHeight="1" outlineLevel="1" x14ac:dyDescent="0.25">
      <c r="B126" s="1553" t="s">
        <v>95</v>
      </c>
      <c r="C126" s="863">
        <v>5029</v>
      </c>
      <c r="D126" s="858">
        <f>'Souhrn příjmů a výdajů 2021'!E91/1000</f>
        <v>30</v>
      </c>
      <c r="E126" s="1574">
        <f>'Souhrn příjmů a výdajů 2021'!I91/1000</f>
        <v>30</v>
      </c>
      <c r="F126" s="1574">
        <f t="shared" ref="F126:I126" si="36">+E126*1.02</f>
        <v>30.6</v>
      </c>
      <c r="G126" s="1574">
        <f t="shared" si="36"/>
        <v>31.212000000000003</v>
      </c>
      <c r="H126" s="1574">
        <f t="shared" si="36"/>
        <v>31.836240000000004</v>
      </c>
      <c r="I126" s="1574">
        <f t="shared" si="36"/>
        <v>32.472964800000007</v>
      </c>
    </row>
    <row r="127" spans="1:11" ht="18" customHeight="1" outlineLevel="1" x14ac:dyDescent="0.25">
      <c r="B127" s="1553" t="s">
        <v>96</v>
      </c>
      <c r="C127" s="863">
        <v>5031</v>
      </c>
      <c r="D127" s="858">
        <f>'Souhrn příjmů a výdajů 2021'!E92/1000</f>
        <v>6933.3320000000003</v>
      </c>
      <c r="E127" s="1574">
        <f>'Souhrn příjmů a výdajů 2021'!I92/1000</f>
        <v>6675.5</v>
      </c>
      <c r="F127" s="1574">
        <f t="shared" ref="F127:I127" si="37">+(F122+F123+F124+F126)*0.25</f>
        <v>7360.3099999999995</v>
      </c>
      <c r="G127" s="1574">
        <f t="shared" si="37"/>
        <v>7600.3029999999999</v>
      </c>
      <c r="H127" s="1574">
        <f t="shared" si="37"/>
        <v>7820.4590600000001</v>
      </c>
      <c r="I127" s="1574">
        <f t="shared" si="37"/>
        <v>8040.6182411999998</v>
      </c>
    </row>
    <row r="128" spans="1:11" ht="18" customHeight="1" outlineLevel="1" x14ac:dyDescent="0.25">
      <c r="B128" s="1553" t="s">
        <v>97</v>
      </c>
      <c r="C128" s="863">
        <v>5032</v>
      </c>
      <c r="D128" s="858">
        <f>'Souhrn příjmů a výdajů 2021'!E93/1000</f>
        <v>2496.0280000000012</v>
      </c>
      <c r="E128" s="1574">
        <f>'Souhrn příjmů a výdajů 2021'!I93/1000</f>
        <v>2403.1799999999998</v>
      </c>
      <c r="F128" s="1574">
        <f t="shared" ref="F128:I128" si="38">+(F122+F123+F124+F126)*0.09</f>
        <v>2649.7115999999996</v>
      </c>
      <c r="G128" s="1574">
        <f t="shared" si="38"/>
        <v>2736.1090799999997</v>
      </c>
      <c r="H128" s="1574">
        <f t="shared" si="38"/>
        <v>2815.3652615999999</v>
      </c>
      <c r="I128" s="1574">
        <f t="shared" si="38"/>
        <v>2894.6225668319998</v>
      </c>
    </row>
    <row r="129" spans="1:11" ht="18" customHeight="1" outlineLevel="1" x14ac:dyDescent="0.25">
      <c r="B129" s="1553" t="s">
        <v>98</v>
      </c>
      <c r="C129" s="863">
        <v>5038</v>
      </c>
      <c r="D129" s="858">
        <f>'Souhrn příjmů a výdajů 2021'!E94/1000</f>
        <v>115.55879999999999</v>
      </c>
      <c r="E129" s="1574">
        <f>'Souhrn příjmů a výdajů 2021'!I94/1000</f>
        <v>112.14840000000001</v>
      </c>
      <c r="F129" s="1574">
        <f t="shared" ref="F129:I129" si="39">+E129*1.03</f>
        <v>115.51285200000001</v>
      </c>
      <c r="G129" s="1574">
        <f t="shared" si="39"/>
        <v>118.97823756000001</v>
      </c>
      <c r="H129" s="1574">
        <f t="shared" si="39"/>
        <v>122.54758468680001</v>
      </c>
      <c r="I129" s="1574">
        <f t="shared" si="39"/>
        <v>126.22401222740402</v>
      </c>
    </row>
    <row r="130" spans="1:11" s="526" customFormat="1" ht="15.75" customHeight="1" x14ac:dyDescent="0.25">
      <c r="B130" s="1575" t="s">
        <v>281</v>
      </c>
      <c r="C130" s="1576"/>
      <c r="D130" s="1577">
        <f t="shared" ref="D130:I130" si="40">SUM(D131:D163)</f>
        <v>82953.818303799999</v>
      </c>
      <c r="E130" s="1577">
        <f t="shared" si="40"/>
        <v>86905.119473500003</v>
      </c>
      <c r="F130" s="1577">
        <f>SUM(F131:F163)</f>
        <v>88626.723102879987</v>
      </c>
      <c r="G130" s="1577">
        <f t="shared" si="40"/>
        <v>89556.908960115208</v>
      </c>
      <c r="H130" s="1577">
        <f t="shared" si="40"/>
        <v>90267.577956151799</v>
      </c>
      <c r="I130" s="1577">
        <f t="shared" si="40"/>
        <v>91011.43468666992</v>
      </c>
      <c r="K130" s="726"/>
    </row>
    <row r="131" spans="1:11" ht="18" customHeight="1" outlineLevel="1" x14ac:dyDescent="0.25">
      <c r="B131" s="1553" t="s">
        <v>102</v>
      </c>
      <c r="C131" s="863">
        <v>5134</v>
      </c>
      <c r="D131" s="858">
        <f>'Souhrn příjmů a výdajů 2021'!E99/1000</f>
        <v>140</v>
      </c>
      <c r="E131" s="858">
        <f>'Souhrn příjmů a výdajů 2021'!I99/1000</f>
        <v>195</v>
      </c>
      <c r="F131" s="858">
        <f t="shared" ref="F131:I140" si="41">+E131*1.02</f>
        <v>198.9</v>
      </c>
      <c r="G131" s="858">
        <f t="shared" si="41"/>
        <v>202.87800000000001</v>
      </c>
      <c r="H131" s="858">
        <f t="shared" si="41"/>
        <v>206.93556000000001</v>
      </c>
      <c r="I131" s="858">
        <f t="shared" si="41"/>
        <v>211.07427120000003</v>
      </c>
    </row>
    <row r="132" spans="1:11" ht="18" customHeight="1" outlineLevel="1" x14ac:dyDescent="0.25">
      <c r="B132" s="1553" t="s">
        <v>103</v>
      </c>
      <c r="C132" s="863">
        <v>5136</v>
      </c>
      <c r="D132" s="858">
        <f>'Souhrn příjmů a výdajů 2021'!E100/1000</f>
        <v>231</v>
      </c>
      <c r="E132" s="858">
        <f>'Souhrn příjmů a výdajů 2021'!I100/1000</f>
        <v>263</v>
      </c>
      <c r="F132" s="858">
        <f t="shared" si="41"/>
        <v>268.26</v>
      </c>
      <c r="G132" s="858">
        <f t="shared" si="41"/>
        <v>273.62520000000001</v>
      </c>
      <c r="H132" s="858">
        <f t="shared" si="41"/>
        <v>279.09770400000002</v>
      </c>
      <c r="I132" s="858">
        <f t="shared" si="41"/>
        <v>284.67965808000002</v>
      </c>
    </row>
    <row r="133" spans="1:11" outlineLevel="1" x14ac:dyDescent="0.25">
      <c r="A133" s="683"/>
      <c r="B133" s="1573" t="s">
        <v>104</v>
      </c>
      <c r="C133" s="1541">
        <v>5137</v>
      </c>
      <c r="D133" s="1574">
        <f>'Souhrn příjmů a výdajů 2021'!E101/1000</f>
        <v>1326.64</v>
      </c>
      <c r="E133" s="858">
        <f>'Souhrn příjmů a výdajů 2021'!I101/1000</f>
        <v>1495</v>
      </c>
      <c r="F133" s="858">
        <f t="shared" si="41"/>
        <v>1524.9</v>
      </c>
      <c r="G133" s="858">
        <f t="shared" si="41"/>
        <v>1555.3980000000001</v>
      </c>
      <c r="H133" s="858">
        <f t="shared" si="41"/>
        <v>1586.5059600000002</v>
      </c>
      <c r="I133" s="858">
        <f t="shared" si="41"/>
        <v>1618.2360792000002</v>
      </c>
    </row>
    <row r="134" spans="1:11" ht="18" customHeight="1" outlineLevel="1" x14ac:dyDescent="0.25">
      <c r="B134" s="1553" t="s">
        <v>105</v>
      </c>
      <c r="C134" s="863">
        <v>5139</v>
      </c>
      <c r="D134" s="858">
        <f>'Souhrn příjmů a výdajů 2021'!E102/1000</f>
        <v>1532.905</v>
      </c>
      <c r="E134" s="858">
        <f>'Souhrn příjmů a výdajů 2021'!I102/1000</f>
        <v>1704</v>
      </c>
      <c r="F134" s="858">
        <f t="shared" si="41"/>
        <v>1738.08</v>
      </c>
      <c r="G134" s="858">
        <f t="shared" si="41"/>
        <v>1772.8416</v>
      </c>
      <c r="H134" s="858">
        <f t="shared" si="41"/>
        <v>1808.298432</v>
      </c>
      <c r="I134" s="858">
        <f t="shared" si="41"/>
        <v>1844.4644006400001</v>
      </c>
    </row>
    <row r="135" spans="1:11" ht="18" customHeight="1" outlineLevel="1" x14ac:dyDescent="0.25">
      <c r="B135" s="1553" t="s">
        <v>106</v>
      </c>
      <c r="C135" s="863">
        <v>5151</v>
      </c>
      <c r="D135" s="858">
        <f>'Souhrn příjmů a výdajů 2021'!E103/1000</f>
        <v>723</v>
      </c>
      <c r="E135" s="858">
        <f>'Souhrn příjmů a výdajů 2021'!I103/1000</f>
        <v>688</v>
      </c>
      <c r="F135" s="858">
        <f t="shared" si="41"/>
        <v>701.76</v>
      </c>
      <c r="G135" s="858">
        <f t="shared" si="41"/>
        <v>715.79520000000002</v>
      </c>
      <c r="H135" s="858">
        <f t="shared" si="41"/>
        <v>730.11110400000007</v>
      </c>
      <c r="I135" s="858">
        <f t="shared" si="41"/>
        <v>744.71332608000012</v>
      </c>
    </row>
    <row r="136" spans="1:11" ht="18" customHeight="1" outlineLevel="1" x14ac:dyDescent="0.25">
      <c r="B136" s="1553" t="s">
        <v>107</v>
      </c>
      <c r="C136" s="863">
        <v>5153</v>
      </c>
      <c r="D136" s="858">
        <f>'Souhrn příjmů a výdajů 2021'!E104/1000</f>
        <v>2955</v>
      </c>
      <c r="E136" s="858">
        <f>'Souhrn příjmů a výdajů 2021'!I104/1000</f>
        <v>2955</v>
      </c>
      <c r="F136" s="858">
        <f t="shared" si="41"/>
        <v>3014.1</v>
      </c>
      <c r="G136" s="858">
        <f t="shared" si="41"/>
        <v>3074.3820000000001</v>
      </c>
      <c r="H136" s="858">
        <f t="shared" si="41"/>
        <v>3135.8696399999999</v>
      </c>
      <c r="I136" s="858">
        <f t="shared" si="41"/>
        <v>3198.5870328000001</v>
      </c>
    </row>
    <row r="137" spans="1:11" ht="18" customHeight="1" outlineLevel="1" x14ac:dyDescent="0.25">
      <c r="B137" s="1553" t="s">
        <v>108</v>
      </c>
      <c r="C137" s="863">
        <v>5154</v>
      </c>
      <c r="D137" s="858">
        <f>'Souhrn příjmů a výdajů 2021'!E105/1000</f>
        <v>3239</v>
      </c>
      <c r="E137" s="858">
        <f>'Souhrn příjmů a výdajů 2021'!I105/1000</f>
        <v>3336</v>
      </c>
      <c r="F137" s="858">
        <f t="shared" si="41"/>
        <v>3402.7200000000003</v>
      </c>
      <c r="G137" s="858">
        <f t="shared" si="41"/>
        <v>3470.7744000000002</v>
      </c>
      <c r="H137" s="858">
        <f t="shared" si="41"/>
        <v>3540.1898880000003</v>
      </c>
      <c r="I137" s="858">
        <f t="shared" si="41"/>
        <v>3610.9936857600005</v>
      </c>
    </row>
    <row r="138" spans="1:11" ht="18" customHeight="1" outlineLevel="1" x14ac:dyDescent="0.25">
      <c r="B138" s="1553" t="s">
        <v>109</v>
      </c>
      <c r="C138" s="863">
        <v>5156</v>
      </c>
      <c r="D138" s="858">
        <f>'Souhrn příjmů a výdajů 2021'!E106/1000</f>
        <v>362</v>
      </c>
      <c r="E138" s="858">
        <f>'Souhrn příjmů a výdajů 2021'!I106/1000</f>
        <v>350</v>
      </c>
      <c r="F138" s="858">
        <f t="shared" si="41"/>
        <v>357</v>
      </c>
      <c r="G138" s="858">
        <f t="shared" si="41"/>
        <v>364.14</v>
      </c>
      <c r="H138" s="858">
        <f t="shared" si="41"/>
        <v>371.4228</v>
      </c>
      <c r="I138" s="858">
        <f t="shared" si="41"/>
        <v>378.85125599999998</v>
      </c>
    </row>
    <row r="139" spans="1:11" ht="18" customHeight="1" outlineLevel="1" x14ac:dyDescent="0.25">
      <c r="B139" s="1553" t="s">
        <v>110</v>
      </c>
      <c r="C139" s="863">
        <v>5161</v>
      </c>
      <c r="D139" s="858">
        <f>'Souhrn příjmů a výdajů 2021'!E107/1000</f>
        <v>648</v>
      </c>
      <c r="E139" s="858">
        <f>'Souhrn příjmů a výdajů 2021'!I107/1000</f>
        <v>645</v>
      </c>
      <c r="F139" s="858">
        <f t="shared" si="41"/>
        <v>657.9</v>
      </c>
      <c r="G139" s="858">
        <f t="shared" si="41"/>
        <v>671.05799999999999</v>
      </c>
      <c r="H139" s="858">
        <f t="shared" si="41"/>
        <v>684.47915999999998</v>
      </c>
      <c r="I139" s="858">
        <f t="shared" si="41"/>
        <v>698.16874319999999</v>
      </c>
    </row>
    <row r="140" spans="1:11" ht="18" customHeight="1" outlineLevel="1" x14ac:dyDescent="0.25">
      <c r="B140" s="1553" t="s">
        <v>111</v>
      </c>
      <c r="C140" s="863">
        <v>5162</v>
      </c>
      <c r="D140" s="858">
        <f>'Souhrn příjmů a výdajů 2021'!E108/1000</f>
        <v>520</v>
      </c>
      <c r="E140" s="858">
        <f>'Souhrn příjmů a výdajů 2021'!I108/1000</f>
        <v>556</v>
      </c>
      <c r="F140" s="858">
        <f t="shared" si="41"/>
        <v>567.12</v>
      </c>
      <c r="G140" s="858">
        <f t="shared" si="41"/>
        <v>578.4624</v>
      </c>
      <c r="H140" s="858">
        <f t="shared" si="41"/>
        <v>590.03164800000002</v>
      </c>
      <c r="I140" s="858">
        <f t="shared" si="41"/>
        <v>601.83228096000005</v>
      </c>
    </row>
    <row r="141" spans="1:11" ht="18" customHeight="1" outlineLevel="1" x14ac:dyDescent="0.25">
      <c r="B141" s="1553" t="s">
        <v>112</v>
      </c>
      <c r="C141" s="863">
        <v>5163</v>
      </c>
      <c r="D141" s="858">
        <f>'Souhrn příjmů a výdajů 2021'!E109/1000</f>
        <v>746</v>
      </c>
      <c r="E141" s="858">
        <f>'Souhrn příjmů a výdajů 2021'!I109/1000</f>
        <v>650</v>
      </c>
      <c r="F141" s="858">
        <f t="shared" ref="F141:I150" si="42">+E141*1.02</f>
        <v>663</v>
      </c>
      <c r="G141" s="858">
        <f t="shared" si="42"/>
        <v>676.26</v>
      </c>
      <c r="H141" s="858">
        <f t="shared" si="42"/>
        <v>689.78520000000003</v>
      </c>
      <c r="I141" s="858">
        <f t="shared" si="42"/>
        <v>703.58090400000003</v>
      </c>
    </row>
    <row r="142" spans="1:11" ht="18" customHeight="1" outlineLevel="1" x14ac:dyDescent="0.25">
      <c r="B142" s="1553" t="s">
        <v>113</v>
      </c>
      <c r="C142" s="863">
        <v>5164</v>
      </c>
      <c r="D142" s="858">
        <f>'Souhrn příjmů a výdajů 2021'!E110/1000</f>
        <v>2295.42</v>
      </c>
      <c r="E142" s="858">
        <f>'Souhrn příjmů a výdajů 2021'!I110/1000</f>
        <v>1538.4380000000001</v>
      </c>
      <c r="F142" s="858">
        <f>+E142-808</f>
        <v>730.4380000000001</v>
      </c>
      <c r="G142" s="858">
        <f>+F142</f>
        <v>730.4380000000001</v>
      </c>
      <c r="H142" s="858">
        <f>+G142</f>
        <v>730.4380000000001</v>
      </c>
      <c r="I142" s="858">
        <f>+H142</f>
        <v>730.4380000000001</v>
      </c>
    </row>
    <row r="143" spans="1:11" ht="18" customHeight="1" outlineLevel="1" x14ac:dyDescent="0.25">
      <c r="B143" s="1553" t="s">
        <v>114</v>
      </c>
      <c r="C143" s="863">
        <v>5166</v>
      </c>
      <c r="D143" s="858">
        <f>'Souhrn příjmů a výdajů 2021'!E111/1000</f>
        <v>700</v>
      </c>
      <c r="E143" s="858">
        <f>'Souhrn příjmů a výdajů 2021'!I111/1000</f>
        <v>600</v>
      </c>
      <c r="F143" s="858">
        <f t="shared" si="42"/>
        <v>612</v>
      </c>
      <c r="G143" s="858">
        <f t="shared" si="42"/>
        <v>624.24</v>
      </c>
      <c r="H143" s="858">
        <f t="shared" si="42"/>
        <v>636.72480000000007</v>
      </c>
      <c r="I143" s="858">
        <f t="shared" si="42"/>
        <v>649.45929600000011</v>
      </c>
    </row>
    <row r="144" spans="1:11" ht="18" customHeight="1" outlineLevel="1" x14ac:dyDescent="0.25">
      <c r="B144" s="1553" t="s">
        <v>115</v>
      </c>
      <c r="C144" s="863">
        <v>5167</v>
      </c>
      <c r="D144" s="858">
        <f>'Souhrn příjmů a výdajů 2021'!E112/1000</f>
        <v>378</v>
      </c>
      <c r="E144" s="858">
        <f>'Souhrn příjmů a výdajů 2021'!I112/1000</f>
        <v>388</v>
      </c>
      <c r="F144" s="858">
        <f t="shared" si="42"/>
        <v>395.76</v>
      </c>
      <c r="G144" s="858">
        <f t="shared" si="42"/>
        <v>403.67520000000002</v>
      </c>
      <c r="H144" s="858">
        <f t="shared" si="42"/>
        <v>411.74870400000003</v>
      </c>
      <c r="I144" s="858">
        <f t="shared" si="42"/>
        <v>419.98367808000006</v>
      </c>
    </row>
    <row r="145" spans="1:11" ht="18" customHeight="1" outlineLevel="1" x14ac:dyDescent="0.25">
      <c r="B145" s="1553" t="s">
        <v>116</v>
      </c>
      <c r="C145" s="863">
        <v>5168</v>
      </c>
      <c r="D145" s="858">
        <f>'Souhrn příjmů a výdajů 2021'!E113/1000</f>
        <v>315</v>
      </c>
      <c r="E145" s="858">
        <f>'Souhrn příjmů a výdajů 2021'!I113/1000</f>
        <v>470</v>
      </c>
      <c r="F145" s="858">
        <f t="shared" si="42"/>
        <v>479.40000000000003</v>
      </c>
      <c r="G145" s="858">
        <f t="shared" si="42"/>
        <v>488.98800000000006</v>
      </c>
      <c r="H145" s="858">
        <f t="shared" si="42"/>
        <v>498.76776000000007</v>
      </c>
      <c r="I145" s="858">
        <f t="shared" si="42"/>
        <v>508.74311520000009</v>
      </c>
    </row>
    <row r="146" spans="1:11" ht="15.75" customHeight="1" outlineLevel="1" x14ac:dyDescent="0.25">
      <c r="A146" s="683"/>
      <c r="B146" s="1573" t="s">
        <v>117</v>
      </c>
      <c r="C146" s="1541">
        <v>5169</v>
      </c>
      <c r="D146" s="1574">
        <f>'Souhrn příjmů a výdajů 2021'!E114/1000</f>
        <v>17553.922999999999</v>
      </c>
      <c r="E146" s="858">
        <f>'Souhrn příjmů a výdajů 2021'!I114/1000</f>
        <v>15609.611999999999</v>
      </c>
      <c r="F146" s="858">
        <f>+E146*1.04</f>
        <v>16233.99648</v>
      </c>
      <c r="G146" s="858">
        <f t="shared" si="42"/>
        <v>16558.676409600001</v>
      </c>
      <c r="H146" s="858">
        <f>+G146</f>
        <v>16558.676409600001</v>
      </c>
      <c r="I146" s="858">
        <f>+H146</f>
        <v>16558.676409600001</v>
      </c>
    </row>
    <row r="147" spans="1:11" s="683" customFormat="1" ht="18" customHeight="1" outlineLevel="1" x14ac:dyDescent="0.25">
      <c r="B147" s="1573" t="s">
        <v>118</v>
      </c>
      <c r="C147" s="1541">
        <v>5171</v>
      </c>
      <c r="D147" s="1574">
        <f>'Souhrn příjmů a výdajů 2021'!E115/1000</f>
        <v>9536.2649999999994</v>
      </c>
      <c r="E147" s="858">
        <f>'Souhrn příjmů a výdajů 2021'!I115/1000</f>
        <v>12902.48</v>
      </c>
      <c r="F147" s="858">
        <f>+E147*1.04</f>
        <v>13418.5792</v>
      </c>
      <c r="G147" s="858">
        <f>+F147*1.02</f>
        <v>13686.950784000001</v>
      </c>
      <c r="H147" s="858">
        <f>+G147*1.02</f>
        <v>13960.689799680002</v>
      </c>
      <c r="I147" s="858">
        <f>+H147*1.02</f>
        <v>14239.903595673602</v>
      </c>
      <c r="K147" s="687"/>
    </row>
    <row r="148" spans="1:11" ht="18" customHeight="1" outlineLevel="1" x14ac:dyDescent="0.25">
      <c r="B148" s="1553" t="s">
        <v>119</v>
      </c>
      <c r="C148" s="863">
        <v>5172</v>
      </c>
      <c r="D148" s="858">
        <f>'Souhrn příjmů a výdajů 2021'!E116/1000</f>
        <v>1892</v>
      </c>
      <c r="E148" s="858">
        <f>'Souhrn příjmů a výdajů 2021'!I116/1000</f>
        <v>3011</v>
      </c>
      <c r="F148" s="858">
        <f t="shared" si="42"/>
        <v>3071.2200000000003</v>
      </c>
      <c r="G148" s="858">
        <f t="shared" si="42"/>
        <v>3132.6444000000001</v>
      </c>
      <c r="H148" s="858">
        <f t="shared" si="42"/>
        <v>3195.2972880000002</v>
      </c>
      <c r="I148" s="858">
        <f t="shared" si="42"/>
        <v>3259.2032337600003</v>
      </c>
    </row>
    <row r="149" spans="1:11" ht="18" customHeight="1" outlineLevel="1" x14ac:dyDescent="0.25">
      <c r="B149" s="1553" t="s">
        <v>120</v>
      </c>
      <c r="C149" s="863">
        <v>5173</v>
      </c>
      <c r="D149" s="858">
        <f>'Souhrn příjmů a výdajů 2021'!E117/1000</f>
        <v>72</v>
      </c>
      <c r="E149" s="858">
        <f>'Souhrn příjmů a výdajů 2021'!I117/1000</f>
        <v>62</v>
      </c>
      <c r="F149" s="858">
        <f t="shared" si="42"/>
        <v>63.24</v>
      </c>
      <c r="G149" s="858">
        <f t="shared" si="42"/>
        <v>64.504800000000003</v>
      </c>
      <c r="H149" s="858">
        <f t="shared" si="42"/>
        <v>65.794896000000008</v>
      </c>
      <c r="I149" s="858">
        <f t="shared" si="42"/>
        <v>67.110793920000006</v>
      </c>
    </row>
    <row r="150" spans="1:11" ht="18" customHeight="1" outlineLevel="1" x14ac:dyDescent="0.25">
      <c r="B150" s="1553" t="s">
        <v>121</v>
      </c>
      <c r="C150" s="863">
        <v>5175</v>
      </c>
      <c r="D150" s="858">
        <f>'Souhrn příjmů a výdajů 2021'!E118/1000</f>
        <v>357.43</v>
      </c>
      <c r="E150" s="858">
        <f>'Souhrn příjmů a výdajů 2021'!I118/1000</f>
        <v>353</v>
      </c>
      <c r="F150" s="858">
        <f t="shared" si="42"/>
        <v>360.06</v>
      </c>
      <c r="G150" s="858">
        <f t="shared" si="42"/>
        <v>367.26120000000003</v>
      </c>
      <c r="H150" s="858">
        <f t="shared" si="42"/>
        <v>374.60642400000006</v>
      </c>
      <c r="I150" s="858">
        <f t="shared" si="42"/>
        <v>382.09855248000008</v>
      </c>
    </row>
    <row r="151" spans="1:11" ht="18" customHeight="1" outlineLevel="1" x14ac:dyDescent="0.25">
      <c r="B151" s="1553" t="s">
        <v>123</v>
      </c>
      <c r="C151" s="863">
        <v>5193</v>
      </c>
      <c r="D151" s="858">
        <f>'Souhrn příjmů a výdajů 2021'!E121/1000</f>
        <v>1700</v>
      </c>
      <c r="E151" s="858">
        <f>'Souhrn příjmů a výdajů 2021'!I121/1000</f>
        <v>2000</v>
      </c>
      <c r="F151" s="858">
        <f>+E151*1.03</f>
        <v>2060</v>
      </c>
      <c r="G151" s="858">
        <f>+F151*1.03</f>
        <v>2121.8000000000002</v>
      </c>
      <c r="H151" s="858">
        <f>+G151*1.03</f>
        <v>2185.4540000000002</v>
      </c>
      <c r="I151" s="858">
        <f>+H151*1.03</f>
        <v>2251.0176200000001</v>
      </c>
    </row>
    <row r="152" spans="1:11" ht="18" customHeight="1" outlineLevel="1" x14ac:dyDescent="0.25">
      <c r="B152" s="1553" t="s">
        <v>124</v>
      </c>
      <c r="C152" s="863">
        <v>5194</v>
      </c>
      <c r="D152" s="858">
        <f>'Souhrn příjmů a výdajů 2021'!E122/1000</f>
        <v>295</v>
      </c>
      <c r="E152" s="858">
        <f>'Souhrn příjmů a výdajů 2021'!I122/1000</f>
        <v>260</v>
      </c>
      <c r="F152" s="858">
        <f>+E152*1.01</f>
        <v>262.60000000000002</v>
      </c>
      <c r="G152" s="858">
        <f t="shared" ref="G152:I152" si="43">+F152*1.01</f>
        <v>265.226</v>
      </c>
      <c r="H152" s="858">
        <f t="shared" si="43"/>
        <v>267.87826000000001</v>
      </c>
      <c r="I152" s="858">
        <f t="shared" si="43"/>
        <v>270.55704259999999</v>
      </c>
    </row>
    <row r="153" spans="1:11" ht="18" customHeight="1" outlineLevel="1" x14ac:dyDescent="0.25">
      <c r="B153" s="1553" t="s">
        <v>125</v>
      </c>
      <c r="C153" s="863">
        <v>5329</v>
      </c>
      <c r="D153" s="858">
        <f>'Souhrn příjmů a výdajů 2021'!E123/1000</f>
        <v>869.5</v>
      </c>
      <c r="E153" s="858">
        <f>'Souhrn příjmů a výdajů 2021'!I123/1000</f>
        <v>885.14</v>
      </c>
      <c r="F153" s="858">
        <f t="shared" ref="F153:I156" si="44">+E153*1.02</f>
        <v>902.84280000000001</v>
      </c>
      <c r="G153" s="858">
        <f t="shared" si="44"/>
        <v>920.89965600000005</v>
      </c>
      <c r="H153" s="858">
        <f t="shared" si="44"/>
        <v>939.31764912000006</v>
      </c>
      <c r="I153" s="858">
        <f t="shared" si="44"/>
        <v>958.10400210240005</v>
      </c>
    </row>
    <row r="154" spans="1:11" s="517" customFormat="1" ht="18" customHeight="1" outlineLevel="1" x14ac:dyDescent="0.25">
      <c r="B154" s="1578" t="s">
        <v>126</v>
      </c>
      <c r="C154" s="1579">
        <v>5331</v>
      </c>
      <c r="D154" s="1580">
        <f>'Souhrn příjmů a výdajů 2021'!E124/1000</f>
        <v>26061.437000000002</v>
      </c>
      <c r="E154" s="1580">
        <f>'Souhrn příjmů a výdajů 2021'!I124/1000</f>
        <v>29000</v>
      </c>
      <c r="F154" s="1580">
        <f>+E154*1.02</f>
        <v>29580</v>
      </c>
      <c r="G154" s="1580">
        <f>+F154</f>
        <v>29580</v>
      </c>
      <c r="H154" s="1580">
        <f>+G154</f>
        <v>29580</v>
      </c>
      <c r="I154" s="1580">
        <f>+H154</f>
        <v>29580</v>
      </c>
      <c r="K154" s="656"/>
    </row>
    <row r="155" spans="1:11" ht="18" customHeight="1" outlineLevel="1" x14ac:dyDescent="0.25">
      <c r="B155" s="1553" t="s">
        <v>127</v>
      </c>
      <c r="C155" s="863">
        <v>5361</v>
      </c>
      <c r="D155" s="858">
        <f>'Souhrn příjmů a výdajů 2021'!E125/1000</f>
        <v>35</v>
      </c>
      <c r="E155" s="858">
        <f>'Souhrn příjmů a výdajů 2021'!I125/1000</f>
        <v>40</v>
      </c>
      <c r="F155" s="858">
        <f t="shared" si="44"/>
        <v>40.799999999999997</v>
      </c>
      <c r="G155" s="858">
        <f t="shared" si="44"/>
        <v>41.616</v>
      </c>
      <c r="H155" s="858">
        <f t="shared" si="44"/>
        <v>42.448320000000002</v>
      </c>
      <c r="I155" s="858">
        <f t="shared" si="44"/>
        <v>43.297286400000004</v>
      </c>
    </row>
    <row r="156" spans="1:11" ht="18" customHeight="1" outlineLevel="1" x14ac:dyDescent="0.25">
      <c r="B156" s="1553" t="s">
        <v>128</v>
      </c>
      <c r="C156" s="863">
        <v>5362</v>
      </c>
      <c r="D156" s="858">
        <f>'Souhrn příjmů a výdajů 2021'!E126/1000</f>
        <v>3437</v>
      </c>
      <c r="E156" s="858">
        <f>'Souhrn příjmů a výdajů 2021'!I126/1000</f>
        <v>1138</v>
      </c>
      <c r="F156" s="858">
        <f t="shared" si="44"/>
        <v>1160.76</v>
      </c>
      <c r="G156" s="858">
        <f t="shared" si="44"/>
        <v>1183.9752000000001</v>
      </c>
      <c r="H156" s="858">
        <f t="shared" si="44"/>
        <v>1207.654704</v>
      </c>
      <c r="I156" s="858">
        <f t="shared" si="44"/>
        <v>1231.8077980800001</v>
      </c>
    </row>
    <row r="157" spans="1:11" ht="18" customHeight="1" outlineLevel="1" x14ac:dyDescent="0.25">
      <c r="B157" s="1553" t="s">
        <v>1094</v>
      </c>
      <c r="C157" s="863">
        <v>5363</v>
      </c>
      <c r="D157" s="858">
        <f>'Souhrn příjmů a výdajů 2021'!E127/1000</f>
        <v>0</v>
      </c>
      <c r="E157" s="858">
        <f>'Souhrn příjmů a výdajů 2021'!I127/1000</f>
        <v>80</v>
      </c>
      <c r="F157" s="858"/>
      <c r="G157" s="858"/>
      <c r="H157" s="858"/>
      <c r="I157" s="858"/>
    </row>
    <row r="158" spans="1:11" ht="18" customHeight="1" outlineLevel="1" x14ac:dyDescent="0.25">
      <c r="B158" s="1553" t="s">
        <v>129</v>
      </c>
      <c r="C158" s="863">
        <v>5492</v>
      </c>
      <c r="D158" s="858">
        <f>'Souhrn příjmů a výdajů 2021'!E128/1000</f>
        <v>380</v>
      </c>
      <c r="E158" s="858">
        <f>'Souhrn příjmů a výdajů 2021'!I128/1000</f>
        <v>1320</v>
      </c>
      <c r="F158" s="858">
        <f>+E158*1.05</f>
        <v>1386</v>
      </c>
      <c r="G158" s="858">
        <f>+F158*1.05</f>
        <v>1455.3</v>
      </c>
      <c r="H158" s="858">
        <f>+G158*1.05</f>
        <v>1528.0650000000001</v>
      </c>
      <c r="I158" s="858">
        <f>+H158*1.05</f>
        <v>1604.4682500000001</v>
      </c>
    </row>
    <row r="159" spans="1:11" ht="18" customHeight="1" outlineLevel="1" x14ac:dyDescent="0.25">
      <c r="B159" s="1553" t="s">
        <v>130</v>
      </c>
      <c r="C159" s="863">
        <v>5499</v>
      </c>
      <c r="D159" s="858">
        <f>'Souhrn příjmů a výdajů 2021'!E129/1000</f>
        <v>1300</v>
      </c>
      <c r="E159" s="858">
        <f>'Souhrn příjmů a výdajů 2021'!I129/1000</f>
        <v>1300</v>
      </c>
      <c r="F159" s="858">
        <f t="shared" ref="F159:I159" si="45">+E159*1.02</f>
        <v>1326</v>
      </c>
      <c r="G159" s="858">
        <f t="shared" si="45"/>
        <v>1352.52</v>
      </c>
      <c r="H159" s="858">
        <f t="shared" si="45"/>
        <v>1379.5704000000001</v>
      </c>
      <c r="I159" s="858">
        <f t="shared" si="45"/>
        <v>1407.1618080000001</v>
      </c>
    </row>
    <row r="160" spans="1:11" ht="18" customHeight="1" outlineLevel="1" x14ac:dyDescent="0.25">
      <c r="B160" s="1553" t="s">
        <v>131</v>
      </c>
      <c r="C160" s="863">
        <v>5222</v>
      </c>
      <c r="D160" s="858">
        <f>'Souhrn příjmů a výdajů 2021'!E130/1000</f>
        <v>900</v>
      </c>
      <c r="E160" s="858">
        <f>'Souhrn příjmů a výdajů 2021'!I130/1000</f>
        <v>1000</v>
      </c>
      <c r="F160" s="858">
        <v>1500</v>
      </c>
      <c r="G160" s="858">
        <v>1500</v>
      </c>
      <c r="H160" s="858">
        <v>1600</v>
      </c>
      <c r="I160" s="858">
        <v>1700</v>
      </c>
    </row>
    <row r="161" spans="1:11" ht="18" customHeight="1" outlineLevel="1" x14ac:dyDescent="0.25">
      <c r="B161" s="1553" t="s">
        <v>1055</v>
      </c>
      <c r="C161" s="863">
        <v>5903</v>
      </c>
      <c r="D161" s="858">
        <f>'Souhrn příjmů a výdajů 2021'!E131/1000</f>
        <v>52.65</v>
      </c>
      <c r="E161" s="858">
        <f>'Souhrn příjmů a výdajů 2021'!I131/1000</f>
        <v>51.927298500000006</v>
      </c>
      <c r="F161" s="858">
        <f>+(F6+F7+F8+F9+F10)*0.0005</f>
        <v>43.73438788</v>
      </c>
      <c r="G161" s="858">
        <f>+(G6+G7+G8+G9+G10)*0.0005</f>
        <v>45.125677915200008</v>
      </c>
      <c r="H161" s="858">
        <f>+(H6+H7+H8+H9+H10)*0.0005</f>
        <v>46.572619551808003</v>
      </c>
      <c r="I161" s="858">
        <f>+(I6+I7+I8+I9+I10)*0.0005</f>
        <v>48.077438853880331</v>
      </c>
    </row>
    <row r="162" spans="1:11" ht="18" customHeight="1" outlineLevel="1" x14ac:dyDescent="0.25">
      <c r="B162" s="1553" t="s">
        <v>7</v>
      </c>
      <c r="C162" s="863">
        <v>5141</v>
      </c>
      <c r="D162" s="858">
        <f>'Souhrn příjmů a výdajů 2021'!E132/1000</f>
        <v>2399.6483037999997</v>
      </c>
      <c r="E162" s="858">
        <f>'Souhrn příjmů a výdajů 2021'!I132/1000</f>
        <v>2058.5221749999996</v>
      </c>
      <c r="F162" s="858">
        <f>+('Úvěry města'!G12+'Úvěry města'!G14+'Úvěry města'!G17)/1000</f>
        <v>1905.5522349999999</v>
      </c>
      <c r="G162" s="858">
        <f>+('Úvěry města'!H12+'Úvěry města'!H14+'Úvěry města'!H17)/1000</f>
        <v>1677.4528325999997</v>
      </c>
      <c r="H162" s="858">
        <f>+('Úvěry města'!I12+'Úvěry města'!I14+'Úvěry města'!I17)/1000</f>
        <v>1435.1458262000001</v>
      </c>
      <c r="I162" s="858">
        <f>+('Úvěry města'!J12+'Úvěry města'!J14+'Úvěry města'!J17)/1000</f>
        <v>1206.1451280000001</v>
      </c>
    </row>
    <row r="163" spans="1:11" ht="13.5" customHeight="1" outlineLevel="1" x14ac:dyDescent="0.25">
      <c r="B163" s="1562" t="s">
        <v>815</v>
      </c>
      <c r="C163" s="1563">
        <v>5144</v>
      </c>
      <c r="D163" s="1476">
        <f>'Souhrn příjmů a výdajů 2021'!E133/1000</f>
        <v>0</v>
      </c>
      <c r="E163" s="1476">
        <f>'Souhrn příjmů a výdajů 2021'!I133/1000</f>
        <v>0</v>
      </c>
      <c r="F163" s="1476"/>
      <c r="G163" s="1476"/>
      <c r="H163" s="1476"/>
      <c r="I163" s="1476"/>
    </row>
    <row r="164" spans="1:11" s="714" customFormat="1" ht="15" customHeight="1" x14ac:dyDescent="0.25">
      <c r="A164" s="1581" t="s">
        <v>282</v>
      </c>
      <c r="B164" s="1582" t="s">
        <v>283</v>
      </c>
      <c r="C164" s="1583"/>
      <c r="D164" s="1584">
        <f>'Souhrn příjmů a výdajů 2021'!E134/1000</f>
        <v>85054.668000000005</v>
      </c>
      <c r="E164" s="1584">
        <f>'Souhrn příjmů a výdajů 2021'!I134/1000</f>
        <v>16196.108679999999</v>
      </c>
      <c r="F164" s="1584">
        <f>SUM(F165:F196)</f>
        <v>26801</v>
      </c>
      <c r="G164" s="1584">
        <f t="shared" ref="G164:I164" si="46">SUM(G165:G196)</f>
        <v>13256</v>
      </c>
      <c r="H164" s="1584">
        <f t="shared" si="46"/>
        <v>27144</v>
      </c>
      <c r="I164" s="1584">
        <f t="shared" si="46"/>
        <v>31320</v>
      </c>
      <c r="K164" s="719"/>
    </row>
    <row r="165" spans="1:11" s="517" customFormat="1" ht="21" customHeight="1" outlineLevel="1" x14ac:dyDescent="0.25">
      <c r="B165" s="1551" t="s">
        <v>119</v>
      </c>
      <c r="C165" s="1552">
        <v>6111</v>
      </c>
      <c r="D165" s="869">
        <f>+'Souhrn příjmů a výdajů 2021'!I135/1000</f>
        <v>0</v>
      </c>
      <c r="E165" s="869"/>
      <c r="F165" s="869"/>
      <c r="G165" s="869"/>
      <c r="H165" s="869"/>
      <c r="I165" s="869"/>
      <c r="K165" s="656"/>
    </row>
    <row r="166" spans="1:11" s="1585" customFormat="1" outlineLevel="1" x14ac:dyDescent="0.2">
      <c r="B166" s="1586" t="s">
        <v>414</v>
      </c>
      <c r="C166" s="1587">
        <v>6125</v>
      </c>
      <c r="D166" s="1588">
        <f>'Investice celkem  2021'!M21/1000</f>
        <v>0</v>
      </c>
      <c r="E166" s="1588"/>
      <c r="F166" s="1588"/>
      <c r="G166" s="1588"/>
      <c r="H166" s="1588"/>
      <c r="I166" s="1588"/>
      <c r="K166" s="690"/>
    </row>
    <row r="167" spans="1:11" s="1585" customFormat="1" outlineLevel="1" x14ac:dyDescent="0.25">
      <c r="B167" s="1586" t="s">
        <v>169</v>
      </c>
      <c r="C167" s="1587"/>
      <c r="D167" s="869">
        <f>'Investice celkem  2021'!M37/1000</f>
        <v>0</v>
      </c>
      <c r="E167" s="869"/>
      <c r="F167" s="869">
        <v>3000</v>
      </c>
      <c r="G167" s="869">
        <v>3000</v>
      </c>
      <c r="H167" s="869"/>
      <c r="I167" s="869"/>
      <c r="K167" s="690"/>
    </row>
    <row r="168" spans="1:11" s="517" customFormat="1" outlineLevel="1" x14ac:dyDescent="0.25">
      <c r="A168" s="1585"/>
      <c r="B168" s="1586" t="s">
        <v>171</v>
      </c>
      <c r="C168" s="1587"/>
      <c r="D168" s="1588">
        <f>'Investice celkem  2021'!M52/1000</f>
        <v>60</v>
      </c>
      <c r="E168" s="1588">
        <v>3000</v>
      </c>
      <c r="F168" s="1588">
        <v>2000</v>
      </c>
      <c r="G168" s="1588">
        <v>2000</v>
      </c>
      <c r="H168" s="1588"/>
      <c r="I168" s="1588"/>
      <c r="K168" s="656"/>
    </row>
    <row r="169" spans="1:11" s="517" customFormat="1" outlineLevel="1" x14ac:dyDescent="0.25">
      <c r="A169" s="1585"/>
      <c r="B169" s="1586" t="s">
        <v>170</v>
      </c>
      <c r="C169" s="1587"/>
      <c r="D169" s="1588">
        <f>'Investice celkem  2021'!M57/1000</f>
        <v>6050</v>
      </c>
      <c r="E169" s="1588"/>
      <c r="F169" s="1588"/>
      <c r="G169" s="1588"/>
      <c r="H169" s="1588"/>
      <c r="I169" s="1588"/>
      <c r="K169" s="656"/>
    </row>
    <row r="170" spans="1:11" s="517" customFormat="1" outlineLevel="1" x14ac:dyDescent="0.25">
      <c r="A170" s="1585"/>
      <c r="B170" s="1589" t="s">
        <v>1088</v>
      </c>
      <c r="C170" s="1590"/>
      <c r="D170" s="1591">
        <f>'Investice celkem  2021'!M65/1000</f>
        <v>700</v>
      </c>
      <c r="E170" s="1591"/>
      <c r="F170" s="1591"/>
      <c r="G170" s="1591"/>
      <c r="H170" s="1591"/>
      <c r="I170" s="1591"/>
      <c r="J170" s="517" t="s">
        <v>4</v>
      </c>
      <c r="K170" s="656">
        <v>9300</v>
      </c>
    </row>
    <row r="171" spans="1:11" s="517" customFormat="1" outlineLevel="1" x14ac:dyDescent="0.25">
      <c r="A171" s="1585"/>
      <c r="B171" s="1586" t="s">
        <v>1089</v>
      </c>
      <c r="C171" s="1587"/>
      <c r="D171" s="1588">
        <f>'Investice celkem  2021'!M69/1000</f>
        <v>0</v>
      </c>
      <c r="E171" s="1588">
        <v>180</v>
      </c>
      <c r="F171" s="1588"/>
      <c r="G171" s="1588"/>
      <c r="H171" s="1588"/>
      <c r="I171" s="1588"/>
      <c r="K171" s="656"/>
    </row>
    <row r="172" spans="1:11" s="517" customFormat="1" outlineLevel="1" x14ac:dyDescent="0.25">
      <c r="A172" s="1585"/>
      <c r="B172" s="1586" t="s">
        <v>781</v>
      </c>
      <c r="C172" s="1587"/>
      <c r="D172" s="1588"/>
      <c r="E172" s="1588"/>
      <c r="F172" s="1588"/>
      <c r="G172" s="1588"/>
      <c r="H172" s="1588"/>
      <c r="I172" s="1588"/>
      <c r="K172" s="656"/>
    </row>
    <row r="173" spans="1:11" s="517" customFormat="1" outlineLevel="1" x14ac:dyDescent="0.25">
      <c r="A173" s="1585"/>
      <c r="B173" s="1586" t="s">
        <v>880</v>
      </c>
      <c r="C173" s="1587"/>
      <c r="D173" s="1588">
        <f>'Investice celkem  2021'!M75/1000</f>
        <v>0</v>
      </c>
      <c r="E173" s="1588"/>
      <c r="F173" s="1588"/>
      <c r="G173" s="1588"/>
      <c r="H173" s="1588"/>
      <c r="I173" s="1588"/>
      <c r="K173" s="656"/>
    </row>
    <row r="174" spans="1:11" s="517" customFormat="1" outlineLevel="1" x14ac:dyDescent="0.25">
      <c r="A174" s="1585"/>
      <c r="B174" s="1586" t="s">
        <v>742</v>
      </c>
      <c r="C174" s="1587"/>
      <c r="D174" s="1588">
        <f>'Investice celkem  2021'!M80/1000</f>
        <v>130</v>
      </c>
      <c r="E174" s="1588">
        <v>130</v>
      </c>
      <c r="F174" s="1588"/>
      <c r="G174" s="1588"/>
      <c r="H174" s="1588"/>
      <c r="I174" s="1588"/>
      <c r="K174" s="656"/>
    </row>
    <row r="175" spans="1:11" s="517" customFormat="1" outlineLevel="1" x14ac:dyDescent="0.25">
      <c r="A175" s="1585"/>
      <c r="B175" s="1586" t="s">
        <v>345</v>
      </c>
      <c r="C175" s="1587"/>
      <c r="D175" s="1588">
        <f>'Investice celkem  2021'!M86/1000</f>
        <v>100</v>
      </c>
      <c r="E175" s="1588">
        <v>2000</v>
      </c>
      <c r="F175" s="1588">
        <v>1000</v>
      </c>
      <c r="G175" s="1588"/>
      <c r="H175" s="1588"/>
      <c r="I175" s="1588"/>
      <c r="J175" s="517" t="s">
        <v>1275</v>
      </c>
      <c r="K175" s="656">
        <f>18920-1575</f>
        <v>17345</v>
      </c>
    </row>
    <row r="176" spans="1:11" s="517" customFormat="1" outlineLevel="1" x14ac:dyDescent="0.25">
      <c r="A176" s="1585"/>
      <c r="B176" s="1589" t="s">
        <v>176</v>
      </c>
      <c r="C176" s="1590"/>
      <c r="D176" s="1591">
        <f>'Investice celkem  2021'!M90/1000</f>
        <v>60</v>
      </c>
      <c r="E176" s="1591"/>
      <c r="F176" s="1591"/>
      <c r="G176" s="1591"/>
      <c r="H176" s="1591"/>
      <c r="I176" s="1591"/>
      <c r="K176" s="656"/>
    </row>
    <row r="177" spans="1:11" s="517" customFormat="1" outlineLevel="1" x14ac:dyDescent="0.25">
      <c r="A177" s="1585"/>
      <c r="B177" s="1589" t="s">
        <v>1109</v>
      </c>
      <c r="C177" s="1590"/>
      <c r="D177" s="1591"/>
      <c r="E177" s="1591"/>
      <c r="F177" s="1591">
        <v>10000</v>
      </c>
      <c r="G177" s="1591">
        <v>1000</v>
      </c>
      <c r="H177" s="1591">
        <v>20000</v>
      </c>
      <c r="I177" s="1591">
        <v>25000</v>
      </c>
      <c r="K177" s="656"/>
    </row>
    <row r="178" spans="1:11" s="517" customFormat="1" outlineLevel="1" x14ac:dyDescent="0.25">
      <c r="A178" s="1585"/>
      <c r="B178" s="1586" t="s">
        <v>570</v>
      </c>
      <c r="C178" s="1587"/>
      <c r="D178" s="1588">
        <f>'Investice celkem  2021'!M95/1000</f>
        <v>30</v>
      </c>
      <c r="E178" s="1588">
        <v>30</v>
      </c>
      <c r="F178" s="1588"/>
      <c r="G178" s="1588"/>
      <c r="H178" s="1588"/>
      <c r="I178" s="1588"/>
      <c r="K178" s="656"/>
    </row>
    <row r="179" spans="1:11" s="517" customFormat="1" outlineLevel="1" x14ac:dyDescent="0.25">
      <c r="A179" s="1585"/>
      <c r="B179" s="1586" t="s">
        <v>311</v>
      </c>
      <c r="C179" s="1587"/>
      <c r="D179" s="1588">
        <f>'Investice celkem  2021'!M109/1000</f>
        <v>0</v>
      </c>
      <c r="E179" s="1588">
        <v>80</v>
      </c>
      <c r="F179" s="1588"/>
      <c r="G179" s="1588"/>
      <c r="H179" s="1588"/>
      <c r="I179" s="1588"/>
      <c r="K179" s="656"/>
    </row>
    <row r="180" spans="1:11" s="517" customFormat="1" outlineLevel="1" x14ac:dyDescent="0.25">
      <c r="A180" s="1585"/>
      <c r="B180" s="1589" t="s">
        <v>572</v>
      </c>
      <c r="C180" s="1590"/>
      <c r="D180" s="1591">
        <f>'Investice celkem  2021'!M112/1000</f>
        <v>30</v>
      </c>
      <c r="E180" s="1591"/>
      <c r="F180" s="1591">
        <v>0</v>
      </c>
      <c r="G180" s="1591">
        <v>0</v>
      </c>
      <c r="H180" s="1591">
        <v>0</v>
      </c>
      <c r="I180" s="1591">
        <v>0</v>
      </c>
      <c r="J180" s="517" t="s">
        <v>4</v>
      </c>
      <c r="K180" s="656"/>
    </row>
    <row r="181" spans="1:11" s="517" customFormat="1" outlineLevel="1" x14ac:dyDescent="0.25">
      <c r="A181" s="1585"/>
      <c r="B181" s="1586" t="s">
        <v>183</v>
      </c>
      <c r="C181" s="1587"/>
      <c r="D181" s="1588">
        <f>'Investice celkem  2021'!M119/1000</f>
        <v>660</v>
      </c>
      <c r="E181" s="1588"/>
      <c r="F181" s="1588"/>
      <c r="G181" s="1588"/>
      <c r="H181" s="1588"/>
      <c r="I181" s="1588"/>
      <c r="K181" s="656"/>
    </row>
    <row r="182" spans="1:11" s="517" customFormat="1" outlineLevel="1" x14ac:dyDescent="0.25">
      <c r="A182" s="1585"/>
      <c r="B182" s="1586" t="s">
        <v>184</v>
      </c>
      <c r="C182" s="1587"/>
      <c r="D182" s="1588"/>
      <c r="E182" s="1588">
        <f>+('Zásobník projektů 2016-2020'!I11+'Zásobník projektů 2016-2020'!I17+'Zásobník projektů 2016-2020'!I20+'Zásobník projektů 2016-2020'!I29)/1000-30+2000</f>
        <v>4000</v>
      </c>
      <c r="F182" s="1588">
        <v>6000</v>
      </c>
      <c r="G182" s="1588">
        <v>5000</v>
      </c>
      <c r="H182" s="1588">
        <v>5000</v>
      </c>
      <c r="I182" s="1588">
        <f>5000+820</f>
        <v>5820</v>
      </c>
      <c r="K182" s="656"/>
    </row>
    <row r="183" spans="1:11" s="517" customFormat="1" outlineLevel="1" x14ac:dyDescent="0.25">
      <c r="A183" s="1585"/>
      <c r="B183" s="1586" t="s">
        <v>187</v>
      </c>
      <c r="C183" s="1587"/>
      <c r="D183" s="1588">
        <f>'Investice celkem  2021'!M177/1000</f>
        <v>0</v>
      </c>
      <c r="E183" s="1588">
        <v>500</v>
      </c>
      <c r="F183" s="1588">
        <v>500</v>
      </c>
      <c r="G183" s="1588">
        <v>500</v>
      </c>
      <c r="H183" s="1588">
        <v>500</v>
      </c>
      <c r="I183" s="1588">
        <v>500</v>
      </c>
      <c r="K183" s="656"/>
    </row>
    <row r="184" spans="1:11" s="517" customFormat="1" outlineLevel="1" x14ac:dyDescent="0.25">
      <c r="A184" s="1585"/>
      <c r="B184" s="1589" t="s">
        <v>1090</v>
      </c>
      <c r="C184" s="1590"/>
      <c r="D184" s="1591"/>
      <c r="E184" s="1591"/>
      <c r="F184" s="1591"/>
      <c r="G184" s="1591"/>
      <c r="H184" s="1591"/>
      <c r="I184" s="1591"/>
      <c r="J184" s="517" t="s">
        <v>1275</v>
      </c>
      <c r="K184" s="656">
        <v>12655</v>
      </c>
    </row>
    <row r="185" spans="1:11" s="517" customFormat="1" outlineLevel="1" x14ac:dyDescent="0.25">
      <c r="A185" s="1585"/>
      <c r="B185" s="1586" t="s">
        <v>905</v>
      </c>
      <c r="C185" s="1587"/>
      <c r="D185" s="1588"/>
      <c r="E185" s="1588"/>
      <c r="F185" s="1588"/>
      <c r="G185" s="1588"/>
      <c r="H185" s="1588"/>
      <c r="I185" s="1588"/>
      <c r="K185" s="656"/>
    </row>
    <row r="186" spans="1:11" s="517" customFormat="1" outlineLevel="1" x14ac:dyDescent="0.25">
      <c r="A186" s="1585"/>
      <c r="B186" s="1586" t="s">
        <v>186</v>
      </c>
      <c r="C186" s="1587"/>
      <c r="D186" s="1588">
        <f>'Investice celkem  2021'!M190/1000</f>
        <v>850</v>
      </c>
      <c r="E186" s="1588">
        <v>561</v>
      </c>
      <c r="F186" s="1588">
        <v>1000</v>
      </c>
      <c r="G186" s="1588">
        <v>1000</v>
      </c>
      <c r="H186" s="1588">
        <v>1000</v>
      </c>
      <c r="I186" s="1588"/>
      <c r="K186" s="656"/>
    </row>
    <row r="187" spans="1:11" s="517" customFormat="1" outlineLevel="1" x14ac:dyDescent="0.25">
      <c r="A187" s="1585"/>
      <c r="B187" s="1586" t="s">
        <v>185</v>
      </c>
      <c r="C187" s="1587"/>
      <c r="D187" s="1588">
        <f>'Investice celkem  2021'!M193/1000</f>
        <v>0</v>
      </c>
      <c r="E187" s="1588">
        <v>50</v>
      </c>
      <c r="F187" s="1588">
        <v>1001</v>
      </c>
      <c r="G187" s="1588">
        <v>756</v>
      </c>
      <c r="H187" s="1588">
        <v>644</v>
      </c>
      <c r="I187" s="1588"/>
      <c r="K187" s="656"/>
    </row>
    <row r="188" spans="1:11" s="517" customFormat="1" outlineLevel="1" x14ac:dyDescent="0.25">
      <c r="A188" s="1585"/>
      <c r="B188" s="1586" t="s">
        <v>182</v>
      </c>
      <c r="C188" s="1587"/>
      <c r="D188" s="1588">
        <f>'Investice celkem  2021'!M194/1000</f>
        <v>250</v>
      </c>
      <c r="E188" s="1588">
        <v>250</v>
      </c>
      <c r="F188" s="1588">
        <v>0</v>
      </c>
      <c r="G188" s="1588">
        <v>0</v>
      </c>
      <c r="H188" s="1588">
        <v>0</v>
      </c>
      <c r="I188" s="1588">
        <v>0</v>
      </c>
      <c r="K188" s="656"/>
    </row>
    <row r="189" spans="1:11" s="517" customFormat="1" outlineLevel="1" x14ac:dyDescent="0.25">
      <c r="A189" s="1585"/>
      <c r="B189" s="1586" t="s">
        <v>194</v>
      </c>
      <c r="C189" s="1587"/>
      <c r="D189" s="1588">
        <f>'Investice celkem  2021'!M197/1000</f>
        <v>60</v>
      </c>
      <c r="E189" s="1588"/>
      <c r="F189" s="1588"/>
      <c r="G189" s="1588"/>
      <c r="H189" s="1588"/>
      <c r="I189" s="1588"/>
      <c r="K189" s="656"/>
    </row>
    <row r="190" spans="1:11" s="517" customFormat="1" outlineLevel="1" x14ac:dyDescent="0.25">
      <c r="A190" s="1585"/>
      <c r="B190" s="1586" t="s">
        <v>580</v>
      </c>
      <c r="C190" s="1587"/>
      <c r="D190" s="1588">
        <f>'Investice celkem  2021'!M200/1000</f>
        <v>0</v>
      </c>
      <c r="E190" s="1588">
        <v>0</v>
      </c>
      <c r="F190" s="1588">
        <v>0</v>
      </c>
      <c r="G190" s="1588">
        <v>0</v>
      </c>
      <c r="H190" s="1588">
        <v>0</v>
      </c>
      <c r="I190" s="1588">
        <v>0</v>
      </c>
      <c r="K190" s="656"/>
    </row>
    <row r="191" spans="1:11" s="517" customFormat="1" outlineLevel="1" x14ac:dyDescent="0.25">
      <c r="A191" s="1585"/>
      <c r="B191" s="1586" t="s">
        <v>931</v>
      </c>
      <c r="C191" s="1587"/>
      <c r="D191" s="1588">
        <f>'Investice celkem  2021'!M216/1000</f>
        <v>0</v>
      </c>
      <c r="E191" s="1588">
        <v>0</v>
      </c>
      <c r="F191" s="1588">
        <v>0</v>
      </c>
      <c r="G191" s="1588">
        <v>0</v>
      </c>
      <c r="H191" s="1588">
        <v>0</v>
      </c>
      <c r="I191" s="1588">
        <v>0</v>
      </c>
      <c r="K191" s="656"/>
    </row>
    <row r="192" spans="1:11" s="517" customFormat="1" outlineLevel="1" x14ac:dyDescent="0.25">
      <c r="A192" s="1585"/>
      <c r="B192" s="1589" t="s">
        <v>878</v>
      </c>
      <c r="C192" s="1590"/>
      <c r="D192" s="1591">
        <f>'Investice celkem  2021'!M231/1000-E192</f>
        <v>9828.1743599999991</v>
      </c>
      <c r="E192" s="1591">
        <f>+'Provozní Cash flow'!BJ35/1000</f>
        <v>-9828.1743599999991</v>
      </c>
      <c r="F192" s="1591">
        <v>0</v>
      </c>
      <c r="G192" s="1591">
        <v>0</v>
      </c>
      <c r="H192" s="1591">
        <v>0</v>
      </c>
      <c r="I192" s="1591">
        <v>0</v>
      </c>
      <c r="K192" s="656"/>
    </row>
    <row r="193" spans="1:11" s="517" customFormat="1" outlineLevel="1" x14ac:dyDescent="0.25">
      <c r="A193" s="1585"/>
      <c r="B193" s="1586" t="s">
        <v>195</v>
      </c>
      <c r="C193" s="1587"/>
      <c r="D193" s="1588">
        <f>'Investice celkem  2021'!M236/1000</f>
        <v>0</v>
      </c>
      <c r="E193" s="1588"/>
      <c r="F193" s="1588"/>
      <c r="G193" s="1588"/>
      <c r="H193" s="1588"/>
      <c r="I193" s="1588"/>
      <c r="K193" s="656"/>
    </row>
    <row r="194" spans="1:11" s="517" customFormat="1" outlineLevel="1" x14ac:dyDescent="0.25">
      <c r="A194" s="1585"/>
      <c r="B194" s="1586" t="s">
        <v>1201</v>
      </c>
      <c r="C194" s="1587"/>
      <c r="D194" s="1588">
        <v>0</v>
      </c>
      <c r="E194" s="1588">
        <v>800</v>
      </c>
      <c r="F194" s="1588">
        <v>0</v>
      </c>
      <c r="G194" s="1588">
        <v>0</v>
      </c>
      <c r="H194" s="1588">
        <v>0</v>
      </c>
      <c r="I194" s="1588">
        <v>0</v>
      </c>
      <c r="K194" s="656"/>
    </row>
    <row r="195" spans="1:11" s="517" customFormat="1" ht="18.75" customHeight="1" outlineLevel="1" x14ac:dyDescent="0.25">
      <c r="B195" s="1551" t="s">
        <v>1184</v>
      </c>
      <c r="C195" s="1552">
        <v>6130</v>
      </c>
      <c r="D195" s="869"/>
      <c r="E195" s="869">
        <v>0</v>
      </c>
      <c r="F195" s="869">
        <v>0</v>
      </c>
      <c r="G195" s="869">
        <v>0</v>
      </c>
      <c r="H195" s="869">
        <v>0</v>
      </c>
      <c r="I195" s="869">
        <v>0</v>
      </c>
      <c r="K195" s="656"/>
    </row>
    <row r="196" spans="1:11" s="517" customFormat="1" ht="21" customHeight="1" outlineLevel="1" x14ac:dyDescent="0.25">
      <c r="B196" s="1551" t="s">
        <v>1087</v>
      </c>
      <c r="C196" s="1552">
        <v>6351</v>
      </c>
      <c r="D196" s="869">
        <f>'Investice celkem  2021'!M14/1000</f>
        <v>2944</v>
      </c>
      <c r="E196" s="869">
        <v>2300</v>
      </c>
      <c r="F196" s="869">
        <v>2300</v>
      </c>
      <c r="G196" s="869">
        <v>0</v>
      </c>
      <c r="H196" s="869"/>
      <c r="I196" s="869"/>
      <c r="K196" s="656"/>
    </row>
    <row r="197" spans="1:11" s="526" customFormat="1" ht="15" customHeight="1" thickBot="1" x14ac:dyDescent="0.3">
      <c r="A197" s="1567" t="s">
        <v>273</v>
      </c>
      <c r="B197" s="1592" t="s">
        <v>274</v>
      </c>
      <c r="C197" s="1546"/>
      <c r="D197" s="1547">
        <f t="shared" ref="D197:I197" si="47">SUM(D198:D200)</f>
        <v>34287.727156199988</v>
      </c>
      <c r="E197" s="1547">
        <f t="shared" si="47"/>
        <v>18877.121446500008</v>
      </c>
      <c r="F197" s="1547">
        <f t="shared" si="47"/>
        <v>18250.063999999998</v>
      </c>
      <c r="G197" s="1547">
        <f t="shared" si="47"/>
        <v>18816.103999999999</v>
      </c>
      <c r="H197" s="1547">
        <f t="shared" si="47"/>
        <v>7407.0119999999997</v>
      </c>
      <c r="I197" s="1547">
        <f t="shared" si="47"/>
        <v>7407.0119999999997</v>
      </c>
      <c r="K197" s="726"/>
    </row>
    <row r="198" spans="1:11" s="663" customFormat="1" ht="16.5" customHeight="1" outlineLevel="1" x14ac:dyDescent="0.25">
      <c r="B198" s="1554" t="s">
        <v>974</v>
      </c>
      <c r="C198" s="1555">
        <v>8115</v>
      </c>
      <c r="D198" s="1556">
        <f>'Souhrn příjmů a výdajů 2021'!E148/1000</f>
        <v>1164.3511561999917</v>
      </c>
      <c r="E198" s="1556">
        <f>'Souhrn příjmů a výdajů 2021'!I148/1000</f>
        <v>-139.62255349998921</v>
      </c>
      <c r="F198" s="1556"/>
      <c r="G198" s="1556"/>
      <c r="H198" s="1556"/>
      <c r="I198" s="1556"/>
      <c r="K198" s="667"/>
    </row>
    <row r="199" spans="1:11" ht="16.5" customHeight="1" outlineLevel="1" x14ac:dyDescent="0.25">
      <c r="B199" s="1553" t="s">
        <v>148</v>
      </c>
      <c r="C199" s="863">
        <v>8115</v>
      </c>
      <c r="D199" s="1556">
        <f>'Souhrn příjmů a výdajů 2021'!E149/1000</f>
        <v>0</v>
      </c>
      <c r="E199" s="1556">
        <f>'Souhrn příjmů a výdajů 2021'!I149/1000</f>
        <v>0</v>
      </c>
      <c r="F199" s="858"/>
      <c r="G199" s="858"/>
      <c r="H199" s="858"/>
      <c r="I199" s="858"/>
    </row>
    <row r="200" spans="1:11" s="663" customFormat="1" ht="16.5" customHeight="1" outlineLevel="1" x14ac:dyDescent="0.25">
      <c r="B200" s="1554" t="s">
        <v>146</v>
      </c>
      <c r="C200" s="1555" t="s">
        <v>145</v>
      </c>
      <c r="D200" s="1556">
        <f>'Souhrn příjmů a výdajů 2021'!E150/1000</f>
        <v>33123.375999999997</v>
      </c>
      <c r="E200" s="1556">
        <f>'Souhrn příjmů a výdajů 2021'!I150/1000</f>
        <v>19016.743999999999</v>
      </c>
      <c r="F200" s="1556">
        <f>+('Úvěry města'!G13+'Úvěry města'!G15+'Úvěry města'!G18)/1000</f>
        <v>18250.063999999998</v>
      </c>
      <c r="G200" s="1556">
        <f>+('Úvěry města'!H13+'Úvěry města'!H15+'Úvěry města'!H18)/1000</f>
        <v>18816.103999999999</v>
      </c>
      <c r="H200" s="1556">
        <f>+('Úvěry města'!I13+'Úvěry města'!I15+'Úvěry města'!I18)/1000</f>
        <v>7407.0119999999997</v>
      </c>
      <c r="I200" s="1556">
        <f>+('Úvěry města'!J13+'Úvěry města'!J15+'Úvěry města'!J18)/1000</f>
        <v>7407.0119999999997</v>
      </c>
      <c r="K200" s="667"/>
    </row>
    <row r="201" spans="1:11" s="526" customFormat="1" ht="14.25" customHeight="1" thickBot="1" x14ac:dyDescent="0.3">
      <c r="A201" s="1564" t="s">
        <v>284</v>
      </c>
      <c r="B201" s="1564"/>
      <c r="C201" s="1565"/>
      <c r="D201" s="1566">
        <f t="shared" ref="D201:I201" si="48">+D197+D164+D120</f>
        <v>240134.66225999998</v>
      </c>
      <c r="E201" s="1566">
        <f t="shared" si="48"/>
        <v>158141.17800000001</v>
      </c>
      <c r="F201" s="1566">
        <f t="shared" si="48"/>
        <v>173244.56155488</v>
      </c>
      <c r="G201" s="1566">
        <f t="shared" si="48"/>
        <v>162485.61527767521</v>
      </c>
      <c r="H201" s="1566">
        <f t="shared" si="48"/>
        <v>166858.79810243862</v>
      </c>
      <c r="I201" s="1566">
        <f t="shared" si="48"/>
        <v>172962.38447172934</v>
      </c>
      <c r="K201" s="726"/>
    </row>
    <row r="202" spans="1:11" s="526" customFormat="1" ht="14.25" thickBot="1" x14ac:dyDescent="0.3">
      <c r="A202" s="1593" t="s">
        <v>847</v>
      </c>
      <c r="B202" s="1593"/>
      <c r="C202" s="1594"/>
      <c r="D202" s="1595" t="e">
        <f t="shared" ref="D202:I202" si="49">+D117-D201</f>
        <v>#REF!</v>
      </c>
      <c r="E202" s="1595" t="e">
        <f t="shared" si="49"/>
        <v>#REF!</v>
      </c>
      <c r="F202" s="1595" t="e">
        <f t="shared" si="49"/>
        <v>#REF!</v>
      </c>
      <c r="G202" s="1595" t="e">
        <f t="shared" si="49"/>
        <v>#REF!</v>
      </c>
      <c r="H202" s="1595" t="e">
        <f t="shared" si="49"/>
        <v>#REF!</v>
      </c>
      <c r="I202" s="1595" t="e">
        <f t="shared" si="49"/>
        <v>#REF!</v>
      </c>
      <c r="K202" s="726"/>
    </row>
    <row r="203" spans="1:11" s="517" customFormat="1" x14ac:dyDescent="0.25">
      <c r="C203" s="654"/>
      <c r="D203" s="656"/>
      <c r="E203" s="656"/>
      <c r="F203" s="656"/>
      <c r="G203" s="656"/>
      <c r="H203" s="656"/>
      <c r="I203" s="656"/>
      <c r="K203" s="656"/>
    </row>
    <row r="205" spans="1:11" s="663" customFormat="1" x14ac:dyDescent="0.25">
      <c r="B205" s="663" t="s">
        <v>1186</v>
      </c>
      <c r="C205" s="665"/>
      <c r="D205" s="667" t="e">
        <f t="shared" ref="D205:I205" si="50">+D5+D25+D82+D87+D88</f>
        <v>#REF!</v>
      </c>
      <c r="E205" s="667" t="e">
        <f t="shared" si="50"/>
        <v>#REF!</v>
      </c>
      <c r="F205" s="667" t="e">
        <f t="shared" si="50"/>
        <v>#REF!</v>
      </c>
      <c r="G205" s="667" t="e">
        <f t="shared" si="50"/>
        <v>#REF!</v>
      </c>
      <c r="H205" s="667" t="e">
        <f t="shared" si="50"/>
        <v>#REF!</v>
      </c>
      <c r="I205" s="667" t="e">
        <f t="shared" si="50"/>
        <v>#REF!</v>
      </c>
      <c r="K205" s="667"/>
    </row>
    <row r="206" spans="1:11" s="517" customFormat="1" x14ac:dyDescent="0.25">
      <c r="B206" s="517" t="s">
        <v>1187</v>
      </c>
      <c r="C206" s="654"/>
      <c r="D206" s="656">
        <f t="shared" ref="D206:I206" si="51">+D120</f>
        <v>120792.2671038</v>
      </c>
      <c r="E206" s="656">
        <f t="shared" si="51"/>
        <v>123067.9478735</v>
      </c>
      <c r="F206" s="656">
        <f t="shared" si="51"/>
        <v>128193.49755487998</v>
      </c>
      <c r="G206" s="656">
        <f t="shared" si="51"/>
        <v>130413.51127767521</v>
      </c>
      <c r="H206" s="656">
        <f t="shared" si="51"/>
        <v>132307.78610243861</v>
      </c>
      <c r="I206" s="656">
        <f t="shared" si="51"/>
        <v>134235.37247172932</v>
      </c>
      <c r="K206" s="656"/>
    </row>
    <row r="207" spans="1:11" s="526" customFormat="1" ht="14.25" thickBot="1" x14ac:dyDescent="0.3">
      <c r="B207" s="1593" t="s">
        <v>1188</v>
      </c>
      <c r="C207" s="1594"/>
      <c r="D207" s="1596" t="e">
        <f>+D205-D206</f>
        <v>#REF!</v>
      </c>
      <c r="E207" s="1596" t="e">
        <f t="shared" ref="E207:I207" si="52">+E205-E206</f>
        <v>#REF!</v>
      </c>
      <c r="F207" s="1596" t="e">
        <f t="shared" si="52"/>
        <v>#REF!</v>
      </c>
      <c r="G207" s="1596" t="e">
        <f t="shared" si="52"/>
        <v>#REF!</v>
      </c>
      <c r="H207" s="1596" t="e">
        <f t="shared" si="52"/>
        <v>#REF!</v>
      </c>
      <c r="I207" s="1596" t="e">
        <f t="shared" si="52"/>
        <v>#REF!</v>
      </c>
      <c r="K207" s="726"/>
    </row>
    <row r="209" spans="2:11" s="663" customFormat="1" x14ac:dyDescent="0.25">
      <c r="B209" s="663" t="s">
        <v>1189</v>
      </c>
      <c r="C209" s="665"/>
      <c r="D209" s="667">
        <f>+D200</f>
        <v>33123.375999999997</v>
      </c>
      <c r="E209" s="667">
        <f t="shared" ref="E209:I209" si="53">+E200</f>
        <v>19016.743999999999</v>
      </c>
      <c r="F209" s="667">
        <f t="shared" si="53"/>
        <v>18250.063999999998</v>
      </c>
      <c r="G209" s="667">
        <f t="shared" si="53"/>
        <v>18816.103999999999</v>
      </c>
      <c r="H209" s="667">
        <f t="shared" si="53"/>
        <v>7407.0119999999997</v>
      </c>
      <c r="I209" s="667">
        <f t="shared" si="53"/>
        <v>7407.0119999999997</v>
      </c>
      <c r="K209" s="667"/>
    </row>
    <row r="210" spans="2:11" ht="14.25" thickBot="1" x14ac:dyDescent="0.3">
      <c r="B210" s="1593" t="s">
        <v>1190</v>
      </c>
      <c r="C210" s="1594"/>
      <c r="D210" s="1596" t="e">
        <f>+D207-D209</f>
        <v>#REF!</v>
      </c>
      <c r="E210" s="1596" t="e">
        <f t="shared" ref="E210:I210" si="54">+E207-E209</f>
        <v>#REF!</v>
      </c>
      <c r="F210" s="1596" t="e">
        <f t="shared" si="54"/>
        <v>#REF!</v>
      </c>
      <c r="G210" s="1596" t="e">
        <f t="shared" si="54"/>
        <v>#REF!</v>
      </c>
      <c r="H210" s="1596" t="e">
        <f t="shared" si="54"/>
        <v>#REF!</v>
      </c>
      <c r="I210" s="1596" t="e">
        <f t="shared" si="54"/>
        <v>#REF!</v>
      </c>
    </row>
    <row r="212" spans="2:11" s="663" customFormat="1" x14ac:dyDescent="0.25">
      <c r="B212" s="663" t="s">
        <v>1200</v>
      </c>
      <c r="C212" s="665"/>
      <c r="D212" s="667" t="e">
        <f>+D86-D87-D88</f>
        <v>#REF!</v>
      </c>
      <c r="E212" s="667" t="e">
        <f>+E86-E87-E88</f>
        <v>#REF!</v>
      </c>
      <c r="F212" s="667" t="e">
        <f>+F86-F87-F88</f>
        <v>#REF!</v>
      </c>
      <c r="G212" s="667" t="e">
        <f t="shared" ref="G212:I212" si="55">+G86-G87-G88</f>
        <v>#REF!</v>
      </c>
      <c r="H212" s="667" t="e">
        <f t="shared" si="55"/>
        <v>#REF!</v>
      </c>
      <c r="I212" s="667" t="e">
        <f t="shared" si="55"/>
        <v>#REF!</v>
      </c>
      <c r="K212" s="667"/>
    </row>
    <row r="213" spans="2:11" s="517" customFormat="1" x14ac:dyDescent="0.25">
      <c r="B213" s="517" t="s">
        <v>3</v>
      </c>
      <c r="C213" s="654"/>
      <c r="D213" s="656">
        <f t="shared" ref="D213:I213" si="56">+D164</f>
        <v>85054.668000000005</v>
      </c>
      <c r="E213" s="656">
        <f t="shared" si="56"/>
        <v>16196.108679999999</v>
      </c>
      <c r="F213" s="656">
        <f t="shared" si="56"/>
        <v>26801</v>
      </c>
      <c r="G213" s="656">
        <f t="shared" si="56"/>
        <v>13256</v>
      </c>
      <c r="H213" s="656">
        <f t="shared" si="56"/>
        <v>27144</v>
      </c>
      <c r="I213" s="656">
        <f t="shared" si="56"/>
        <v>31320</v>
      </c>
      <c r="K213" s="656"/>
    </row>
    <row r="214" spans="2:11" ht="14.25" thickBot="1" x14ac:dyDescent="0.3">
      <c r="B214" s="1593" t="s">
        <v>1192</v>
      </c>
      <c r="C214" s="1594"/>
      <c r="D214" s="1597" t="e">
        <f>+D210+D212-D213</f>
        <v>#REF!</v>
      </c>
      <c r="E214" s="1597" t="e">
        <f t="shared" ref="E214:I214" si="57">+E210+E212-E213</f>
        <v>#REF!</v>
      </c>
      <c r="F214" s="1597" t="e">
        <f t="shared" si="57"/>
        <v>#REF!</v>
      </c>
      <c r="G214" s="1597" t="e">
        <f t="shared" si="57"/>
        <v>#REF!</v>
      </c>
      <c r="H214" s="1597" t="e">
        <f>+H210+H212-H213</f>
        <v>#REF!</v>
      </c>
      <c r="I214" s="1597" t="e">
        <f t="shared" si="57"/>
        <v>#REF!</v>
      </c>
    </row>
    <row r="216" spans="2:11" ht="14.25" thickBot="1" x14ac:dyDescent="0.3">
      <c r="B216" s="1564" t="s">
        <v>1193</v>
      </c>
      <c r="C216" s="1565"/>
      <c r="D216" s="1598">
        <f>+D217+D218</f>
        <v>35743.546000000002</v>
      </c>
      <c r="E216" s="1598">
        <f t="shared" ref="E216:I216" si="58">+E217+E218</f>
        <v>11000</v>
      </c>
      <c r="F216" s="1598">
        <f t="shared" si="58"/>
        <v>10000</v>
      </c>
      <c r="G216" s="1598">
        <f t="shared" si="58"/>
        <v>12000</v>
      </c>
      <c r="H216" s="1598">
        <f t="shared" si="58"/>
        <v>15000</v>
      </c>
      <c r="I216" s="1598">
        <f t="shared" si="58"/>
        <v>15000</v>
      </c>
    </row>
    <row r="217" spans="2:11" s="663" customFormat="1" x14ac:dyDescent="0.25">
      <c r="B217" s="663" t="s">
        <v>1194</v>
      </c>
      <c r="C217" s="665"/>
      <c r="D217" s="667">
        <f t="shared" ref="D217:I217" si="59">+D114</f>
        <v>5743.5460000000003</v>
      </c>
      <c r="E217" s="667">
        <f t="shared" si="59"/>
        <v>11000</v>
      </c>
      <c r="F217" s="667">
        <f t="shared" si="59"/>
        <v>10000</v>
      </c>
      <c r="G217" s="667">
        <f t="shared" si="59"/>
        <v>12000</v>
      </c>
      <c r="H217" s="667">
        <f t="shared" si="59"/>
        <v>15000</v>
      </c>
      <c r="I217" s="667">
        <f t="shared" si="59"/>
        <v>15000</v>
      </c>
      <c r="K217" s="667"/>
    </row>
    <row r="218" spans="2:11" s="517" customFormat="1" x14ac:dyDescent="0.25">
      <c r="B218" s="517" t="s">
        <v>1195</v>
      </c>
      <c r="C218" s="654"/>
      <c r="D218" s="656">
        <f t="shared" ref="D218:I218" si="60">+D116</f>
        <v>30000</v>
      </c>
      <c r="E218" s="656">
        <f t="shared" si="60"/>
        <v>0</v>
      </c>
      <c r="F218" s="656">
        <f t="shared" si="60"/>
        <v>0</v>
      </c>
      <c r="G218" s="656">
        <f t="shared" si="60"/>
        <v>0</v>
      </c>
      <c r="H218" s="656">
        <f t="shared" si="60"/>
        <v>0</v>
      </c>
      <c r="I218" s="656">
        <f t="shared" si="60"/>
        <v>0</v>
      </c>
      <c r="K218" s="656"/>
    </row>
    <row r="220" spans="2:11" s="663" customFormat="1" x14ac:dyDescent="0.25">
      <c r="B220" s="663" t="s">
        <v>792</v>
      </c>
      <c r="C220" s="665"/>
      <c r="D220" s="667" t="e">
        <f t="shared" ref="D220:I220" si="61">+D5-D20+D25+D82+D86</f>
        <v>#REF!</v>
      </c>
      <c r="E220" s="667" t="e">
        <f t="shared" si="61"/>
        <v>#REF!</v>
      </c>
      <c r="F220" s="667" t="e">
        <f t="shared" si="61"/>
        <v>#REF!</v>
      </c>
      <c r="G220" s="667" t="e">
        <f t="shared" si="61"/>
        <v>#REF!</v>
      </c>
      <c r="H220" s="667" t="e">
        <f t="shared" si="61"/>
        <v>#REF!</v>
      </c>
      <c r="I220" s="667" t="e">
        <f t="shared" si="61"/>
        <v>#REF!</v>
      </c>
      <c r="K220" s="667"/>
    </row>
    <row r="221" spans="2:11" s="517" customFormat="1" x14ac:dyDescent="0.25">
      <c r="B221" s="517" t="s">
        <v>1196</v>
      </c>
      <c r="C221" s="654"/>
      <c r="D221" s="656">
        <f t="shared" ref="D221:I221" si="62">+D200+D162</f>
        <v>35523.024303799997</v>
      </c>
      <c r="E221" s="656">
        <f t="shared" si="62"/>
        <v>21075.266174999997</v>
      </c>
      <c r="F221" s="656">
        <f t="shared" si="62"/>
        <v>20155.616234999998</v>
      </c>
      <c r="G221" s="656">
        <f t="shared" si="62"/>
        <v>20493.556832599999</v>
      </c>
      <c r="H221" s="656">
        <f t="shared" si="62"/>
        <v>8842.1578262000003</v>
      </c>
      <c r="I221" s="656">
        <f t="shared" si="62"/>
        <v>8613.1571279999989</v>
      </c>
      <c r="K221" s="656"/>
    </row>
    <row r="222" spans="2:11" ht="14.25" thickBot="1" x14ac:dyDescent="0.3">
      <c r="B222" s="1593" t="s">
        <v>1197</v>
      </c>
      <c r="C222" s="1594"/>
      <c r="D222" s="1599" t="e">
        <f>+D221/D220</f>
        <v>#REF!</v>
      </c>
      <c r="E222" s="1599" t="e">
        <f t="shared" ref="E222:I222" si="63">+E221/E220</f>
        <v>#REF!</v>
      </c>
      <c r="F222" s="1599" t="e">
        <f t="shared" si="63"/>
        <v>#REF!</v>
      </c>
      <c r="G222" s="1599" t="e">
        <f t="shared" si="63"/>
        <v>#REF!</v>
      </c>
      <c r="H222" s="1599" t="e">
        <f t="shared" si="63"/>
        <v>#REF!</v>
      </c>
      <c r="I222" s="1599" t="e">
        <f t="shared" si="63"/>
        <v>#REF!</v>
      </c>
    </row>
  </sheetData>
  <pageMargins left="0.31496062992125984" right="0.31496062992125984" top="0.19685039370078741" bottom="0.19685039370078741" header="0.31496062992125984" footer="0.31496062992125984"/>
  <pageSetup paperSize="9" scale="59" fitToHeight="3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topLeftCell="A49" zoomScale="83" zoomScaleNormal="83" workbookViewId="0">
      <selection activeCell="A13" sqref="A13:XFD13"/>
    </sheetView>
  </sheetViews>
  <sheetFormatPr defaultColWidth="8.85546875" defaultRowHeight="13.5" x14ac:dyDescent="0.25"/>
  <cols>
    <col min="1" max="1" width="4.140625" style="625" customWidth="1"/>
    <col min="2" max="2" width="47.5703125" style="625" customWidth="1"/>
    <col min="3" max="3" width="18.5703125" style="625" bestFit="1" customWidth="1"/>
    <col min="4" max="4" width="16.5703125" style="625" customWidth="1"/>
    <col min="5" max="5" width="22.85546875" style="625" customWidth="1"/>
    <col min="6" max="6" width="19.42578125" style="625" bestFit="1" customWidth="1"/>
    <col min="7" max="7" width="27.7109375" style="625" customWidth="1"/>
    <col min="8" max="8" width="21.140625" style="625" bestFit="1" customWidth="1"/>
    <col min="9" max="9" width="17.85546875" style="625" bestFit="1" customWidth="1"/>
    <col min="10" max="10" width="22.7109375" style="625" bestFit="1" customWidth="1"/>
    <col min="11" max="11" width="5.5703125" style="625" bestFit="1" customWidth="1"/>
    <col min="12" max="12" width="5.140625" style="625" bestFit="1" customWidth="1"/>
    <col min="13" max="13" width="16.7109375" style="625" bestFit="1" customWidth="1"/>
    <col min="14" max="14" width="15.5703125" style="625" bestFit="1" customWidth="1"/>
    <col min="15" max="15" width="15" style="625" bestFit="1" customWidth="1"/>
    <col min="16" max="16" width="11.42578125" style="625" bestFit="1" customWidth="1"/>
    <col min="17" max="17" width="7.42578125" style="625" bestFit="1" customWidth="1"/>
    <col min="18" max="18" width="9.140625" style="625" bestFit="1" customWidth="1"/>
    <col min="19" max="19" width="9" style="625" bestFit="1" customWidth="1"/>
    <col min="20" max="20" width="4.42578125" style="625" bestFit="1" customWidth="1"/>
    <col min="21" max="21" width="9" style="625" bestFit="1" customWidth="1"/>
    <col min="22" max="16384" width="8.85546875" style="625"/>
  </cols>
  <sheetData>
    <row r="1" spans="2:25" x14ac:dyDescent="0.25">
      <c r="B1" s="1600" t="s">
        <v>947</v>
      </c>
    </row>
    <row r="2" spans="2:25" x14ac:dyDescent="0.25">
      <c r="B2" s="1601" t="s">
        <v>614</v>
      </c>
    </row>
    <row r="3" spans="2:25" x14ac:dyDescent="0.25">
      <c r="B3" s="1601" t="s">
        <v>1183</v>
      </c>
    </row>
    <row r="4" spans="2:25" x14ac:dyDescent="0.25">
      <c r="B4" s="1602" t="s">
        <v>427</v>
      </c>
    </row>
    <row r="5" spans="2:25" x14ac:dyDescent="0.25">
      <c r="B5" s="1467"/>
      <c r="C5" s="1467"/>
      <c r="D5" s="1467"/>
      <c r="E5" s="1467"/>
      <c r="F5" s="1467"/>
      <c r="G5" s="1467"/>
      <c r="H5" s="1467"/>
      <c r="I5" s="1467"/>
      <c r="J5" s="1467"/>
      <c r="K5" s="2327" t="s">
        <v>428</v>
      </c>
      <c r="L5" s="2327"/>
      <c r="M5" s="2327"/>
      <c r="N5" s="2327"/>
      <c r="O5" s="2327"/>
      <c r="P5" s="1467"/>
      <c r="Q5" s="1467"/>
      <c r="R5" s="1467"/>
      <c r="S5" s="1467"/>
      <c r="T5" s="1467"/>
      <c r="U5" s="1467"/>
      <c r="W5" s="1600" t="s">
        <v>429</v>
      </c>
    </row>
    <row r="6" spans="2:25" s="1604" customFormat="1" x14ac:dyDescent="0.25">
      <c r="B6" s="1603" t="s">
        <v>948</v>
      </c>
      <c r="K6" s="1605"/>
      <c r="L6" s="1605"/>
      <c r="M6" s="1605"/>
      <c r="N6" s="1605"/>
      <c r="O6" s="1605"/>
      <c r="W6" s="1603"/>
    </row>
    <row r="7" spans="2:25" s="1606" customFormat="1" ht="14.25" thickBot="1" x14ac:dyDescent="0.3">
      <c r="K7" s="1607"/>
      <c r="L7" s="1607"/>
      <c r="M7" s="1607"/>
      <c r="N7" s="1607"/>
      <c r="O7" s="1607"/>
      <c r="W7" s="1608"/>
    </row>
    <row r="8" spans="2:25" ht="14.25" thickBot="1" x14ac:dyDescent="0.3">
      <c r="B8" s="1609" t="s">
        <v>430</v>
      </c>
      <c r="C8" s="1610" t="s">
        <v>431</v>
      </c>
      <c r="D8" s="1610" t="s">
        <v>432</v>
      </c>
      <c r="E8" s="1610" t="s">
        <v>433</v>
      </c>
      <c r="F8" s="1610" t="s">
        <v>434</v>
      </c>
      <c r="G8" s="1610" t="s">
        <v>435</v>
      </c>
      <c r="H8" s="1610" t="s">
        <v>436</v>
      </c>
      <c r="I8" s="1610" t="s">
        <v>437</v>
      </c>
      <c r="J8" s="1610" t="s">
        <v>438</v>
      </c>
      <c r="K8" s="1611" t="s">
        <v>106</v>
      </c>
      <c r="L8" s="1611" t="s">
        <v>107</v>
      </c>
      <c r="M8" s="1611" t="s">
        <v>439</v>
      </c>
      <c r="N8" s="1611" t="s">
        <v>440</v>
      </c>
      <c r="O8" s="1611" t="s">
        <v>441</v>
      </c>
      <c r="P8" s="1610" t="s">
        <v>442</v>
      </c>
      <c r="Q8" s="1610" t="s">
        <v>443</v>
      </c>
      <c r="R8" s="1610" t="s">
        <v>444</v>
      </c>
      <c r="S8" s="1610" t="s">
        <v>445</v>
      </c>
      <c r="T8" s="1612" t="s">
        <v>170</v>
      </c>
      <c r="U8" s="1613" t="s">
        <v>446</v>
      </c>
      <c r="W8" s="1600" t="s">
        <v>435</v>
      </c>
      <c r="Y8" s="1601" t="s">
        <v>447</v>
      </c>
    </row>
    <row r="9" spans="2:25" x14ac:dyDescent="0.25">
      <c r="B9" s="1614" t="s">
        <v>615</v>
      </c>
      <c r="C9" s="1615"/>
      <c r="D9" s="1615">
        <v>1</v>
      </c>
      <c r="E9" s="1616">
        <v>25000000</v>
      </c>
      <c r="F9" s="1616">
        <f>0.85*E9</f>
        <v>21250000</v>
      </c>
      <c r="G9" s="1616">
        <v>23500000</v>
      </c>
      <c r="H9" s="1616">
        <f t="shared" ref="H9:H33" si="0">E9-F9</f>
        <v>3750000</v>
      </c>
      <c r="I9" s="1616">
        <f t="shared" ref="I9:I33" si="1">G9-F9</f>
        <v>2250000</v>
      </c>
      <c r="J9" s="1617" t="s">
        <v>452</v>
      </c>
      <c r="K9" s="1618" t="s">
        <v>449</v>
      </c>
      <c r="L9" s="1618" t="s">
        <v>449</v>
      </c>
      <c r="M9" s="1618" t="s">
        <v>449</v>
      </c>
      <c r="N9" s="1618" t="s">
        <v>449</v>
      </c>
      <c r="O9" s="1618" t="s">
        <v>449</v>
      </c>
      <c r="P9" s="1619" t="s">
        <v>475</v>
      </c>
      <c r="Q9" s="1619" t="s">
        <v>454</v>
      </c>
      <c r="R9" s="1619" t="s">
        <v>454</v>
      </c>
      <c r="S9" s="1619" t="s">
        <v>454</v>
      </c>
      <c r="T9" s="1620" t="s">
        <v>454</v>
      </c>
      <c r="U9" s="1621"/>
      <c r="W9" s="1600"/>
      <c r="Y9" s="1601"/>
    </row>
    <row r="10" spans="2:25" x14ac:dyDescent="0.25">
      <c r="B10" s="1614" t="s">
        <v>1199</v>
      </c>
      <c r="C10" s="1615"/>
      <c r="D10" s="1615"/>
      <c r="E10" s="1616">
        <v>2000000</v>
      </c>
      <c r="F10" s="1616">
        <v>0</v>
      </c>
      <c r="G10" s="1616">
        <f>250000*4</f>
        <v>1000000</v>
      </c>
      <c r="H10" s="1616">
        <f t="shared" si="0"/>
        <v>2000000</v>
      </c>
      <c r="I10" s="1616">
        <f t="shared" si="1"/>
        <v>1000000</v>
      </c>
      <c r="J10" s="1622" t="s">
        <v>452</v>
      </c>
      <c r="K10" s="1618" t="s">
        <v>616</v>
      </c>
      <c r="L10" s="1618" t="s">
        <v>616</v>
      </c>
      <c r="M10" s="1618" t="s">
        <v>616</v>
      </c>
      <c r="N10" s="1618" t="s">
        <v>616</v>
      </c>
      <c r="O10" s="1623" t="s">
        <v>463</v>
      </c>
      <c r="P10" s="1619" t="s">
        <v>475</v>
      </c>
      <c r="Q10" s="1619" t="s">
        <v>454</v>
      </c>
      <c r="R10" s="1619" t="s">
        <v>454</v>
      </c>
      <c r="S10" s="1619" t="s">
        <v>454</v>
      </c>
      <c r="T10" s="1620" t="s">
        <v>454</v>
      </c>
      <c r="U10" s="1621">
        <v>2020</v>
      </c>
      <c r="W10" s="1600"/>
      <c r="Y10" s="1601"/>
    </row>
    <row r="11" spans="2:25" x14ac:dyDescent="0.25">
      <c r="B11" s="1624" t="s">
        <v>617</v>
      </c>
      <c r="C11" s="1615">
        <v>182</v>
      </c>
      <c r="D11" s="1615">
        <v>9</v>
      </c>
      <c r="E11" s="1616">
        <f>8961*C11*1.21</f>
        <v>1973391.42</v>
      </c>
      <c r="F11" s="1616">
        <v>0</v>
      </c>
      <c r="G11" s="1616">
        <v>450000</v>
      </c>
      <c r="H11" s="1616">
        <f t="shared" si="0"/>
        <v>1973391.42</v>
      </c>
      <c r="I11" s="1616">
        <f t="shared" si="1"/>
        <v>450000</v>
      </c>
      <c r="J11" s="1622" t="s">
        <v>452</v>
      </c>
      <c r="K11" s="1618" t="s">
        <v>449</v>
      </c>
      <c r="L11" s="1618" t="s">
        <v>449</v>
      </c>
      <c r="M11" s="1618" t="s">
        <v>449</v>
      </c>
      <c r="N11" s="1623" t="s">
        <v>463</v>
      </c>
      <c r="O11" s="1618" t="s">
        <v>449</v>
      </c>
      <c r="P11" s="1619" t="s">
        <v>475</v>
      </c>
      <c r="Q11" s="1619" t="s">
        <v>454</v>
      </c>
      <c r="R11" s="1619" t="s">
        <v>454</v>
      </c>
      <c r="S11" s="1619" t="s">
        <v>454</v>
      </c>
      <c r="T11" s="1620" t="s">
        <v>454</v>
      </c>
      <c r="U11" s="1621">
        <v>2020</v>
      </c>
      <c r="W11" s="1600"/>
      <c r="Y11" s="1601"/>
    </row>
    <row r="12" spans="2:25" x14ac:dyDescent="0.25">
      <c r="B12" s="1625" t="s">
        <v>618</v>
      </c>
      <c r="C12" s="1615">
        <v>356</v>
      </c>
      <c r="D12" s="1615">
        <v>11</v>
      </c>
      <c r="E12" s="1616">
        <f>12540*1.21*C12</f>
        <v>5401730.3999999994</v>
      </c>
      <c r="F12" s="1616">
        <v>0</v>
      </c>
      <c r="G12" s="1616">
        <v>900000</v>
      </c>
      <c r="H12" s="1616">
        <f t="shared" si="0"/>
        <v>5401730.3999999994</v>
      </c>
      <c r="I12" s="1626">
        <f t="shared" si="1"/>
        <v>900000</v>
      </c>
      <c r="J12" s="1622" t="s">
        <v>452</v>
      </c>
      <c r="K12" s="1618" t="s">
        <v>449</v>
      </c>
      <c r="L12" s="1618" t="s">
        <v>449</v>
      </c>
      <c r="M12" s="1618" t="s">
        <v>449</v>
      </c>
      <c r="N12" s="1623" t="s">
        <v>463</v>
      </c>
      <c r="O12" s="1618" t="s">
        <v>449</v>
      </c>
      <c r="P12" s="1619" t="s">
        <v>475</v>
      </c>
      <c r="Q12" s="1619" t="s">
        <v>454</v>
      </c>
      <c r="R12" s="1619" t="s">
        <v>454</v>
      </c>
      <c r="S12" s="1619" t="s">
        <v>454</v>
      </c>
      <c r="T12" s="1620" t="s">
        <v>454</v>
      </c>
      <c r="U12" s="1621"/>
      <c r="W12" s="1600"/>
      <c r="Y12" s="1601"/>
    </row>
    <row r="13" spans="2:25" s="2188" customFormat="1" x14ac:dyDescent="0.25">
      <c r="B13" s="2189" t="s">
        <v>619</v>
      </c>
      <c r="C13" s="2190">
        <v>220</v>
      </c>
      <c r="D13" s="2190">
        <v>15</v>
      </c>
      <c r="E13" s="2191">
        <f>8430*1.21*C13</f>
        <v>2244066</v>
      </c>
      <c r="F13" s="2191">
        <v>0</v>
      </c>
      <c r="G13" s="2191">
        <v>500000</v>
      </c>
      <c r="H13" s="2191">
        <f t="shared" si="0"/>
        <v>2244066</v>
      </c>
      <c r="I13" s="2192">
        <f t="shared" si="1"/>
        <v>500000</v>
      </c>
      <c r="J13" s="1640" t="s">
        <v>452</v>
      </c>
      <c r="K13" s="2193" t="s">
        <v>449</v>
      </c>
      <c r="L13" s="2193" t="s">
        <v>449</v>
      </c>
      <c r="M13" s="2193" t="s">
        <v>449</v>
      </c>
      <c r="N13" s="1623" t="s">
        <v>463</v>
      </c>
      <c r="O13" s="2193" t="s">
        <v>449</v>
      </c>
      <c r="P13" s="1619" t="s">
        <v>475</v>
      </c>
      <c r="Q13" s="1619" t="s">
        <v>454</v>
      </c>
      <c r="R13" s="1619" t="s">
        <v>454</v>
      </c>
      <c r="S13" s="1619" t="s">
        <v>454</v>
      </c>
      <c r="T13" s="1620" t="s">
        <v>454</v>
      </c>
      <c r="U13" s="2194"/>
      <c r="W13" s="2195"/>
      <c r="Y13" s="2196"/>
    </row>
    <row r="14" spans="2:25" x14ac:dyDescent="0.25">
      <c r="B14" s="1625" t="s">
        <v>620</v>
      </c>
      <c r="C14" s="1615">
        <v>169</v>
      </c>
      <c r="D14" s="1615">
        <v>16</v>
      </c>
      <c r="E14" s="1616">
        <f>9150*C14*1.21</f>
        <v>1871083.5</v>
      </c>
      <c r="F14" s="1616">
        <v>0</v>
      </c>
      <c r="G14" s="1616">
        <v>415000</v>
      </c>
      <c r="H14" s="1616">
        <f t="shared" si="0"/>
        <v>1871083.5</v>
      </c>
      <c r="I14" s="1616">
        <f t="shared" si="1"/>
        <v>415000</v>
      </c>
      <c r="J14" s="1622" t="s">
        <v>452</v>
      </c>
      <c r="K14" s="1618" t="s">
        <v>449</v>
      </c>
      <c r="L14" s="1618" t="s">
        <v>449</v>
      </c>
      <c r="M14" s="1618" t="s">
        <v>449</v>
      </c>
      <c r="N14" s="1623" t="s">
        <v>463</v>
      </c>
      <c r="O14" s="1618" t="s">
        <v>449</v>
      </c>
      <c r="P14" s="1619" t="s">
        <v>475</v>
      </c>
      <c r="Q14" s="1619" t="s">
        <v>454</v>
      </c>
      <c r="R14" s="1619" t="s">
        <v>454</v>
      </c>
      <c r="S14" s="1619" t="s">
        <v>454</v>
      </c>
      <c r="T14" s="1620" t="s">
        <v>454</v>
      </c>
      <c r="U14" s="1621">
        <v>2022</v>
      </c>
      <c r="W14" s="1600"/>
      <c r="Y14" s="1601"/>
    </row>
    <row r="15" spans="2:25" x14ac:dyDescent="0.25">
      <c r="B15" s="1625" t="s">
        <v>621</v>
      </c>
      <c r="C15" s="1615">
        <v>416</v>
      </c>
      <c r="D15" s="1615">
        <v>10</v>
      </c>
      <c r="E15" s="1616">
        <f>11310*1.21*C15</f>
        <v>5693001.6000000006</v>
      </c>
      <c r="F15" s="1616">
        <v>0</v>
      </c>
      <c r="G15" s="1616">
        <v>370000</v>
      </c>
      <c r="H15" s="1616">
        <f t="shared" si="0"/>
        <v>5693001.6000000006</v>
      </c>
      <c r="I15" s="1626">
        <f t="shared" si="1"/>
        <v>370000</v>
      </c>
      <c r="J15" s="1622" t="s">
        <v>452</v>
      </c>
      <c r="K15" s="1618" t="s">
        <v>449</v>
      </c>
      <c r="L15" s="1618" t="s">
        <v>449</v>
      </c>
      <c r="M15" s="1618" t="s">
        <v>449</v>
      </c>
      <c r="N15" s="1623" t="s">
        <v>463</v>
      </c>
      <c r="O15" s="1618" t="s">
        <v>449</v>
      </c>
      <c r="P15" s="1619" t="s">
        <v>475</v>
      </c>
      <c r="Q15" s="1619" t="s">
        <v>454</v>
      </c>
      <c r="R15" s="1619" t="s">
        <v>454</v>
      </c>
      <c r="S15" s="1619" t="s">
        <v>454</v>
      </c>
      <c r="T15" s="1620" t="s">
        <v>454</v>
      </c>
      <c r="U15" s="1621"/>
      <c r="W15" s="1600"/>
      <c r="Y15" s="1601"/>
    </row>
    <row r="16" spans="2:25" x14ac:dyDescent="0.25">
      <c r="B16" s="1625" t="s">
        <v>622</v>
      </c>
      <c r="C16" s="1615">
        <v>265</v>
      </c>
      <c r="D16" s="1615">
        <v>7</v>
      </c>
      <c r="E16" s="1616">
        <f>5490*1.21*C16</f>
        <v>1760368.5</v>
      </c>
      <c r="F16" s="1616">
        <v>0</v>
      </c>
      <c r="G16" s="1616">
        <v>180000</v>
      </c>
      <c r="H16" s="1616">
        <f t="shared" si="0"/>
        <v>1760368.5</v>
      </c>
      <c r="I16" s="1626">
        <f t="shared" si="1"/>
        <v>180000</v>
      </c>
      <c r="J16" s="1622" t="s">
        <v>452</v>
      </c>
      <c r="K16" s="1618" t="s">
        <v>449</v>
      </c>
      <c r="L16" s="1618" t="s">
        <v>449</v>
      </c>
      <c r="M16" s="1618" t="s">
        <v>449</v>
      </c>
      <c r="N16" s="1623" t="s">
        <v>463</v>
      </c>
      <c r="O16" s="1618" t="s">
        <v>449</v>
      </c>
      <c r="P16" s="1619" t="s">
        <v>475</v>
      </c>
      <c r="Q16" s="1619" t="s">
        <v>454</v>
      </c>
      <c r="R16" s="1619" t="s">
        <v>454</v>
      </c>
      <c r="S16" s="1619" t="s">
        <v>454</v>
      </c>
      <c r="T16" s="1620" t="s">
        <v>454</v>
      </c>
      <c r="U16" s="1621"/>
      <c r="W16" s="1600"/>
      <c r="Y16" s="1601"/>
    </row>
    <row r="17" spans="2:25" x14ac:dyDescent="0.25">
      <c r="B17" s="1624" t="s">
        <v>623</v>
      </c>
      <c r="C17" s="1615">
        <v>181</v>
      </c>
      <c r="D17" s="1615">
        <v>10</v>
      </c>
      <c r="E17" s="1616">
        <f>11310*1.21*C17</f>
        <v>2477003.1</v>
      </c>
      <c r="F17" s="1616">
        <v>0</v>
      </c>
      <c r="G17" s="1616">
        <v>550000</v>
      </c>
      <c r="H17" s="1616">
        <f t="shared" si="0"/>
        <v>2477003.1</v>
      </c>
      <c r="I17" s="1616">
        <f t="shared" si="1"/>
        <v>550000</v>
      </c>
      <c r="J17" s="1622" t="s">
        <v>452</v>
      </c>
      <c r="K17" s="1618" t="s">
        <v>449</v>
      </c>
      <c r="L17" s="1618" t="s">
        <v>449</v>
      </c>
      <c r="M17" s="1618" t="s">
        <v>449</v>
      </c>
      <c r="N17" s="1623" t="s">
        <v>463</v>
      </c>
      <c r="O17" s="1618" t="s">
        <v>449</v>
      </c>
      <c r="P17" s="1619" t="s">
        <v>475</v>
      </c>
      <c r="Q17" s="1619" t="s">
        <v>454</v>
      </c>
      <c r="R17" s="1619" t="s">
        <v>454</v>
      </c>
      <c r="S17" s="1619" t="s">
        <v>454</v>
      </c>
      <c r="T17" s="1620" t="s">
        <v>454</v>
      </c>
      <c r="U17" s="1621">
        <v>2020</v>
      </c>
      <c r="W17" s="1600"/>
      <c r="Y17" s="1601"/>
    </row>
    <row r="18" spans="2:25" x14ac:dyDescent="0.25">
      <c r="B18" s="1627" t="s">
        <v>624</v>
      </c>
      <c r="C18" s="1628">
        <v>363</v>
      </c>
      <c r="D18" s="1628">
        <v>10</v>
      </c>
      <c r="E18" s="1629">
        <f>11310*1.21*C18</f>
        <v>4967691.3</v>
      </c>
      <c r="F18" s="1629">
        <v>0</v>
      </c>
      <c r="G18" s="1629">
        <v>820000</v>
      </c>
      <c r="H18" s="1629">
        <f t="shared" si="0"/>
        <v>4967691.3</v>
      </c>
      <c r="I18" s="1629">
        <f t="shared" si="1"/>
        <v>820000</v>
      </c>
      <c r="J18" s="1630" t="s">
        <v>452</v>
      </c>
      <c r="K18" s="1631" t="s">
        <v>463</v>
      </c>
      <c r="L18" s="1632" t="s">
        <v>449</v>
      </c>
      <c r="M18" s="1631" t="s">
        <v>463</v>
      </c>
      <c r="N18" s="1631" t="s">
        <v>463</v>
      </c>
      <c r="O18" s="1632" t="s">
        <v>449</v>
      </c>
      <c r="P18" s="1633" t="s">
        <v>475</v>
      </c>
      <c r="Q18" s="1633" t="s">
        <v>454</v>
      </c>
      <c r="R18" s="1633" t="s">
        <v>454</v>
      </c>
      <c r="S18" s="1633" t="s">
        <v>454</v>
      </c>
      <c r="T18" s="1634" t="s">
        <v>454</v>
      </c>
      <c r="U18" s="1635">
        <v>2022</v>
      </c>
      <c r="W18" s="1600"/>
      <c r="Y18" s="1601"/>
    </row>
    <row r="19" spans="2:25" x14ac:dyDescent="0.25">
      <c r="B19" s="1627" t="s">
        <v>625</v>
      </c>
      <c r="C19" s="1628">
        <v>91</v>
      </c>
      <c r="D19" s="1628">
        <v>12</v>
      </c>
      <c r="E19" s="1629">
        <f>C19*1.21*12900</f>
        <v>1420419</v>
      </c>
      <c r="F19" s="1629">
        <v>0</v>
      </c>
      <c r="G19" s="1629">
        <v>245000</v>
      </c>
      <c r="H19" s="1629">
        <f t="shared" si="0"/>
        <v>1420419</v>
      </c>
      <c r="I19" s="1629">
        <f t="shared" si="1"/>
        <v>245000</v>
      </c>
      <c r="J19" s="1630" t="s">
        <v>452</v>
      </c>
      <c r="K19" s="1632" t="s">
        <v>449</v>
      </c>
      <c r="L19" s="1632" t="s">
        <v>449</v>
      </c>
      <c r="M19" s="1632" t="s">
        <v>449</v>
      </c>
      <c r="N19" s="1631" t="s">
        <v>463</v>
      </c>
      <c r="O19" s="1632" t="s">
        <v>449</v>
      </c>
      <c r="P19" s="1633" t="s">
        <v>475</v>
      </c>
      <c r="Q19" s="1633" t="s">
        <v>454</v>
      </c>
      <c r="R19" s="1633" t="s">
        <v>454</v>
      </c>
      <c r="S19" s="1633" t="s">
        <v>454</v>
      </c>
      <c r="T19" s="1634" t="s">
        <v>454</v>
      </c>
      <c r="U19" s="1635">
        <v>2022</v>
      </c>
      <c r="W19" s="1600"/>
      <c r="Y19" s="1601"/>
    </row>
    <row r="20" spans="2:25" x14ac:dyDescent="0.25">
      <c r="B20" s="1624" t="s">
        <v>626</v>
      </c>
      <c r="C20" s="1615">
        <v>176</v>
      </c>
      <c r="D20" s="1615">
        <v>17</v>
      </c>
      <c r="E20" s="1616">
        <f>10490*C20*1.21</f>
        <v>2233950.4</v>
      </c>
      <c r="F20" s="1616">
        <v>0</v>
      </c>
      <c r="G20" s="1616">
        <v>550000</v>
      </c>
      <c r="H20" s="1616">
        <f t="shared" si="0"/>
        <v>2233950.4</v>
      </c>
      <c r="I20" s="1616">
        <f t="shared" si="1"/>
        <v>550000</v>
      </c>
      <c r="J20" s="1622" t="s">
        <v>452</v>
      </c>
      <c r="K20" s="1618" t="s">
        <v>449</v>
      </c>
      <c r="L20" s="1618" t="s">
        <v>449</v>
      </c>
      <c r="M20" s="1618" t="s">
        <v>449</v>
      </c>
      <c r="N20" s="1623" t="s">
        <v>463</v>
      </c>
      <c r="O20" s="1618" t="s">
        <v>449</v>
      </c>
      <c r="P20" s="1619" t="s">
        <v>475</v>
      </c>
      <c r="Q20" s="1619" t="s">
        <v>454</v>
      </c>
      <c r="R20" s="1619" t="s">
        <v>454</v>
      </c>
      <c r="S20" s="1619" t="s">
        <v>454</v>
      </c>
      <c r="T20" s="1620" t="s">
        <v>454</v>
      </c>
      <c r="U20" s="1621">
        <v>2020</v>
      </c>
      <c r="W20" s="1600"/>
      <c r="Y20" s="1601"/>
    </row>
    <row r="21" spans="2:25" x14ac:dyDescent="0.25">
      <c r="B21" s="1625" t="s">
        <v>627</v>
      </c>
      <c r="C21" s="1615">
        <v>100</v>
      </c>
      <c r="D21" s="1615">
        <v>16</v>
      </c>
      <c r="E21" s="1616">
        <f>9150*C21*1.21</f>
        <v>1107150</v>
      </c>
      <c r="F21" s="1616">
        <v>0</v>
      </c>
      <c r="G21" s="1616">
        <v>211000</v>
      </c>
      <c r="H21" s="1616">
        <f>E21-F21</f>
        <v>1107150</v>
      </c>
      <c r="I21" s="1626">
        <f t="shared" si="1"/>
        <v>211000</v>
      </c>
      <c r="J21" s="1622" t="s">
        <v>452</v>
      </c>
      <c r="K21" s="1618" t="s">
        <v>449</v>
      </c>
      <c r="L21" s="1618" t="s">
        <v>449</v>
      </c>
      <c r="M21" s="1618" t="s">
        <v>449</v>
      </c>
      <c r="N21" s="1623" t="s">
        <v>463</v>
      </c>
      <c r="O21" s="1618" t="s">
        <v>449</v>
      </c>
      <c r="P21" s="1619" t="s">
        <v>475</v>
      </c>
      <c r="Q21" s="1619" t="s">
        <v>454</v>
      </c>
      <c r="R21" s="1619" t="s">
        <v>454</v>
      </c>
      <c r="S21" s="1619" t="s">
        <v>454</v>
      </c>
      <c r="T21" s="1620" t="s">
        <v>454</v>
      </c>
      <c r="U21" s="1621"/>
      <c r="W21" s="1600"/>
      <c r="Y21" s="1601"/>
    </row>
    <row r="22" spans="2:25" x14ac:dyDescent="0.25">
      <c r="B22" s="1627" t="s">
        <v>466</v>
      </c>
      <c r="C22" s="1628">
        <v>372</v>
      </c>
      <c r="D22" s="1628">
        <v>12</v>
      </c>
      <c r="E22" s="1629">
        <v>8400000</v>
      </c>
      <c r="F22" s="1629">
        <v>0</v>
      </c>
      <c r="G22" s="1629">
        <v>1380000</v>
      </c>
      <c r="H22" s="1626">
        <f>E22-F22</f>
        <v>8400000</v>
      </c>
      <c r="I22" s="1629">
        <f t="shared" si="1"/>
        <v>1380000</v>
      </c>
      <c r="J22" s="1630" t="s">
        <v>452</v>
      </c>
      <c r="K22" s="1632" t="s">
        <v>449</v>
      </c>
      <c r="L22" s="1632" t="s">
        <v>449</v>
      </c>
      <c r="M22" s="1632" t="s">
        <v>449</v>
      </c>
      <c r="N22" s="1631" t="s">
        <v>463</v>
      </c>
      <c r="O22" s="1632" t="s">
        <v>449</v>
      </c>
      <c r="P22" s="1633" t="s">
        <v>475</v>
      </c>
      <c r="Q22" s="1633" t="s">
        <v>454</v>
      </c>
      <c r="R22" s="1633" t="s">
        <v>454</v>
      </c>
      <c r="S22" s="1633" t="s">
        <v>454</v>
      </c>
      <c r="T22" s="1634" t="s">
        <v>454</v>
      </c>
      <c r="U22" s="1635">
        <v>2021</v>
      </c>
      <c r="W22" s="1600"/>
      <c r="Y22" s="1601"/>
    </row>
    <row r="23" spans="2:25" x14ac:dyDescent="0.25">
      <c r="B23" s="1636" t="s">
        <v>451</v>
      </c>
      <c r="C23" s="1637">
        <v>97</v>
      </c>
      <c r="D23" s="1637">
        <v>7</v>
      </c>
      <c r="E23" s="1638">
        <v>1400000</v>
      </c>
      <c r="F23" s="1616">
        <f t="shared" ref="F23:F34" si="2">0*E23</f>
        <v>0</v>
      </c>
      <c r="G23" s="1638">
        <v>1400000</v>
      </c>
      <c r="H23" s="1616">
        <f t="shared" si="0"/>
        <v>1400000</v>
      </c>
      <c r="I23" s="1616">
        <f t="shared" si="1"/>
        <v>1400000</v>
      </c>
      <c r="J23" s="1622" t="s">
        <v>452</v>
      </c>
      <c r="K23" s="1639" t="s">
        <v>449</v>
      </c>
      <c r="L23" s="1639" t="s">
        <v>449</v>
      </c>
      <c r="M23" s="1639" t="s">
        <v>449</v>
      </c>
      <c r="N23" s="1639" t="s">
        <v>449</v>
      </c>
      <c r="O23" s="1639" t="s">
        <v>449</v>
      </c>
      <c r="P23" s="1622" t="s">
        <v>453</v>
      </c>
      <c r="Q23" s="1622" t="s">
        <v>450</v>
      </c>
      <c r="R23" s="1640" t="s">
        <v>454</v>
      </c>
      <c r="S23" s="1640" t="s">
        <v>454</v>
      </c>
      <c r="T23" s="1641" t="s">
        <v>454</v>
      </c>
      <c r="U23" s="1642">
        <v>2022</v>
      </c>
      <c r="W23" s="1600" t="s">
        <v>455</v>
      </c>
      <c r="Y23" s="1601" t="s">
        <v>456</v>
      </c>
    </row>
    <row r="24" spans="2:25" x14ac:dyDescent="0.25">
      <c r="B24" s="1636" t="s">
        <v>457</v>
      </c>
      <c r="C24" s="1637">
        <v>332</v>
      </c>
      <c r="D24" s="1637">
        <v>17</v>
      </c>
      <c r="E24" s="1638">
        <v>4200000</v>
      </c>
      <c r="F24" s="1616">
        <f t="shared" si="2"/>
        <v>0</v>
      </c>
      <c r="G24" s="1638">
        <v>1500000</v>
      </c>
      <c r="H24" s="1616">
        <f t="shared" si="0"/>
        <v>4200000</v>
      </c>
      <c r="I24" s="1626">
        <f t="shared" si="1"/>
        <v>1500000</v>
      </c>
      <c r="J24" s="1622" t="s">
        <v>458</v>
      </c>
      <c r="K24" s="1639" t="s">
        <v>449</v>
      </c>
      <c r="L24" s="1639" t="s">
        <v>449</v>
      </c>
      <c r="M24" s="1639" t="s">
        <v>449</v>
      </c>
      <c r="N24" s="1639" t="s">
        <v>449</v>
      </c>
      <c r="O24" s="1639" t="s">
        <v>449</v>
      </c>
      <c r="P24" s="1622" t="s">
        <v>453</v>
      </c>
      <c r="Q24" s="1622" t="s">
        <v>450</v>
      </c>
      <c r="R24" s="1640" t="s">
        <v>454</v>
      </c>
      <c r="S24" s="1640" t="s">
        <v>454</v>
      </c>
      <c r="T24" s="1641" t="s">
        <v>454</v>
      </c>
      <c r="U24" s="1642">
        <v>2022</v>
      </c>
      <c r="W24" s="1600" t="s">
        <v>459</v>
      </c>
      <c r="Y24" s="1601" t="s">
        <v>460</v>
      </c>
    </row>
    <row r="25" spans="2:25" x14ac:dyDescent="0.25">
      <c r="B25" s="1643" t="s">
        <v>461</v>
      </c>
      <c r="C25" s="1644">
        <v>95</v>
      </c>
      <c r="D25" s="1644">
        <v>12</v>
      </c>
      <c r="E25" s="1645">
        <v>1500000</v>
      </c>
      <c r="F25" s="1629">
        <f t="shared" si="2"/>
        <v>0</v>
      </c>
      <c r="G25" s="1645">
        <v>500000</v>
      </c>
      <c r="H25" s="1629">
        <f t="shared" si="0"/>
        <v>1500000</v>
      </c>
      <c r="I25" s="1629">
        <f t="shared" si="1"/>
        <v>500000</v>
      </c>
      <c r="J25" s="1630" t="s">
        <v>462</v>
      </c>
      <c r="K25" s="1646" t="s">
        <v>449</v>
      </c>
      <c r="L25" s="1646" t="s">
        <v>449</v>
      </c>
      <c r="M25" s="1646" t="s">
        <v>449</v>
      </c>
      <c r="N25" s="1647" t="s">
        <v>463</v>
      </c>
      <c r="O25" s="1646" t="s">
        <v>449</v>
      </c>
      <c r="P25" s="1630" t="s">
        <v>453</v>
      </c>
      <c r="Q25" s="1630" t="s">
        <v>450</v>
      </c>
      <c r="R25" s="1648" t="s">
        <v>454</v>
      </c>
      <c r="S25" s="1648" t="s">
        <v>454</v>
      </c>
      <c r="T25" s="1649" t="s">
        <v>454</v>
      </c>
      <c r="U25" s="1650"/>
      <c r="W25" s="1600" t="s">
        <v>464</v>
      </c>
      <c r="Y25" s="1601" t="s">
        <v>465</v>
      </c>
    </row>
    <row r="26" spans="2:25" x14ac:dyDescent="0.25">
      <c r="B26" s="1636" t="s">
        <v>467</v>
      </c>
      <c r="C26" s="1637">
        <v>380</v>
      </c>
      <c r="D26" s="1637">
        <v>12</v>
      </c>
      <c r="E26" s="1638">
        <v>5900000</v>
      </c>
      <c r="F26" s="1616">
        <f t="shared" si="2"/>
        <v>0</v>
      </c>
      <c r="G26" s="1638">
        <v>370000</v>
      </c>
      <c r="H26" s="1626">
        <f t="shared" si="0"/>
        <v>5900000</v>
      </c>
      <c r="I26" s="1616">
        <f t="shared" si="1"/>
        <v>370000</v>
      </c>
      <c r="J26" s="1622" t="s">
        <v>468</v>
      </c>
      <c r="K26" s="1639" t="s">
        <v>449</v>
      </c>
      <c r="L26" s="1639" t="s">
        <v>449</v>
      </c>
      <c r="M26" s="1639" t="s">
        <v>449</v>
      </c>
      <c r="N26" s="1651" t="s">
        <v>463</v>
      </c>
      <c r="O26" s="1651" t="s">
        <v>463</v>
      </c>
      <c r="P26" s="1622" t="s">
        <v>453</v>
      </c>
      <c r="Q26" s="1622" t="s">
        <v>450</v>
      </c>
      <c r="R26" s="1640" t="s">
        <v>454</v>
      </c>
      <c r="S26" s="1640" t="s">
        <v>454</v>
      </c>
      <c r="T26" s="1641" t="s">
        <v>454</v>
      </c>
      <c r="U26" s="1642">
        <v>2021</v>
      </c>
      <c r="W26" s="1600" t="s">
        <v>170</v>
      </c>
      <c r="Y26" s="1601" t="s">
        <v>469</v>
      </c>
    </row>
    <row r="27" spans="2:25" x14ac:dyDescent="0.25">
      <c r="B27" s="1643" t="s">
        <v>470</v>
      </c>
      <c r="C27" s="1644">
        <v>825</v>
      </c>
      <c r="D27" s="1644">
        <v>12</v>
      </c>
      <c r="E27" s="1645">
        <v>17000000</v>
      </c>
      <c r="F27" s="1629">
        <f t="shared" si="2"/>
        <v>0</v>
      </c>
      <c r="G27" s="1645">
        <v>1917000</v>
      </c>
      <c r="H27" s="1626">
        <f t="shared" si="0"/>
        <v>17000000</v>
      </c>
      <c r="I27" s="1629">
        <f t="shared" si="1"/>
        <v>1917000</v>
      </c>
      <c r="J27" s="1630" t="s">
        <v>468</v>
      </c>
      <c r="K27" s="1646" t="s">
        <v>449</v>
      </c>
      <c r="L27" s="1646" t="s">
        <v>449</v>
      </c>
      <c r="M27" s="1646" t="s">
        <v>449</v>
      </c>
      <c r="N27" s="1647" t="s">
        <v>471</v>
      </c>
      <c r="O27" s="1646" t="s">
        <v>449</v>
      </c>
      <c r="P27" s="1630" t="s">
        <v>472</v>
      </c>
      <c r="Q27" s="1630" t="s">
        <v>450</v>
      </c>
      <c r="R27" s="1630" t="s">
        <v>473</v>
      </c>
      <c r="S27" s="1648" t="s">
        <v>454</v>
      </c>
      <c r="T27" s="1649" t="s">
        <v>454</v>
      </c>
      <c r="U27" s="1650">
        <v>2021</v>
      </c>
    </row>
    <row r="28" spans="2:25" x14ac:dyDescent="0.25">
      <c r="B28" s="1643" t="s">
        <v>628</v>
      </c>
      <c r="C28" s="1644">
        <v>348</v>
      </c>
      <c r="D28" s="1644">
        <v>13</v>
      </c>
      <c r="E28" s="1645">
        <f>15940*C28*1.21</f>
        <v>6712015.2000000002</v>
      </c>
      <c r="F28" s="1629">
        <f t="shared" si="2"/>
        <v>0</v>
      </c>
      <c r="G28" s="1645">
        <v>1250000</v>
      </c>
      <c r="H28" s="1629">
        <f>E28-F28</f>
        <v>6712015.2000000002</v>
      </c>
      <c r="I28" s="1629">
        <f>G28-F28</f>
        <v>1250000</v>
      </c>
      <c r="J28" s="1630" t="s">
        <v>629</v>
      </c>
      <c r="K28" s="1646" t="s">
        <v>449</v>
      </c>
      <c r="L28" s="1646" t="s">
        <v>449</v>
      </c>
      <c r="M28" s="1646" t="s">
        <v>449</v>
      </c>
      <c r="N28" s="1647" t="s">
        <v>463</v>
      </c>
      <c r="O28" s="1647" t="s">
        <v>463</v>
      </c>
      <c r="P28" s="1648" t="s">
        <v>475</v>
      </c>
      <c r="Q28" s="1648" t="s">
        <v>454</v>
      </c>
      <c r="R28" s="1648" t="s">
        <v>454</v>
      </c>
      <c r="S28" s="1648" t="s">
        <v>454</v>
      </c>
      <c r="T28" s="1649" t="s">
        <v>454</v>
      </c>
      <c r="U28" s="1650">
        <v>2019</v>
      </c>
    </row>
    <row r="29" spans="2:25" x14ac:dyDescent="0.25">
      <c r="B29" s="1652" t="s">
        <v>1185</v>
      </c>
      <c r="C29" s="1637">
        <v>180</v>
      </c>
      <c r="D29" s="1637">
        <v>12</v>
      </c>
      <c r="E29" s="1616">
        <f>C29*1.21*12900</f>
        <v>2809620</v>
      </c>
      <c r="F29" s="1616">
        <f t="shared" si="2"/>
        <v>0</v>
      </c>
      <c r="G29" s="1638">
        <v>480000</v>
      </c>
      <c r="H29" s="1616">
        <f>E29-F29</f>
        <v>2809620</v>
      </c>
      <c r="I29" s="1616">
        <f>G29-F29</f>
        <v>480000</v>
      </c>
      <c r="J29" s="1622" t="s">
        <v>452</v>
      </c>
      <c r="K29" s="1639" t="s">
        <v>449</v>
      </c>
      <c r="L29" s="1639" t="s">
        <v>449</v>
      </c>
      <c r="M29" s="1639" t="s">
        <v>449</v>
      </c>
      <c r="N29" s="1651" t="s">
        <v>463</v>
      </c>
      <c r="O29" s="1651" t="s">
        <v>463</v>
      </c>
      <c r="P29" s="1640" t="s">
        <v>475</v>
      </c>
      <c r="Q29" s="1640" t="s">
        <v>454</v>
      </c>
      <c r="R29" s="1640" t="s">
        <v>454</v>
      </c>
      <c r="S29" s="1640" t="s">
        <v>454</v>
      </c>
      <c r="T29" s="1641" t="s">
        <v>454</v>
      </c>
      <c r="U29" s="1642">
        <v>2020</v>
      </c>
    </row>
    <row r="30" spans="2:25" x14ac:dyDescent="0.25">
      <c r="B30" s="1643" t="s">
        <v>630</v>
      </c>
      <c r="C30" s="1644">
        <v>172</v>
      </c>
      <c r="D30" s="1644">
        <v>12</v>
      </c>
      <c r="E30" s="1629">
        <f>C30*1.21*12900</f>
        <v>2684748</v>
      </c>
      <c r="F30" s="1629">
        <f t="shared" si="2"/>
        <v>0</v>
      </c>
      <c r="G30" s="1645">
        <v>450000</v>
      </c>
      <c r="H30" s="1629">
        <f>E30-F30</f>
        <v>2684748</v>
      </c>
      <c r="I30" s="1629">
        <f>G30-F30</f>
        <v>450000</v>
      </c>
      <c r="J30" s="1630" t="s">
        <v>452</v>
      </c>
      <c r="K30" s="1646" t="s">
        <v>449</v>
      </c>
      <c r="L30" s="1646" t="s">
        <v>449</v>
      </c>
      <c r="M30" s="1646" t="s">
        <v>449</v>
      </c>
      <c r="N30" s="1647" t="s">
        <v>463</v>
      </c>
      <c r="O30" s="1647" t="s">
        <v>463</v>
      </c>
      <c r="P30" s="1648" t="s">
        <v>475</v>
      </c>
      <c r="Q30" s="1648" t="s">
        <v>454</v>
      </c>
      <c r="R30" s="1648" t="s">
        <v>454</v>
      </c>
      <c r="S30" s="1648" t="s">
        <v>454</v>
      </c>
      <c r="T30" s="1649" t="s">
        <v>454</v>
      </c>
      <c r="U30" s="1650">
        <v>2022</v>
      </c>
    </row>
    <row r="31" spans="2:25" x14ac:dyDescent="0.25">
      <c r="B31" s="1643" t="s">
        <v>474</v>
      </c>
      <c r="C31" s="1644">
        <v>520</v>
      </c>
      <c r="D31" s="1644">
        <v>13</v>
      </c>
      <c r="E31" s="1645">
        <v>9800000</v>
      </c>
      <c r="F31" s="1629">
        <f t="shared" si="2"/>
        <v>0</v>
      </c>
      <c r="G31" s="1645">
        <v>1500000</v>
      </c>
      <c r="H31" s="1629">
        <f t="shared" si="0"/>
        <v>9800000</v>
      </c>
      <c r="I31" s="1629">
        <f t="shared" si="1"/>
        <v>1500000</v>
      </c>
      <c r="J31" s="1630" t="s">
        <v>452</v>
      </c>
      <c r="K31" s="1646" t="s">
        <v>449</v>
      </c>
      <c r="L31" s="1646" t="s">
        <v>449</v>
      </c>
      <c r="M31" s="1646" t="s">
        <v>449</v>
      </c>
      <c r="N31" s="1646" t="s">
        <v>449</v>
      </c>
      <c r="O31" s="1647" t="s">
        <v>463</v>
      </c>
      <c r="P31" s="1648" t="s">
        <v>475</v>
      </c>
      <c r="Q31" s="1648" t="s">
        <v>454</v>
      </c>
      <c r="R31" s="1648" t="s">
        <v>454</v>
      </c>
      <c r="S31" s="1648" t="s">
        <v>454</v>
      </c>
      <c r="T31" s="1649" t="s">
        <v>454</v>
      </c>
      <c r="U31" s="1650">
        <v>2022</v>
      </c>
    </row>
    <row r="32" spans="2:25" x14ac:dyDescent="0.25">
      <c r="B32" s="1636" t="s">
        <v>476</v>
      </c>
      <c r="C32" s="1637">
        <v>323</v>
      </c>
      <c r="D32" s="1637">
        <v>12</v>
      </c>
      <c r="E32" s="1638">
        <v>5000000</v>
      </c>
      <c r="F32" s="1616">
        <f t="shared" si="2"/>
        <v>0</v>
      </c>
      <c r="G32" s="1638">
        <v>1250000</v>
      </c>
      <c r="H32" s="1616">
        <f t="shared" si="0"/>
        <v>5000000</v>
      </c>
      <c r="I32" s="1616">
        <f t="shared" si="1"/>
        <v>1250000</v>
      </c>
      <c r="J32" s="1622" t="s">
        <v>452</v>
      </c>
      <c r="K32" s="1639" t="s">
        <v>449</v>
      </c>
      <c r="L32" s="1639" t="s">
        <v>449</v>
      </c>
      <c r="M32" s="1639" t="s">
        <v>449</v>
      </c>
      <c r="N32" s="1639" t="s">
        <v>449</v>
      </c>
      <c r="O32" s="1639" t="s">
        <v>449</v>
      </c>
      <c r="P32" s="1640" t="s">
        <v>475</v>
      </c>
      <c r="Q32" s="1640" t="s">
        <v>454</v>
      </c>
      <c r="R32" s="1640" t="s">
        <v>454</v>
      </c>
      <c r="S32" s="1640" t="s">
        <v>454</v>
      </c>
      <c r="T32" s="1641" t="s">
        <v>454</v>
      </c>
      <c r="U32" s="1642">
        <v>2022</v>
      </c>
    </row>
    <row r="33" spans="2:21" x14ac:dyDescent="0.25">
      <c r="B33" s="1636" t="s">
        <v>477</v>
      </c>
      <c r="C33" s="1637">
        <v>218</v>
      </c>
      <c r="D33" s="1637">
        <v>7</v>
      </c>
      <c r="E33" s="1638">
        <v>1450000</v>
      </c>
      <c r="F33" s="1616">
        <f t="shared" si="2"/>
        <v>0</v>
      </c>
      <c r="G33" s="1638">
        <f>E33</f>
        <v>1450000</v>
      </c>
      <c r="H33" s="1616">
        <f t="shared" si="0"/>
        <v>1450000</v>
      </c>
      <c r="I33" s="1616">
        <f t="shared" si="1"/>
        <v>1450000</v>
      </c>
      <c r="J33" s="1622" t="s">
        <v>452</v>
      </c>
      <c r="K33" s="1639" t="s">
        <v>449</v>
      </c>
      <c r="L33" s="1639" t="s">
        <v>449</v>
      </c>
      <c r="M33" s="1651" t="s">
        <v>478</v>
      </c>
      <c r="N33" s="1639" t="s">
        <v>449</v>
      </c>
      <c r="O33" s="1639" t="s">
        <v>449</v>
      </c>
      <c r="P33" s="1640" t="s">
        <v>475</v>
      </c>
      <c r="Q33" s="1640" t="s">
        <v>454</v>
      </c>
      <c r="R33" s="1640" t="s">
        <v>454</v>
      </c>
      <c r="S33" s="1640" t="s">
        <v>454</v>
      </c>
      <c r="T33" s="1641" t="s">
        <v>454</v>
      </c>
      <c r="U33" s="1642">
        <v>2022</v>
      </c>
    </row>
    <row r="34" spans="2:21" s="2188" customFormat="1" ht="14.25" thickBot="1" x14ac:dyDescent="0.3">
      <c r="B34" s="2182" t="s">
        <v>1182</v>
      </c>
      <c r="C34" s="2183">
        <v>552</v>
      </c>
      <c r="D34" s="2183">
        <v>3</v>
      </c>
      <c r="E34" s="2184">
        <v>58000000</v>
      </c>
      <c r="F34" s="2185">
        <f t="shared" si="2"/>
        <v>0</v>
      </c>
      <c r="G34" s="2184">
        <v>58000000</v>
      </c>
      <c r="H34" s="2185">
        <v>12655000</v>
      </c>
      <c r="I34" s="2185">
        <v>12655000</v>
      </c>
      <c r="J34" s="1655" t="s">
        <v>468</v>
      </c>
      <c r="K34" s="2186" t="s">
        <v>449</v>
      </c>
      <c r="L34" s="2186" t="s">
        <v>449</v>
      </c>
      <c r="M34" s="1654" t="s">
        <v>449</v>
      </c>
      <c r="N34" s="2186" t="s">
        <v>449</v>
      </c>
      <c r="O34" s="2186" t="s">
        <v>449</v>
      </c>
      <c r="P34" s="1655"/>
      <c r="Q34" s="1655"/>
      <c r="R34" s="1655"/>
      <c r="S34" s="1655"/>
      <c r="T34" s="1656"/>
      <c r="U34" s="2187">
        <v>2019</v>
      </c>
    </row>
    <row r="36" spans="2:21" x14ac:dyDescent="0.25">
      <c r="B36" s="1600" t="s">
        <v>479</v>
      </c>
      <c r="C36" s="1658">
        <f>SUM(C23:C34)</f>
        <v>4042</v>
      </c>
      <c r="E36" s="1659">
        <f>SUM(E9:E34)</f>
        <v>183006238.42000002</v>
      </c>
      <c r="F36" s="1659">
        <f>SUM(F9:F34)</f>
        <v>21250000</v>
      </c>
      <c r="G36" s="1659">
        <f>SUM(G9:G34)</f>
        <v>101138000</v>
      </c>
      <c r="H36" s="1659">
        <f>SUM(H9:H34)</f>
        <v>116411238.42</v>
      </c>
      <c r="I36" s="1659">
        <f>SUM(I9:I34)</f>
        <v>34543000</v>
      </c>
    </row>
    <row r="37" spans="2:21" ht="14.25" thickBot="1" x14ac:dyDescent="0.3"/>
    <row r="38" spans="2:21" ht="14.25" thickBot="1" x14ac:dyDescent="0.3">
      <c r="B38" s="1609" t="s">
        <v>631</v>
      </c>
      <c r="C38" s="1610" t="s">
        <v>431</v>
      </c>
      <c r="E38" s="1610" t="s">
        <v>433</v>
      </c>
      <c r="F38" s="1610" t="s">
        <v>480</v>
      </c>
      <c r="G38" s="1610" t="s">
        <v>435</v>
      </c>
      <c r="H38" s="1610" t="s">
        <v>436</v>
      </c>
      <c r="I38" s="1610" t="s">
        <v>437</v>
      </c>
      <c r="J38" s="1610" t="s">
        <v>438</v>
      </c>
      <c r="N38" s="1610" t="s">
        <v>442</v>
      </c>
      <c r="O38" s="1610" t="s">
        <v>443</v>
      </c>
      <c r="P38" s="1610" t="s">
        <v>444</v>
      </c>
      <c r="Q38" s="1610" t="s">
        <v>445</v>
      </c>
      <c r="R38" s="1660" t="s">
        <v>170</v>
      </c>
      <c r="S38" s="1660" t="s">
        <v>446</v>
      </c>
    </row>
    <row r="39" spans="2:21" x14ac:dyDescent="0.25">
      <c r="B39" s="1614" t="s">
        <v>632</v>
      </c>
      <c r="C39" s="1615">
        <v>500</v>
      </c>
      <c r="E39" s="1616">
        <v>6000000</v>
      </c>
      <c r="F39" s="1616">
        <v>4200000</v>
      </c>
      <c r="G39" s="1616">
        <v>6000000</v>
      </c>
      <c r="H39" s="1616">
        <f>E39-F39</f>
        <v>1800000</v>
      </c>
      <c r="I39" s="1616">
        <f>H39</f>
        <v>1800000</v>
      </c>
      <c r="J39" s="1617" t="s">
        <v>448</v>
      </c>
      <c r="N39" s="1661" t="s">
        <v>453</v>
      </c>
      <c r="O39" s="1661" t="s">
        <v>450</v>
      </c>
      <c r="P39" s="1661" t="s">
        <v>450</v>
      </c>
      <c r="Q39" s="1661" t="s">
        <v>450</v>
      </c>
      <c r="R39" s="1662" t="s">
        <v>454</v>
      </c>
      <c r="S39" s="1662"/>
    </row>
    <row r="40" spans="2:21" x14ac:dyDescent="0.25">
      <c r="B40" s="1614" t="s">
        <v>482</v>
      </c>
      <c r="C40" s="1615">
        <v>350</v>
      </c>
      <c r="E40" s="1616">
        <v>650000</v>
      </c>
      <c r="F40" s="1616">
        <v>350000</v>
      </c>
      <c r="G40" s="1638">
        <v>650000</v>
      </c>
      <c r="H40" s="1638">
        <f>E40-F40</f>
        <v>300000</v>
      </c>
      <c r="I40" s="1638">
        <f>H40</f>
        <v>300000</v>
      </c>
      <c r="J40" s="1617" t="s">
        <v>452</v>
      </c>
      <c r="N40" s="1661" t="s">
        <v>483</v>
      </c>
      <c r="O40" s="1661" t="s">
        <v>450</v>
      </c>
      <c r="P40" s="1661" t="s">
        <v>454</v>
      </c>
      <c r="Q40" s="1661" t="s">
        <v>454</v>
      </c>
      <c r="R40" s="1662" t="s">
        <v>454</v>
      </c>
      <c r="S40" s="1662"/>
    </row>
    <row r="41" spans="2:21" ht="27" x14ac:dyDescent="0.25">
      <c r="B41" s="1627" t="s">
        <v>633</v>
      </c>
      <c r="C41" s="1628">
        <v>300</v>
      </c>
      <c r="E41" s="1629">
        <v>1500000</v>
      </c>
      <c r="F41" s="1629">
        <v>0</v>
      </c>
      <c r="G41" s="1645">
        <v>1500000</v>
      </c>
      <c r="H41" s="1645">
        <f>E41-F41</f>
        <v>1500000</v>
      </c>
      <c r="I41" s="1645">
        <f>H41</f>
        <v>1500000</v>
      </c>
      <c r="J41" s="1663" t="s">
        <v>452</v>
      </c>
      <c r="N41" s="1661"/>
      <c r="O41" s="1661"/>
      <c r="P41" s="1661"/>
      <c r="Q41" s="1661"/>
      <c r="R41" s="1662"/>
      <c r="S41" s="1662"/>
    </row>
    <row r="42" spans="2:21" x14ac:dyDescent="0.25">
      <c r="B42" s="1664" t="s">
        <v>634</v>
      </c>
      <c r="C42" s="1628">
        <v>200</v>
      </c>
      <c r="E42" s="1629">
        <v>400000</v>
      </c>
      <c r="F42" s="1629">
        <v>0</v>
      </c>
      <c r="G42" s="1645">
        <v>400000</v>
      </c>
      <c r="H42" s="1645">
        <v>400000</v>
      </c>
      <c r="I42" s="1645">
        <v>400000</v>
      </c>
      <c r="J42" s="1663" t="s">
        <v>452</v>
      </c>
      <c r="N42" s="1661"/>
      <c r="O42" s="1661"/>
      <c r="P42" s="1661"/>
      <c r="Q42" s="1661"/>
      <c r="R42" s="1662"/>
      <c r="S42" s="1662"/>
    </row>
    <row r="43" spans="2:21" x14ac:dyDescent="0.25">
      <c r="B43" s="1614" t="s">
        <v>484</v>
      </c>
      <c r="C43" s="1665">
        <v>3000</v>
      </c>
      <c r="E43" s="1616">
        <v>7400000</v>
      </c>
      <c r="F43" s="1616">
        <f>0.5*E43</f>
        <v>3700000</v>
      </c>
      <c r="G43" s="1638">
        <v>500000</v>
      </c>
      <c r="H43" s="1638">
        <f t="shared" ref="H43:H48" si="3">E43-F43</f>
        <v>3700000</v>
      </c>
      <c r="I43" s="1638">
        <f>G43</f>
        <v>500000</v>
      </c>
      <c r="J43" s="1617" t="s">
        <v>452</v>
      </c>
      <c r="N43" s="1661" t="s">
        <v>483</v>
      </c>
      <c r="O43" s="1661" t="s">
        <v>454</v>
      </c>
      <c r="P43" s="1661" t="s">
        <v>454</v>
      </c>
      <c r="Q43" s="1661" t="s">
        <v>454</v>
      </c>
      <c r="R43" s="1662" t="s">
        <v>454</v>
      </c>
      <c r="S43" s="1662"/>
    </row>
    <row r="44" spans="2:21" x14ac:dyDescent="0.25">
      <c r="B44" s="1666" t="s">
        <v>485</v>
      </c>
      <c r="C44" s="1667">
        <v>100</v>
      </c>
      <c r="E44" s="1668">
        <v>12000000</v>
      </c>
      <c r="F44" s="1668">
        <f>0.7*E44</f>
        <v>8400000</v>
      </c>
      <c r="G44" s="1668">
        <v>12000000</v>
      </c>
      <c r="H44" s="1668">
        <f t="shared" si="3"/>
        <v>3600000</v>
      </c>
      <c r="I44" s="1668">
        <v>3600000</v>
      </c>
      <c r="J44" s="1669" t="s">
        <v>452</v>
      </c>
      <c r="N44" s="1670" t="s">
        <v>486</v>
      </c>
      <c r="O44" s="1670" t="s">
        <v>454</v>
      </c>
      <c r="P44" s="1670" t="s">
        <v>454</v>
      </c>
      <c r="Q44" s="1670" t="s">
        <v>454</v>
      </c>
      <c r="R44" s="1671" t="s">
        <v>454</v>
      </c>
      <c r="S44" s="1671"/>
    </row>
    <row r="45" spans="2:21" ht="27" x14ac:dyDescent="0.25">
      <c r="B45" s="1672" t="s">
        <v>635</v>
      </c>
      <c r="C45" s="1637">
        <v>800</v>
      </c>
      <c r="E45" s="1638">
        <v>2400000</v>
      </c>
      <c r="F45" s="1638">
        <v>0</v>
      </c>
      <c r="G45" s="1638">
        <v>1200000</v>
      </c>
      <c r="H45" s="1638">
        <f t="shared" si="3"/>
        <v>2400000</v>
      </c>
      <c r="I45" s="1638">
        <v>1200000</v>
      </c>
      <c r="J45" s="1622" t="s">
        <v>452</v>
      </c>
      <c r="N45" s="1670"/>
      <c r="O45" s="1670"/>
      <c r="P45" s="1670"/>
      <c r="Q45" s="1670"/>
      <c r="R45" s="1671"/>
      <c r="S45" s="1671"/>
    </row>
    <row r="46" spans="2:21" x14ac:dyDescent="0.25">
      <c r="B46" s="1673" t="s">
        <v>636</v>
      </c>
      <c r="C46" s="1674">
        <v>1000</v>
      </c>
      <c r="E46" s="1675">
        <v>3000000</v>
      </c>
      <c r="F46" s="1675">
        <v>1500000</v>
      </c>
      <c r="G46" s="1675">
        <v>1500000</v>
      </c>
      <c r="H46" s="1675">
        <f t="shared" si="3"/>
        <v>1500000</v>
      </c>
      <c r="I46" s="1675">
        <f>H46</f>
        <v>1500000</v>
      </c>
      <c r="J46" s="1670" t="s">
        <v>452</v>
      </c>
      <c r="N46" s="1670"/>
      <c r="O46" s="1670"/>
      <c r="P46" s="1670"/>
      <c r="Q46" s="1670"/>
      <c r="R46" s="1671"/>
      <c r="S46" s="1671"/>
    </row>
    <row r="47" spans="2:21" x14ac:dyDescent="0.25">
      <c r="B47" s="1673" t="s">
        <v>487</v>
      </c>
      <c r="C47" s="1676">
        <v>0</v>
      </c>
      <c r="E47" s="1675">
        <v>3000000</v>
      </c>
      <c r="F47" s="1675">
        <f>0.7*E47</f>
        <v>2100000</v>
      </c>
      <c r="G47" s="1675">
        <v>3000000</v>
      </c>
      <c r="H47" s="1675">
        <f t="shared" si="3"/>
        <v>900000</v>
      </c>
      <c r="I47" s="1675">
        <f>H47</f>
        <v>900000</v>
      </c>
      <c r="J47" s="1670" t="s">
        <v>452</v>
      </c>
      <c r="N47" s="1670" t="s">
        <v>486</v>
      </c>
      <c r="O47" s="1670" t="s">
        <v>454</v>
      </c>
      <c r="P47" s="1670" t="s">
        <v>454</v>
      </c>
      <c r="Q47" s="1670" t="s">
        <v>454</v>
      </c>
      <c r="R47" s="1671" t="s">
        <v>454</v>
      </c>
      <c r="S47" s="1671"/>
    </row>
    <row r="48" spans="2:21" ht="14.25" thickBot="1" x14ac:dyDescent="0.3">
      <c r="B48" s="1677" t="s">
        <v>488</v>
      </c>
      <c r="C48" s="1678">
        <v>250</v>
      </c>
      <c r="E48" s="1679">
        <v>1400000</v>
      </c>
      <c r="F48" s="1679">
        <v>0</v>
      </c>
      <c r="G48" s="1680">
        <v>400000</v>
      </c>
      <c r="H48" s="1680">
        <f t="shared" si="3"/>
        <v>1400000</v>
      </c>
      <c r="I48" s="1680">
        <v>400000</v>
      </c>
      <c r="J48" s="1681" t="s">
        <v>462</v>
      </c>
      <c r="N48" s="1681" t="s">
        <v>453</v>
      </c>
      <c r="O48" s="1681" t="s">
        <v>450</v>
      </c>
      <c r="P48" s="1681" t="s">
        <v>454</v>
      </c>
      <c r="Q48" s="1681" t="s">
        <v>454</v>
      </c>
      <c r="R48" s="1682" t="s">
        <v>454</v>
      </c>
      <c r="S48" s="1682"/>
    </row>
    <row r="50" spans="2:19" x14ac:dyDescent="0.25">
      <c r="B50" s="1600" t="s">
        <v>479</v>
      </c>
      <c r="C50" s="1658">
        <f>SUM(C39:C48)</f>
        <v>6500</v>
      </c>
      <c r="E50" s="1659">
        <f>SUM(E39:E48)</f>
        <v>37750000</v>
      </c>
      <c r="F50" s="1659">
        <f>SUM(F39:F48)</f>
        <v>20250000</v>
      </c>
      <c r="G50" s="1659">
        <f>SUM(G39:G48)</f>
        <v>27150000</v>
      </c>
      <c r="H50" s="1659">
        <f>SUM(H39:H48)</f>
        <v>17500000</v>
      </c>
      <c r="I50" s="1659">
        <f>SUM(I39:I48)</f>
        <v>12100000</v>
      </c>
    </row>
    <row r="51" spans="2:19" x14ac:dyDescent="0.25">
      <c r="F51" s="1659"/>
    </row>
    <row r="52" spans="2:19" ht="14.25" thickBot="1" x14ac:dyDescent="0.3">
      <c r="B52" s="1602" t="s">
        <v>489</v>
      </c>
      <c r="F52" s="1659"/>
    </row>
    <row r="53" spans="2:19" ht="14.25" thickBot="1" x14ac:dyDescent="0.3">
      <c r="B53" s="1613"/>
      <c r="E53" s="1609" t="s">
        <v>433</v>
      </c>
      <c r="F53" s="1683" t="s">
        <v>490</v>
      </c>
      <c r="G53" s="1610" t="s">
        <v>481</v>
      </c>
      <c r="H53" s="1610" t="s">
        <v>438</v>
      </c>
      <c r="N53" s="1610" t="s">
        <v>442</v>
      </c>
      <c r="O53" s="1610" t="s">
        <v>443</v>
      </c>
      <c r="P53" s="1610" t="s">
        <v>444</v>
      </c>
      <c r="Q53" s="1610" t="s">
        <v>445</v>
      </c>
      <c r="R53" s="1660" t="s">
        <v>170</v>
      </c>
      <c r="S53" s="1660" t="s">
        <v>446</v>
      </c>
    </row>
    <row r="54" spans="2:19" x14ac:dyDescent="0.25">
      <c r="B54" s="1635" t="s">
        <v>491</v>
      </c>
      <c r="E54" s="1684">
        <v>7300000</v>
      </c>
      <c r="F54" s="1685">
        <f>0.25*E54</f>
        <v>1825000</v>
      </c>
      <c r="G54" s="1626">
        <f t="shared" ref="G54:G59" si="4">E54-F54</f>
        <v>5475000</v>
      </c>
      <c r="H54" s="1663" t="s">
        <v>448</v>
      </c>
      <c r="N54" s="1661" t="s">
        <v>492</v>
      </c>
      <c r="O54" s="1661" t="s">
        <v>450</v>
      </c>
      <c r="P54" s="1661" t="s">
        <v>450</v>
      </c>
      <c r="Q54" s="1661" t="s">
        <v>450</v>
      </c>
      <c r="R54" s="1661" t="s">
        <v>450</v>
      </c>
      <c r="S54" s="1662"/>
    </row>
    <row r="55" spans="2:19" x14ac:dyDescent="0.25">
      <c r="B55" s="1621" t="s">
        <v>493</v>
      </c>
      <c r="E55" s="1686">
        <v>8500000</v>
      </c>
      <c r="F55" s="1687">
        <f>0.25*E55</f>
        <v>2125000</v>
      </c>
      <c r="G55" s="1626">
        <f t="shared" si="4"/>
        <v>6375000</v>
      </c>
      <c r="H55" s="1617" t="s">
        <v>452</v>
      </c>
      <c r="N55" s="1661" t="s">
        <v>492</v>
      </c>
      <c r="O55" s="1661" t="s">
        <v>450</v>
      </c>
      <c r="P55" s="1661" t="s">
        <v>450</v>
      </c>
      <c r="Q55" s="1661" t="s">
        <v>450</v>
      </c>
      <c r="R55" s="1661" t="s">
        <v>450</v>
      </c>
      <c r="S55" s="1662"/>
    </row>
    <row r="56" spans="2:19" x14ac:dyDescent="0.25">
      <c r="B56" s="1688" t="s">
        <v>494</v>
      </c>
      <c r="E56" s="1689">
        <v>12000000</v>
      </c>
      <c r="F56" s="1690">
        <f>0.5*E56</f>
        <v>6000000</v>
      </c>
      <c r="G56" s="1626">
        <f t="shared" si="4"/>
        <v>6000000</v>
      </c>
      <c r="H56" s="1691" t="s">
        <v>452</v>
      </c>
      <c r="N56" s="1670" t="s">
        <v>495</v>
      </c>
      <c r="O56" s="1670" t="s">
        <v>450</v>
      </c>
      <c r="P56" s="1670" t="s">
        <v>450</v>
      </c>
      <c r="Q56" s="1670" t="s">
        <v>450</v>
      </c>
      <c r="R56" s="1670" t="s">
        <v>450</v>
      </c>
      <c r="S56" s="1671"/>
    </row>
    <row r="57" spans="2:19" x14ac:dyDescent="0.25">
      <c r="B57" s="1621" t="s">
        <v>496</v>
      </c>
      <c r="E57" s="1692">
        <v>4100000</v>
      </c>
      <c r="F57" s="1687">
        <f>0.25*E57</f>
        <v>1025000</v>
      </c>
      <c r="G57" s="1626">
        <f t="shared" si="4"/>
        <v>3075000</v>
      </c>
      <c r="H57" s="1617" t="s">
        <v>452</v>
      </c>
      <c r="N57" s="1670" t="s">
        <v>492</v>
      </c>
      <c r="O57" s="1670" t="s">
        <v>450</v>
      </c>
      <c r="P57" s="1670" t="s">
        <v>450</v>
      </c>
      <c r="Q57" s="1670" t="s">
        <v>450</v>
      </c>
      <c r="R57" s="1670" t="s">
        <v>450</v>
      </c>
      <c r="S57" s="1671"/>
    </row>
    <row r="58" spans="2:19" x14ac:dyDescent="0.25">
      <c r="B58" s="1635" t="s">
        <v>497</v>
      </c>
      <c r="E58" s="1693">
        <v>2900000</v>
      </c>
      <c r="F58" s="1685">
        <f>0.25*E58</f>
        <v>725000</v>
      </c>
      <c r="G58" s="1626">
        <f t="shared" si="4"/>
        <v>2175000</v>
      </c>
      <c r="H58" s="1663" t="s">
        <v>452</v>
      </c>
      <c r="N58" s="1670" t="s">
        <v>492</v>
      </c>
      <c r="O58" s="1670" t="s">
        <v>450</v>
      </c>
      <c r="P58" s="1670" t="s">
        <v>450</v>
      </c>
      <c r="Q58" s="1670" t="s">
        <v>450</v>
      </c>
      <c r="R58" s="1670" t="s">
        <v>450</v>
      </c>
      <c r="S58" s="1671"/>
    </row>
    <row r="59" spans="2:19" ht="14.25" thickBot="1" x14ac:dyDescent="0.3">
      <c r="B59" s="1657" t="s">
        <v>498</v>
      </c>
      <c r="E59" s="1694">
        <v>2900000</v>
      </c>
      <c r="F59" s="1695">
        <f>0.25*E59</f>
        <v>725000</v>
      </c>
      <c r="G59" s="1696">
        <f t="shared" si="4"/>
        <v>2175000</v>
      </c>
      <c r="H59" s="1653" t="s">
        <v>452</v>
      </c>
      <c r="N59" s="1697" t="s">
        <v>492</v>
      </c>
      <c r="O59" s="1681" t="s">
        <v>450</v>
      </c>
      <c r="P59" s="1681" t="s">
        <v>450</v>
      </c>
      <c r="Q59" s="1681" t="s">
        <v>450</v>
      </c>
      <c r="R59" s="1681" t="s">
        <v>450</v>
      </c>
      <c r="S59" s="1682"/>
    </row>
    <row r="60" spans="2:19" x14ac:dyDescent="0.25">
      <c r="E60" s="1659"/>
      <c r="F60" s="1659"/>
      <c r="G60" s="1659"/>
    </row>
    <row r="61" spans="2:19" x14ac:dyDescent="0.25">
      <c r="B61" s="1600" t="s">
        <v>479</v>
      </c>
      <c r="E61" s="1659">
        <f>SUM(E54:E59)</f>
        <v>37700000</v>
      </c>
      <c r="F61" s="1659">
        <f>SUM(F54:F59)</f>
        <v>12425000</v>
      </c>
      <c r="G61" s="1659">
        <f>SUM(G54:G59)</f>
        <v>25275000</v>
      </c>
      <c r="H61" s="1659"/>
      <c r="I61" s="1659">
        <f>SUM(N55:N59)</f>
        <v>0</v>
      </c>
    </row>
    <row r="64" spans="2:19" ht="14.25" thickBot="1" x14ac:dyDescent="0.3">
      <c r="B64" s="1602" t="s">
        <v>499</v>
      </c>
      <c r="F64" s="1659"/>
    </row>
    <row r="65" spans="2:18" ht="14.25" thickBot="1" x14ac:dyDescent="0.3">
      <c r="B65" s="1613"/>
      <c r="E65" s="1609" t="s">
        <v>433</v>
      </c>
      <c r="F65" s="1683" t="s">
        <v>490</v>
      </c>
      <c r="G65" s="1683" t="s">
        <v>435</v>
      </c>
      <c r="H65" s="1610" t="s">
        <v>436</v>
      </c>
      <c r="I65" s="1610" t="s">
        <v>437</v>
      </c>
      <c r="J65" s="1660" t="s">
        <v>438</v>
      </c>
      <c r="M65" s="1610" t="s">
        <v>442</v>
      </c>
      <c r="N65" s="1610" t="s">
        <v>443</v>
      </c>
      <c r="O65" s="1610" t="s">
        <v>444</v>
      </c>
      <c r="P65" s="1610" t="s">
        <v>445</v>
      </c>
      <c r="Q65" s="1660" t="s">
        <v>170</v>
      </c>
      <c r="R65" s="1660" t="s">
        <v>446</v>
      </c>
    </row>
    <row r="66" spans="2:18" x14ac:dyDescent="0.25">
      <c r="B66" s="1635" t="s">
        <v>500</v>
      </c>
      <c r="E66" s="1684">
        <v>24000000</v>
      </c>
      <c r="F66" s="1685">
        <f>0.8*E66</f>
        <v>19200000</v>
      </c>
      <c r="G66" s="1684">
        <v>24000000</v>
      </c>
      <c r="H66" s="1626">
        <f t="shared" ref="H66:H73" si="5">E66-F66</f>
        <v>4800000</v>
      </c>
      <c r="I66" s="1629">
        <f t="shared" ref="I66:I73" si="6">G66-F66</f>
        <v>4800000</v>
      </c>
      <c r="J66" s="1698" t="s">
        <v>448</v>
      </c>
      <c r="M66" s="1661" t="s">
        <v>492</v>
      </c>
      <c r="N66" s="1661" t="s">
        <v>450</v>
      </c>
      <c r="O66" s="1661" t="s">
        <v>450</v>
      </c>
      <c r="P66" s="1661" t="s">
        <v>450</v>
      </c>
      <c r="Q66" s="1661" t="s">
        <v>450</v>
      </c>
      <c r="R66" s="1662">
        <v>2023</v>
      </c>
    </row>
    <row r="67" spans="2:18" ht="27" x14ac:dyDescent="0.25">
      <c r="B67" s="1699" t="s">
        <v>637</v>
      </c>
      <c r="E67" s="1686">
        <v>16000000</v>
      </c>
      <c r="F67" s="1687">
        <f>0.6*E67</f>
        <v>9600000</v>
      </c>
      <c r="G67" s="1686">
        <v>16000000</v>
      </c>
      <c r="H67" s="1626">
        <f t="shared" si="5"/>
        <v>6400000</v>
      </c>
      <c r="I67" s="1616">
        <f t="shared" si="6"/>
        <v>6400000</v>
      </c>
      <c r="J67" s="1700" t="s">
        <v>452</v>
      </c>
      <c r="M67" s="1661"/>
      <c r="N67" s="1661"/>
      <c r="O67" s="1661"/>
      <c r="P67" s="1661"/>
      <c r="Q67" s="1661"/>
      <c r="R67" s="1662">
        <v>2020</v>
      </c>
    </row>
    <row r="68" spans="2:18" x14ac:dyDescent="0.25">
      <c r="B68" s="1621" t="s">
        <v>560</v>
      </c>
      <c r="E68" s="1686">
        <v>14000000</v>
      </c>
      <c r="F68" s="1687">
        <f>0.6*E68</f>
        <v>8400000</v>
      </c>
      <c r="G68" s="1686">
        <v>14000000</v>
      </c>
      <c r="H68" s="1626">
        <f t="shared" si="5"/>
        <v>5600000</v>
      </c>
      <c r="I68" s="1616">
        <f t="shared" si="6"/>
        <v>5600000</v>
      </c>
      <c r="J68" s="1700" t="s">
        <v>452</v>
      </c>
      <c r="M68" s="1661"/>
      <c r="N68" s="1661"/>
      <c r="O68" s="1661"/>
      <c r="P68" s="1661"/>
      <c r="Q68" s="1661"/>
      <c r="R68" s="1662">
        <v>2019</v>
      </c>
    </row>
    <row r="69" spans="2:18" x14ac:dyDescent="0.25">
      <c r="B69" s="1621" t="s">
        <v>501</v>
      </c>
      <c r="E69" s="1686">
        <v>2000000</v>
      </c>
      <c r="F69" s="1687">
        <f>0.5*E69</f>
        <v>1000000</v>
      </c>
      <c r="G69" s="1686">
        <v>2000000</v>
      </c>
      <c r="H69" s="1616">
        <f t="shared" si="5"/>
        <v>1000000</v>
      </c>
      <c r="I69" s="1616">
        <f t="shared" si="6"/>
        <v>1000000</v>
      </c>
      <c r="J69" s="1700" t="s">
        <v>452</v>
      </c>
      <c r="M69" s="1661" t="s">
        <v>502</v>
      </c>
      <c r="N69" s="1661" t="s">
        <v>454</v>
      </c>
      <c r="O69" s="1661" t="s">
        <v>454</v>
      </c>
      <c r="P69" s="1661" t="s">
        <v>454</v>
      </c>
      <c r="Q69" s="1661" t="s">
        <v>454</v>
      </c>
      <c r="R69" s="1662">
        <v>2020</v>
      </c>
    </row>
    <row r="70" spans="2:18" x14ac:dyDescent="0.25">
      <c r="B70" s="1621" t="s">
        <v>1201</v>
      </c>
      <c r="E70" s="1686">
        <v>800000</v>
      </c>
      <c r="F70" s="1687">
        <f>+E70*0.95</f>
        <v>760000</v>
      </c>
      <c r="G70" s="1686">
        <v>800000</v>
      </c>
      <c r="H70" s="1616">
        <f>+E70-F70</f>
        <v>40000</v>
      </c>
      <c r="I70" s="1616">
        <v>40000</v>
      </c>
      <c r="J70" s="1700"/>
      <c r="M70" s="1661"/>
      <c r="N70" s="1661"/>
      <c r="O70" s="1661"/>
      <c r="P70" s="1661"/>
      <c r="Q70" s="1661"/>
      <c r="R70" s="1662"/>
    </row>
    <row r="71" spans="2:18" x14ac:dyDescent="0.25">
      <c r="B71" s="1701" t="s">
        <v>638</v>
      </c>
      <c r="E71" s="1702">
        <v>30000000</v>
      </c>
      <c r="F71" s="1690">
        <v>0</v>
      </c>
      <c r="G71" s="1702">
        <v>15000000</v>
      </c>
      <c r="H71" s="1626">
        <f t="shared" si="5"/>
        <v>30000000</v>
      </c>
      <c r="I71" s="1703">
        <f t="shared" si="6"/>
        <v>15000000</v>
      </c>
      <c r="J71" s="1704" t="s">
        <v>452</v>
      </c>
      <c r="M71" s="1661"/>
      <c r="N71" s="1661"/>
      <c r="O71" s="1661"/>
      <c r="P71" s="1661"/>
      <c r="Q71" s="1661"/>
      <c r="R71" s="1662">
        <v>2019</v>
      </c>
    </row>
    <row r="72" spans="2:18" ht="27" x14ac:dyDescent="0.25">
      <c r="B72" s="1705" t="s">
        <v>639</v>
      </c>
      <c r="E72" s="1684">
        <v>8000000</v>
      </c>
      <c r="F72" s="1685">
        <v>2500000</v>
      </c>
      <c r="G72" s="1684">
        <v>8000000</v>
      </c>
      <c r="H72" s="1629">
        <f t="shared" si="5"/>
        <v>5500000</v>
      </c>
      <c r="I72" s="1629">
        <f t="shared" si="6"/>
        <v>5500000</v>
      </c>
      <c r="J72" s="1698" t="s">
        <v>452</v>
      </c>
      <c r="M72" s="1661" t="s">
        <v>492</v>
      </c>
      <c r="N72" s="1661" t="s">
        <v>450</v>
      </c>
      <c r="O72" s="1661" t="s">
        <v>450</v>
      </c>
      <c r="P72" s="1661" t="s">
        <v>450</v>
      </c>
      <c r="Q72" s="1661" t="s">
        <v>450</v>
      </c>
      <c r="R72" s="1662">
        <v>2020</v>
      </c>
    </row>
    <row r="73" spans="2:18" ht="14.25" thickBot="1" x14ac:dyDescent="0.3">
      <c r="B73" s="1706" t="s">
        <v>503</v>
      </c>
      <c r="E73" s="1707">
        <v>3000000</v>
      </c>
      <c r="F73" s="1708">
        <f>0.5*E73</f>
        <v>1500000</v>
      </c>
      <c r="G73" s="1707">
        <v>3000000</v>
      </c>
      <c r="H73" s="1679">
        <f t="shared" si="5"/>
        <v>1500000</v>
      </c>
      <c r="I73" s="1679">
        <f t="shared" si="6"/>
        <v>1500000</v>
      </c>
      <c r="J73" s="1709" t="s">
        <v>452</v>
      </c>
      <c r="M73" s="1670" t="s">
        <v>495</v>
      </c>
      <c r="N73" s="1670" t="s">
        <v>450</v>
      </c>
      <c r="O73" s="1670" t="s">
        <v>450</v>
      </c>
      <c r="P73" s="1670" t="s">
        <v>450</v>
      </c>
      <c r="Q73" s="1670" t="s">
        <v>450</v>
      </c>
      <c r="R73" s="1671">
        <v>2020</v>
      </c>
    </row>
    <row r="74" spans="2:18" x14ac:dyDescent="0.25">
      <c r="E74" s="1659"/>
      <c r="F74" s="1659"/>
      <c r="G74" s="1659"/>
      <c r="H74" s="1659"/>
      <c r="I74" s="1659"/>
    </row>
    <row r="75" spans="2:18" x14ac:dyDescent="0.25">
      <c r="B75" s="1600" t="s">
        <v>479</v>
      </c>
      <c r="E75" s="1659">
        <f>SUM(E66:E73)</f>
        <v>97800000</v>
      </c>
      <c r="F75" s="1659">
        <f>SUM(F66:F73)</f>
        <v>42960000</v>
      </c>
      <c r="G75" s="1659">
        <f>SUM(G66:G73)</f>
        <v>82800000</v>
      </c>
      <c r="H75" s="1659">
        <f>SUM(H66:H73)</f>
        <v>54840000</v>
      </c>
      <c r="I75" s="1659">
        <f>SUM(I66:I73)</f>
        <v>39840000</v>
      </c>
      <c r="J75" s="1659"/>
    </row>
    <row r="77" spans="2:18" hidden="1" x14ac:dyDescent="0.25"/>
    <row r="78" spans="2:18" ht="14.25" thickBot="1" x14ac:dyDescent="0.3">
      <c r="B78" s="1602" t="s">
        <v>504</v>
      </c>
      <c r="F78" s="1659"/>
    </row>
    <row r="79" spans="2:18" ht="14.25" thickBot="1" x14ac:dyDescent="0.3">
      <c r="B79" s="1613"/>
      <c r="E79" s="1609" t="s">
        <v>433</v>
      </c>
      <c r="F79" s="1683" t="s">
        <v>490</v>
      </c>
      <c r="G79" s="1610" t="s">
        <v>481</v>
      </c>
      <c r="H79" s="1660" t="s">
        <v>438</v>
      </c>
      <c r="M79" s="1610" t="s">
        <v>442</v>
      </c>
      <c r="N79" s="1610" t="s">
        <v>443</v>
      </c>
      <c r="O79" s="1610" t="s">
        <v>444</v>
      </c>
      <c r="P79" s="1610" t="s">
        <v>445</v>
      </c>
      <c r="Q79" s="1660" t="s">
        <v>170</v>
      </c>
      <c r="R79" s="1660" t="s">
        <v>446</v>
      </c>
    </row>
    <row r="80" spans="2:18" x14ac:dyDescent="0.25">
      <c r="B80" s="1635" t="s">
        <v>946</v>
      </c>
      <c r="E80" s="1684">
        <v>23000000</v>
      </c>
      <c r="F80" s="1685"/>
      <c r="G80" s="1629">
        <v>2000000</v>
      </c>
      <c r="H80" s="1698" t="s">
        <v>452</v>
      </c>
      <c r="M80" s="1661"/>
      <c r="N80" s="1661"/>
      <c r="O80" s="1661"/>
      <c r="P80" s="1661"/>
      <c r="Q80" s="1661"/>
      <c r="R80" s="1662">
        <v>2020</v>
      </c>
    </row>
    <row r="81" spans="2:18" x14ac:dyDescent="0.25">
      <c r="B81" s="1621" t="s">
        <v>505</v>
      </c>
      <c r="E81" s="1686">
        <v>1600000</v>
      </c>
      <c r="F81" s="1687">
        <v>0</v>
      </c>
      <c r="G81" s="1626">
        <f t="shared" ref="G81:G88" si="7">E81-F81</f>
        <v>1600000</v>
      </c>
      <c r="H81" s="1700" t="s">
        <v>452</v>
      </c>
      <c r="M81" s="1661" t="s">
        <v>492</v>
      </c>
      <c r="N81" s="1661" t="s">
        <v>450</v>
      </c>
      <c r="O81" s="1661" t="s">
        <v>450</v>
      </c>
      <c r="P81" s="1661" t="s">
        <v>450</v>
      </c>
      <c r="Q81" s="1661" t="s">
        <v>450</v>
      </c>
      <c r="R81" s="1662">
        <v>2020</v>
      </c>
    </row>
    <row r="82" spans="2:18" x14ac:dyDescent="0.25">
      <c r="B82" s="1635" t="s">
        <v>506</v>
      </c>
      <c r="E82" s="1684">
        <v>18000000</v>
      </c>
      <c r="F82" s="1685">
        <f>0.5*E82</f>
        <v>9000000</v>
      </c>
      <c r="G82" s="1629">
        <f t="shared" si="7"/>
        <v>9000000</v>
      </c>
      <c r="H82" s="1698" t="s">
        <v>452</v>
      </c>
      <c r="M82" s="1661" t="s">
        <v>492</v>
      </c>
      <c r="N82" s="1661" t="s">
        <v>454</v>
      </c>
      <c r="O82" s="1661" t="s">
        <v>454</v>
      </c>
      <c r="P82" s="1661" t="s">
        <v>454</v>
      </c>
      <c r="Q82" s="1661" t="s">
        <v>454</v>
      </c>
      <c r="R82" s="1662">
        <v>2020</v>
      </c>
    </row>
    <row r="83" spans="2:18" ht="27" x14ac:dyDescent="0.25">
      <c r="B83" s="1710" t="s">
        <v>640</v>
      </c>
      <c r="E83" s="1711"/>
      <c r="F83" s="1712"/>
      <c r="G83" s="1713">
        <v>3500000</v>
      </c>
      <c r="H83" s="1662" t="s">
        <v>452</v>
      </c>
      <c r="M83" s="1661"/>
      <c r="N83" s="1661"/>
      <c r="O83" s="1661"/>
      <c r="P83" s="1661"/>
      <c r="Q83" s="1661"/>
      <c r="R83" s="1662">
        <v>2020</v>
      </c>
    </row>
    <row r="84" spans="2:18" x14ac:dyDescent="0.25">
      <c r="B84" s="1635" t="s">
        <v>641</v>
      </c>
      <c r="E84" s="1684">
        <v>450000000</v>
      </c>
      <c r="F84" s="1685">
        <f>0.85*E84</f>
        <v>382500000</v>
      </c>
      <c r="G84" s="1629">
        <f t="shared" si="7"/>
        <v>67500000</v>
      </c>
      <c r="H84" s="1698" t="s">
        <v>642</v>
      </c>
      <c r="M84" s="1661"/>
      <c r="N84" s="1661"/>
      <c r="O84" s="1661"/>
      <c r="P84" s="1661"/>
      <c r="Q84" s="1661"/>
      <c r="R84" s="1662">
        <v>2020</v>
      </c>
    </row>
    <row r="85" spans="2:18" x14ac:dyDescent="0.25">
      <c r="B85" s="1635" t="s">
        <v>507</v>
      </c>
      <c r="E85" s="1684">
        <v>8500000</v>
      </c>
      <c r="F85" s="1685">
        <v>3500000</v>
      </c>
      <c r="G85" s="1629">
        <f>E85-F85</f>
        <v>5000000</v>
      </c>
      <c r="H85" s="1698" t="s">
        <v>452</v>
      </c>
      <c r="M85" s="1661"/>
      <c r="N85" s="1661"/>
      <c r="O85" s="1661"/>
      <c r="P85" s="1661"/>
      <c r="Q85" s="1661"/>
      <c r="R85" s="1662">
        <v>2021</v>
      </c>
    </row>
    <row r="86" spans="2:18" x14ac:dyDescent="0.25">
      <c r="B86" s="1635" t="s">
        <v>1202</v>
      </c>
      <c r="E86" s="1684">
        <v>4800000</v>
      </c>
      <c r="F86" s="1685">
        <v>2400000</v>
      </c>
      <c r="G86" s="1629">
        <v>2400000</v>
      </c>
      <c r="H86" s="1698"/>
      <c r="M86" s="1661"/>
      <c r="N86" s="1661"/>
      <c r="O86" s="1661"/>
      <c r="P86" s="1661"/>
      <c r="Q86" s="1661"/>
      <c r="R86" s="1662"/>
    </row>
    <row r="87" spans="2:18" x14ac:dyDescent="0.25">
      <c r="B87" s="1621" t="s">
        <v>508</v>
      </c>
      <c r="E87" s="1686">
        <v>9300000</v>
      </c>
      <c r="F87" s="1687">
        <v>4500000</v>
      </c>
      <c r="G87" s="1616">
        <f t="shared" si="7"/>
        <v>4800000</v>
      </c>
      <c r="H87" s="1700" t="s">
        <v>452</v>
      </c>
      <c r="M87" s="1661" t="s">
        <v>492</v>
      </c>
      <c r="N87" s="1661" t="s">
        <v>450</v>
      </c>
      <c r="O87" s="1661" t="s">
        <v>454</v>
      </c>
      <c r="P87" s="1661" t="s">
        <v>454</v>
      </c>
      <c r="Q87" s="1661" t="s">
        <v>454</v>
      </c>
      <c r="R87" s="1662">
        <v>2020</v>
      </c>
    </row>
    <row r="88" spans="2:18" ht="14.25" thickBot="1" x14ac:dyDescent="0.3">
      <c r="B88" s="1714" t="s">
        <v>509</v>
      </c>
      <c r="E88" s="1715">
        <v>1000000</v>
      </c>
      <c r="F88" s="1716">
        <v>0</v>
      </c>
      <c r="G88" s="1717">
        <f t="shared" si="7"/>
        <v>1000000</v>
      </c>
      <c r="H88" s="1718" t="s">
        <v>452</v>
      </c>
      <c r="M88" s="1670" t="s">
        <v>495</v>
      </c>
      <c r="N88" s="1670" t="s">
        <v>450</v>
      </c>
      <c r="O88" s="1670" t="s">
        <v>450</v>
      </c>
      <c r="P88" s="1670" t="s">
        <v>450</v>
      </c>
      <c r="Q88" s="1670" t="s">
        <v>450</v>
      </c>
      <c r="R88" s="1671">
        <v>2021</v>
      </c>
    </row>
    <row r="89" spans="2:18" x14ac:dyDescent="0.25">
      <c r="E89" s="1659"/>
      <c r="F89" s="1659"/>
      <c r="G89" s="1659"/>
    </row>
    <row r="90" spans="2:18" x14ac:dyDescent="0.25">
      <c r="B90" s="1600" t="s">
        <v>479</v>
      </c>
      <c r="E90" s="1659">
        <f>SUM(E80:E88)</f>
        <v>516200000</v>
      </c>
      <c r="F90" s="1659">
        <f>SUM(F80:F88)</f>
        <v>401900000</v>
      </c>
      <c r="G90" s="1659">
        <f>SUM(G80:G88)</f>
        <v>96800000</v>
      </c>
      <c r="H90" s="1659"/>
    </row>
    <row r="91" spans="2:18" x14ac:dyDescent="0.25">
      <c r="B91" s="1600"/>
      <c r="E91" s="1659"/>
      <c r="F91" s="1659"/>
      <c r="G91" s="1659"/>
      <c r="H91" s="1659"/>
    </row>
    <row r="92" spans="2:18" x14ac:dyDescent="0.25">
      <c r="C92" s="1719" t="s">
        <v>510</v>
      </c>
      <c r="D92" s="1719" t="s">
        <v>511</v>
      </c>
      <c r="E92" s="1719"/>
    </row>
    <row r="93" spans="2:18" x14ac:dyDescent="0.25">
      <c r="B93" s="1600" t="s">
        <v>512</v>
      </c>
      <c r="C93" s="1659">
        <f>E36+E50+E61+E75+E90</f>
        <v>872456238.42000008</v>
      </c>
      <c r="D93" s="1659">
        <f>SUM(F36,I36,F50,I50,F61,G61,F75,I75,F90,G90)</f>
        <v>707343000</v>
      </c>
      <c r="E93" s="1659"/>
      <c r="G93" s="1659">
        <f>+G81+H66+H67+H68+H71+G61</f>
        <v>73675000</v>
      </c>
    </row>
    <row r="94" spans="2:18" x14ac:dyDescent="0.25">
      <c r="B94" s="1600" t="s">
        <v>513</v>
      </c>
      <c r="C94" s="1659">
        <f>F36+F50+F61+F75+F90</f>
        <v>498785000</v>
      </c>
      <c r="D94" s="1659">
        <f>F36+F50+F61+F75+F90</f>
        <v>498785000</v>
      </c>
      <c r="E94" s="1659"/>
    </row>
    <row r="95" spans="2:18" x14ac:dyDescent="0.25">
      <c r="B95" s="1600" t="s">
        <v>514</v>
      </c>
      <c r="C95" s="1659">
        <f>C93-C94</f>
        <v>373671238.42000008</v>
      </c>
      <c r="D95" s="1659">
        <f>D93-D94</f>
        <v>208558000</v>
      </c>
      <c r="E95" s="1659"/>
    </row>
    <row r="96" spans="2:18" x14ac:dyDescent="0.25">
      <c r="B96" s="1720" t="s">
        <v>515</v>
      </c>
      <c r="C96" s="1721">
        <f>H36</f>
        <v>116411238.42</v>
      </c>
      <c r="D96" s="1721">
        <f>I36</f>
        <v>34543000</v>
      </c>
      <c r="E96" s="1721"/>
    </row>
    <row r="97" spans="2:5" x14ac:dyDescent="0.25">
      <c r="B97" s="1720" t="s">
        <v>516</v>
      </c>
      <c r="C97" s="1721">
        <f>H50</f>
        <v>17500000</v>
      </c>
      <c r="D97" s="1721">
        <f>I50</f>
        <v>12100000</v>
      </c>
      <c r="E97" s="1721"/>
    </row>
    <row r="98" spans="2:5" x14ac:dyDescent="0.25">
      <c r="B98" s="1720" t="s">
        <v>517</v>
      </c>
      <c r="C98" s="1721">
        <f>H75</f>
        <v>54840000</v>
      </c>
      <c r="D98" s="1721">
        <f>H75</f>
        <v>54840000</v>
      </c>
      <c r="E98" s="1721"/>
    </row>
    <row r="99" spans="2:5" x14ac:dyDescent="0.25">
      <c r="B99" s="1720" t="s">
        <v>518</v>
      </c>
      <c r="C99" s="1721">
        <f>G90</f>
        <v>96800000</v>
      </c>
      <c r="D99" s="1721">
        <f>G90</f>
        <v>96800000</v>
      </c>
      <c r="E99" s="1721"/>
    </row>
    <row r="100" spans="2:5" x14ac:dyDescent="0.25">
      <c r="B100" s="1720" t="s">
        <v>519</v>
      </c>
      <c r="C100" s="1721">
        <f>G61</f>
        <v>25275000</v>
      </c>
      <c r="D100" s="1721">
        <f>G61</f>
        <v>25275000</v>
      </c>
      <c r="E100" s="1721"/>
    </row>
    <row r="102" spans="2:5" x14ac:dyDescent="0.25">
      <c r="B102" s="1600" t="s">
        <v>520</v>
      </c>
      <c r="C102" s="1659">
        <v>40000000</v>
      </c>
      <c r="D102" s="1659">
        <f>C102</f>
        <v>40000000</v>
      </c>
      <c r="E102" s="1659"/>
    </row>
    <row r="103" spans="2:5" x14ac:dyDescent="0.25">
      <c r="B103" s="1600" t="s">
        <v>643</v>
      </c>
      <c r="C103" s="1659">
        <v>20000000</v>
      </c>
      <c r="D103" s="1659">
        <v>20000000</v>
      </c>
      <c r="E103" s="1659"/>
    </row>
    <row r="104" spans="2:5" x14ac:dyDescent="0.25">
      <c r="B104" s="1600" t="s">
        <v>644</v>
      </c>
      <c r="C104" s="1659">
        <v>20000000</v>
      </c>
      <c r="D104" s="1659">
        <v>20000000</v>
      </c>
      <c r="E104" s="1659"/>
    </row>
    <row r="106" spans="2:5" x14ac:dyDescent="0.25">
      <c r="B106" s="1600" t="s">
        <v>521</v>
      </c>
      <c r="C106" s="1722">
        <f>C95-SUM(C102:C104)</f>
        <v>293671238.42000008</v>
      </c>
      <c r="D106" s="1722">
        <f>D95-SUM(D102:D104)</f>
        <v>128558000</v>
      </c>
      <c r="E106" s="1722"/>
    </row>
    <row r="108" spans="2:5" x14ac:dyDescent="0.25">
      <c r="B108" s="1600" t="s">
        <v>522</v>
      </c>
    </row>
    <row r="109" spans="2:5" x14ac:dyDescent="0.25">
      <c r="B109" s="1720" t="s">
        <v>523</v>
      </c>
      <c r="C109" s="1659">
        <v>10000000</v>
      </c>
      <c r="D109" s="1659">
        <v>10000000</v>
      </c>
      <c r="E109" s="1659"/>
    </row>
    <row r="110" spans="2:5" x14ac:dyDescent="0.25">
      <c r="B110" s="1720" t="s">
        <v>524</v>
      </c>
      <c r="C110" s="1659">
        <f>35000000</f>
        <v>35000000</v>
      </c>
      <c r="D110" s="1659">
        <f>35000000</f>
        <v>35000000</v>
      </c>
      <c r="E110" s="1659"/>
    </row>
    <row r="111" spans="2:5" x14ac:dyDescent="0.25">
      <c r="B111" s="1720" t="s">
        <v>525</v>
      </c>
      <c r="C111" s="1723">
        <f>33000*1800*0.7</f>
        <v>41580000</v>
      </c>
      <c r="D111" s="1723">
        <f>33000*1800*0.7</f>
        <v>41580000</v>
      </c>
      <c r="E111" s="1723"/>
    </row>
    <row r="112" spans="2:5" x14ac:dyDescent="0.25">
      <c r="B112" s="1720" t="s">
        <v>526</v>
      </c>
      <c r="C112" s="1659">
        <f>15000*780</f>
        <v>11700000</v>
      </c>
      <c r="D112" s="1659">
        <f>15000*780</f>
        <v>11700000</v>
      </c>
      <c r="E112" s="1659"/>
    </row>
    <row r="113" spans="2:5" x14ac:dyDescent="0.25">
      <c r="B113" s="1723"/>
      <c r="C113" s="1659"/>
      <c r="D113" s="1659"/>
      <c r="E113" s="1659"/>
    </row>
    <row r="114" spans="2:5" x14ac:dyDescent="0.25">
      <c r="B114" s="1600" t="s">
        <v>527</v>
      </c>
      <c r="C114" s="1659">
        <f>SUM(C109:C110,C112)</f>
        <v>56700000</v>
      </c>
      <c r="D114" s="1659">
        <f>SUM(D109:D110,D112)</f>
        <v>56700000</v>
      </c>
      <c r="E114" s="1659"/>
    </row>
    <row r="115" spans="2:5" x14ac:dyDescent="0.25">
      <c r="B115" s="1600" t="s">
        <v>528</v>
      </c>
      <c r="C115" s="1659">
        <f>SUM(C109,C111,C112)</f>
        <v>63280000</v>
      </c>
      <c r="D115" s="1659">
        <f>SUM(D109,D111,D112)</f>
        <v>63280000</v>
      </c>
      <c r="E115" s="1659"/>
    </row>
    <row r="116" spans="2:5" x14ac:dyDescent="0.25">
      <c r="C116" s="1659"/>
      <c r="D116" s="1659"/>
      <c r="E116" s="1659"/>
    </row>
    <row r="117" spans="2:5" x14ac:dyDescent="0.25">
      <c r="B117" s="1600" t="s">
        <v>529</v>
      </c>
      <c r="C117" s="1659">
        <v>77000000</v>
      </c>
      <c r="D117" s="1659">
        <v>77000000</v>
      </c>
      <c r="E117" s="1659"/>
    </row>
    <row r="118" spans="2:5" x14ac:dyDescent="0.25">
      <c r="B118" s="1600" t="s">
        <v>530</v>
      </c>
      <c r="C118" s="1659">
        <v>145000000</v>
      </c>
      <c r="D118" s="1659">
        <v>145000000</v>
      </c>
      <c r="E118" s="1659"/>
    </row>
    <row r="120" spans="2:5" x14ac:dyDescent="0.25">
      <c r="B120" s="1600" t="s">
        <v>531</v>
      </c>
      <c r="C120" s="1659">
        <f>C118-C117</f>
        <v>68000000</v>
      </c>
      <c r="D120" s="1659">
        <f>D118-D117</f>
        <v>68000000</v>
      </c>
      <c r="E120" s="1659"/>
    </row>
    <row r="121" spans="2:5" x14ac:dyDescent="0.25">
      <c r="B121" s="625" t="s">
        <v>532</v>
      </c>
      <c r="C121" s="1659">
        <f>4*10908000</f>
        <v>43632000</v>
      </c>
      <c r="D121" s="1659">
        <f>4*10908000</f>
        <v>43632000</v>
      </c>
      <c r="E121" s="1659"/>
    </row>
    <row r="122" spans="2:5" x14ac:dyDescent="0.25">
      <c r="C122" s="1659"/>
      <c r="D122" s="1659"/>
      <c r="E122" s="1659"/>
    </row>
    <row r="123" spans="2:5" x14ac:dyDescent="0.25">
      <c r="B123" s="1600" t="s">
        <v>533</v>
      </c>
      <c r="C123" s="1722">
        <f>SUM(C120:C121)</f>
        <v>111632000</v>
      </c>
      <c r="D123" s="1722">
        <f>SUM(D120:D121)</f>
        <v>111632000</v>
      </c>
      <c r="E123" s="1722"/>
    </row>
    <row r="125" spans="2:5" x14ac:dyDescent="0.25">
      <c r="B125" s="1600" t="s">
        <v>534</v>
      </c>
      <c r="C125" s="1724">
        <f>C123-C106</f>
        <v>-182039238.42000008</v>
      </c>
      <c r="D125" s="1724">
        <f>D123-D106</f>
        <v>-16926000</v>
      </c>
      <c r="E125" s="1724"/>
    </row>
    <row r="127" spans="2:5" x14ac:dyDescent="0.25">
      <c r="B127" s="1600" t="s">
        <v>645</v>
      </c>
    </row>
    <row r="129" spans="2:4" x14ac:dyDescent="0.25">
      <c r="B129" s="1600" t="s">
        <v>646</v>
      </c>
      <c r="C129" s="1600" t="s">
        <v>647</v>
      </c>
      <c r="D129" s="1600" t="s">
        <v>481</v>
      </c>
    </row>
    <row r="130" spans="2:4" x14ac:dyDescent="0.25">
      <c r="B130" s="1601"/>
      <c r="C130" s="1721"/>
      <c r="D130" s="1721"/>
    </row>
    <row r="131" spans="2:4" x14ac:dyDescent="0.25">
      <c r="B131" s="1725" t="s">
        <v>636</v>
      </c>
      <c r="C131" s="1726">
        <f>E46</f>
        <v>3000000</v>
      </c>
      <c r="D131" s="1726">
        <f>I46</f>
        <v>1500000</v>
      </c>
    </row>
    <row r="132" spans="2:4" x14ac:dyDescent="0.25">
      <c r="B132" s="1725" t="str">
        <f>B12</f>
        <v>Fibichova</v>
      </c>
      <c r="C132" s="1726">
        <f>E12</f>
        <v>5401730.3999999994</v>
      </c>
      <c r="D132" s="1726">
        <f>I12</f>
        <v>900000</v>
      </c>
    </row>
    <row r="133" spans="2:4" x14ac:dyDescent="0.25">
      <c r="B133" s="1725" t="str">
        <f>B16</f>
        <v>Na Ztraceném Korci</v>
      </c>
      <c r="C133" s="1726">
        <f>E16</f>
        <v>1760368.5</v>
      </c>
      <c r="D133" s="1726">
        <f>I16</f>
        <v>180000</v>
      </c>
    </row>
    <row r="134" spans="2:4" x14ac:dyDescent="0.25">
      <c r="B134" s="1725" t="str">
        <f>B17</f>
        <v>Kupkova</v>
      </c>
      <c r="C134" s="1726">
        <f>E17</f>
        <v>2477003.1</v>
      </c>
      <c r="D134" s="1726">
        <f>I17</f>
        <v>550000</v>
      </c>
    </row>
    <row r="135" spans="2:4" x14ac:dyDescent="0.25">
      <c r="B135" s="1725" t="str">
        <f>B24</f>
        <v>Táboritská</v>
      </c>
      <c r="C135" s="1726">
        <f>E24</f>
        <v>4200000</v>
      </c>
      <c r="D135" s="1726">
        <f>I24</f>
        <v>1500000</v>
      </c>
    </row>
    <row r="136" spans="2:4" x14ac:dyDescent="0.25">
      <c r="B136" s="1725" t="str">
        <f>B29</f>
        <v>šamalová</v>
      </c>
      <c r="C136" s="1726">
        <f>E29</f>
        <v>2809620</v>
      </c>
      <c r="D136" s="1726">
        <f>I29</f>
        <v>480000</v>
      </c>
    </row>
    <row r="137" spans="2:4" x14ac:dyDescent="0.25">
      <c r="B137" s="1725"/>
      <c r="C137" s="1726"/>
      <c r="D137" s="1726"/>
    </row>
    <row r="138" spans="2:4" x14ac:dyDescent="0.25">
      <c r="B138" s="1725" t="str">
        <f>B45</f>
        <v>Cyklostezka - propojení Mánesova - koupaliště - Muchova</v>
      </c>
      <c r="C138" s="1726">
        <f>E45</f>
        <v>2400000</v>
      </c>
      <c r="D138" s="1726">
        <f>I45</f>
        <v>1200000</v>
      </c>
    </row>
    <row r="139" spans="2:4" x14ac:dyDescent="0.25">
      <c r="B139" s="1725" t="s">
        <v>487</v>
      </c>
      <c r="C139" s="1726">
        <f>E47</f>
        <v>3000000</v>
      </c>
      <c r="D139" s="1726">
        <f>I47</f>
        <v>900000</v>
      </c>
    </row>
    <row r="140" spans="2:4" x14ac:dyDescent="0.25">
      <c r="B140" s="1725" t="s">
        <v>488</v>
      </c>
      <c r="C140" s="1726">
        <f>E48</f>
        <v>1400000</v>
      </c>
      <c r="D140" s="1726">
        <f>I48</f>
        <v>400000</v>
      </c>
    </row>
    <row r="141" spans="2:4" x14ac:dyDescent="0.25">
      <c r="B141" s="1725"/>
      <c r="C141" s="1726"/>
      <c r="D141" s="1726"/>
    </row>
    <row r="142" spans="2:4" x14ac:dyDescent="0.25">
      <c r="B142" s="1725" t="s">
        <v>648</v>
      </c>
      <c r="C142" s="1726">
        <f>E85</f>
        <v>8500000</v>
      </c>
      <c r="D142" s="1726">
        <f>G85</f>
        <v>5000000</v>
      </c>
    </row>
    <row r="143" spans="2:4" x14ac:dyDescent="0.25">
      <c r="B143" s="1725" t="str">
        <f>B44</f>
        <v xml:space="preserve">Cyklostezka - přemostění I/12 </v>
      </c>
      <c r="C143" s="1726">
        <f>E44</f>
        <v>12000000</v>
      </c>
      <c r="D143" s="1726">
        <f>I44</f>
        <v>3600000</v>
      </c>
    </row>
    <row r="144" spans="2:4" x14ac:dyDescent="0.25">
      <c r="B144" s="1725" t="str">
        <f>B82</f>
        <v>Zateplení ZŠ Úvaly budova B</v>
      </c>
      <c r="C144" s="1726">
        <f>E82</f>
        <v>18000000</v>
      </c>
      <c r="D144" s="1726">
        <f>G82</f>
        <v>9000000</v>
      </c>
    </row>
    <row r="145" spans="2:4" x14ac:dyDescent="0.25">
      <c r="B145" s="1601"/>
      <c r="C145" s="1721"/>
      <c r="D145" s="1721"/>
    </row>
    <row r="146" spans="2:4" x14ac:dyDescent="0.25">
      <c r="B146" s="1600" t="s">
        <v>649</v>
      </c>
      <c r="C146" s="1721"/>
      <c r="D146" s="1721"/>
    </row>
    <row r="147" spans="2:4" x14ac:dyDescent="0.25">
      <c r="B147" s="1601"/>
      <c r="C147" s="1721"/>
      <c r="D147" s="1721"/>
    </row>
    <row r="148" spans="2:4" x14ac:dyDescent="0.25">
      <c r="B148" s="1727" t="s">
        <v>638</v>
      </c>
      <c r="C148" s="1728">
        <f>E71</f>
        <v>30000000</v>
      </c>
      <c r="D148" s="1728">
        <f>I71</f>
        <v>15000000</v>
      </c>
    </row>
    <row r="149" spans="2:4" x14ac:dyDescent="0.25">
      <c r="B149" s="1727" t="s">
        <v>494</v>
      </c>
      <c r="C149" s="1728">
        <f>E56</f>
        <v>12000000</v>
      </c>
      <c r="D149" s="1728">
        <f>G56</f>
        <v>6000000</v>
      </c>
    </row>
    <row r="150" spans="2:4" x14ac:dyDescent="0.25">
      <c r="B150" s="1601"/>
      <c r="D150" s="1721"/>
    </row>
    <row r="151" spans="2:4" x14ac:dyDescent="0.25">
      <c r="B151" s="1600" t="s">
        <v>534</v>
      </c>
      <c r="D151" s="1729">
        <f>D125+SUM(D131:D144,D148:D149)</f>
        <v>29284000</v>
      </c>
    </row>
    <row r="152" spans="2:4" x14ac:dyDescent="0.25">
      <c r="B152" s="1601"/>
      <c r="D152" s="1721"/>
    </row>
    <row r="153" spans="2:4" x14ac:dyDescent="0.25">
      <c r="B153" s="1601"/>
      <c r="D153" s="1721"/>
    </row>
    <row r="154" spans="2:4" x14ac:dyDescent="0.25">
      <c r="B154" s="1601"/>
      <c r="D154" s="1721"/>
    </row>
    <row r="155" spans="2:4" x14ac:dyDescent="0.25">
      <c r="B155" s="1601"/>
      <c r="D155" s="1721"/>
    </row>
  </sheetData>
  <sheetProtection algorithmName="SHA-512" hashValue="AQfIi0KsZhGhFpiK+2/O5uy3o922cQZVgcqV76nLP93ZzI8ZKoyi0ya48JacoUmZuSfiRkMYojL9fZD56jB5rA==" saltValue="FSqsSdTWKEZ80hd9g1T6lg==" spinCount="100000" sheet="1" objects="1" scenarios="1"/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09"/>
  <sheetViews>
    <sheetView zoomScale="84" zoomScaleNormal="84" workbookViewId="0"/>
  </sheetViews>
  <sheetFormatPr defaultColWidth="9.140625" defaultRowHeight="13.5" x14ac:dyDescent="0.25"/>
  <cols>
    <col min="1" max="1" width="5.5703125" style="448" bestFit="1" customWidth="1"/>
    <col min="2" max="2" width="13.5703125" style="481" customWidth="1"/>
    <col min="3" max="3" width="12.42578125" style="448" bestFit="1" customWidth="1"/>
    <col min="4" max="4" width="11.28515625" style="1735" bestFit="1" customWidth="1"/>
    <col min="5" max="5" width="9" style="518" bestFit="1" customWidth="1"/>
    <col min="6" max="7" width="9.140625" style="448"/>
    <col min="8" max="9" width="12.42578125" style="481" bestFit="1" customWidth="1"/>
    <col min="10" max="10" width="9.28515625" style="1735" customWidth="1"/>
    <col min="11" max="11" width="9.140625" style="518" customWidth="1"/>
    <col min="12" max="16384" width="9.140625" style="448"/>
  </cols>
  <sheetData>
    <row r="1" spans="1:13" s="526" customFormat="1" x14ac:dyDescent="0.25">
      <c r="A1" s="472" t="s">
        <v>1110</v>
      </c>
      <c r="B1" s="1730">
        <v>30000000</v>
      </c>
      <c r="C1" s="472"/>
      <c r="D1" s="1731"/>
      <c r="E1" s="1732"/>
      <c r="F1" s="472"/>
      <c r="G1" s="472"/>
      <c r="H1" s="1730">
        <v>90000000</v>
      </c>
      <c r="I1" s="1730"/>
      <c r="J1" s="1731"/>
      <c r="K1" s="1732"/>
      <c r="L1" s="472"/>
      <c r="M1" s="472"/>
    </row>
    <row r="2" spans="1:13" s="526" customFormat="1" x14ac:dyDescent="0.25">
      <c r="A2" s="472"/>
      <c r="B2" s="1730"/>
      <c r="C2" s="472"/>
      <c r="D2" s="1731"/>
      <c r="E2" s="1732"/>
      <c r="F2" s="472"/>
      <c r="G2" s="472"/>
      <c r="H2" s="1730"/>
      <c r="I2" s="1730"/>
      <c r="J2" s="1731"/>
      <c r="K2" s="1732"/>
      <c r="L2" s="472"/>
      <c r="M2" s="472"/>
    </row>
    <row r="3" spans="1:13" s="526" customFormat="1" x14ac:dyDescent="0.25">
      <c r="B3" s="450" t="s">
        <v>1111</v>
      </c>
      <c r="C3" s="451" t="s">
        <v>1112</v>
      </c>
      <c r="D3" s="1733" t="s">
        <v>7</v>
      </c>
      <c r="E3" s="714"/>
      <c r="F3" s="472"/>
      <c r="G3" s="472"/>
      <c r="H3" s="450" t="s">
        <v>1111</v>
      </c>
      <c r="I3" s="451" t="s">
        <v>1112</v>
      </c>
      <c r="J3" s="1733" t="s">
        <v>7</v>
      </c>
      <c r="K3" s="714"/>
      <c r="L3" s="472"/>
      <c r="M3" s="472"/>
    </row>
    <row r="4" spans="1:13" s="446" customFormat="1" x14ac:dyDescent="0.25">
      <c r="B4" s="860"/>
      <c r="C4" s="605"/>
      <c r="D4" s="1734"/>
      <c r="E4" s="517"/>
      <c r="F4" s="448"/>
      <c r="G4" s="448"/>
      <c r="H4" s="527"/>
      <c r="I4" s="527"/>
      <c r="J4" s="667"/>
      <c r="K4" s="517"/>
      <c r="L4" s="448"/>
      <c r="M4" s="448"/>
    </row>
    <row r="5" spans="1:13" s="446" customFormat="1" x14ac:dyDescent="0.25">
      <c r="A5" s="446">
        <v>2019</v>
      </c>
      <c r="B5" s="527">
        <v>30000000</v>
      </c>
      <c r="D5" s="667">
        <f>+B5*0.0251</f>
        <v>753000</v>
      </c>
      <c r="E5" s="656">
        <f>+D5</f>
        <v>753000</v>
      </c>
      <c r="F5" s="448"/>
      <c r="G5" s="448"/>
      <c r="H5" s="527">
        <f>5142852/4</f>
        <v>1285713</v>
      </c>
      <c r="I5" s="527">
        <f>+H1-H5</f>
        <v>88714287</v>
      </c>
      <c r="J5" s="667">
        <f>+I5*0.009/4</f>
        <v>199607.14575</v>
      </c>
      <c r="K5" s="656"/>
      <c r="L5" s="448"/>
      <c r="M5" s="448"/>
    </row>
    <row r="6" spans="1:13" s="446" customFormat="1" x14ac:dyDescent="0.25">
      <c r="A6" s="446">
        <v>2019</v>
      </c>
      <c r="B6" s="527"/>
      <c r="D6" s="667"/>
      <c r="E6" s="517"/>
      <c r="F6" s="448"/>
      <c r="G6" s="448"/>
      <c r="H6" s="527">
        <v>1285713</v>
      </c>
      <c r="I6" s="527">
        <f>+I5-H6</f>
        <v>87428574</v>
      </c>
      <c r="J6" s="667">
        <f t="shared" ref="J6:J69" si="0">+I6*0.009/4</f>
        <v>196714.29149999999</v>
      </c>
      <c r="K6" s="517"/>
      <c r="L6" s="448"/>
      <c r="M6" s="448"/>
    </row>
    <row r="7" spans="1:13" s="446" customFormat="1" x14ac:dyDescent="0.25">
      <c r="A7" s="446">
        <v>2019</v>
      </c>
      <c r="B7" s="527"/>
      <c r="D7" s="667"/>
      <c r="E7" s="517"/>
      <c r="F7" s="448"/>
      <c r="G7" s="448"/>
      <c r="H7" s="527">
        <v>1285713</v>
      </c>
      <c r="I7" s="527">
        <f>+I6-H7</f>
        <v>86142861</v>
      </c>
      <c r="J7" s="667">
        <f t="shared" si="0"/>
        <v>193821.43724999999</v>
      </c>
      <c r="K7" s="517"/>
      <c r="L7" s="448"/>
      <c r="M7" s="448"/>
    </row>
    <row r="8" spans="1:13" s="446" customFormat="1" x14ac:dyDescent="0.25">
      <c r="A8" s="446">
        <v>2019</v>
      </c>
      <c r="B8" s="527"/>
      <c r="D8" s="667"/>
      <c r="E8" s="517"/>
      <c r="F8" s="448"/>
      <c r="G8" s="448"/>
      <c r="H8" s="527">
        <v>1285713</v>
      </c>
      <c r="I8" s="527">
        <f t="shared" ref="I8:I71" si="1">+I7-H8</f>
        <v>84857148</v>
      </c>
      <c r="J8" s="667">
        <f t="shared" si="0"/>
        <v>190928.58299999998</v>
      </c>
      <c r="K8" s="517"/>
      <c r="L8" s="448"/>
      <c r="M8" s="448"/>
    </row>
    <row r="9" spans="1:13" s="446" customFormat="1" x14ac:dyDescent="0.25">
      <c r="A9" s="446">
        <v>2020</v>
      </c>
      <c r="B9" s="527">
        <v>30000000</v>
      </c>
      <c r="D9" s="667">
        <f>+B9*0.0251</f>
        <v>753000</v>
      </c>
      <c r="E9" s="656">
        <f>+D9</f>
        <v>753000</v>
      </c>
      <c r="F9" s="448"/>
      <c r="G9" s="448"/>
      <c r="H9" s="527">
        <v>1285713</v>
      </c>
      <c r="I9" s="527">
        <f t="shared" si="1"/>
        <v>83571435</v>
      </c>
      <c r="J9" s="667">
        <f t="shared" si="0"/>
        <v>188035.72874999998</v>
      </c>
      <c r="K9" s="656">
        <f>+J6+J7+J8+J9</f>
        <v>769500.0405</v>
      </c>
      <c r="L9" s="448"/>
      <c r="M9" s="448"/>
    </row>
    <row r="10" spans="1:13" s="446" customFormat="1" x14ac:dyDescent="0.25">
      <c r="A10" s="446">
        <v>2020</v>
      </c>
      <c r="B10" s="527"/>
      <c r="D10" s="667"/>
      <c r="E10" s="517"/>
      <c r="F10" s="448"/>
      <c r="G10" s="448"/>
      <c r="H10" s="527">
        <v>1285713</v>
      </c>
      <c r="I10" s="527">
        <f t="shared" si="1"/>
        <v>82285722</v>
      </c>
      <c r="J10" s="667">
        <f t="shared" si="0"/>
        <v>185142.87449999998</v>
      </c>
      <c r="K10" s="517"/>
      <c r="L10" s="448"/>
      <c r="M10" s="448"/>
    </row>
    <row r="11" spans="1:13" s="446" customFormat="1" x14ac:dyDescent="0.25">
      <c r="A11" s="446">
        <v>2020</v>
      </c>
      <c r="B11" s="527"/>
      <c r="D11" s="667"/>
      <c r="E11" s="517"/>
      <c r="F11" s="448"/>
      <c r="G11" s="448"/>
      <c r="H11" s="527">
        <v>1285713</v>
      </c>
      <c r="I11" s="527">
        <f t="shared" si="1"/>
        <v>81000009</v>
      </c>
      <c r="J11" s="667">
        <f t="shared" si="0"/>
        <v>182250.02024999997</v>
      </c>
      <c r="K11" s="517"/>
      <c r="L11" s="448"/>
      <c r="M11" s="448"/>
    </row>
    <row r="12" spans="1:13" s="446" customFormat="1" x14ac:dyDescent="0.25">
      <c r="A12" s="446">
        <v>2020</v>
      </c>
      <c r="B12" s="527"/>
      <c r="D12" s="667"/>
      <c r="E12" s="517"/>
      <c r="F12" s="448"/>
      <c r="G12" s="448"/>
      <c r="H12" s="527">
        <v>1285713</v>
      </c>
      <c r="I12" s="527">
        <f t="shared" si="1"/>
        <v>79714296</v>
      </c>
      <c r="J12" s="667">
        <f t="shared" si="0"/>
        <v>179357.166</v>
      </c>
      <c r="K12" s="656">
        <f>+J9+J10+J11+J12</f>
        <v>734785.78949999984</v>
      </c>
      <c r="L12" s="448"/>
      <c r="M12" s="448"/>
    </row>
    <row r="13" spans="1:13" s="446" customFormat="1" x14ac:dyDescent="0.25">
      <c r="A13" s="446">
        <v>2021</v>
      </c>
      <c r="B13" s="527">
        <f>1698120/4</f>
        <v>424530</v>
      </c>
      <c r="C13" s="527">
        <f>+B1-B13</f>
        <v>29575470</v>
      </c>
      <c r="D13" s="667">
        <f>+C13*0.0251/4</f>
        <v>185586.07425000001</v>
      </c>
      <c r="E13" s="517"/>
      <c r="F13" s="448"/>
      <c r="G13" s="448"/>
      <c r="H13" s="527">
        <v>1285713</v>
      </c>
      <c r="I13" s="527">
        <f t="shared" si="1"/>
        <v>78428583</v>
      </c>
      <c r="J13" s="667">
        <f t="shared" si="0"/>
        <v>176464.31174999999</v>
      </c>
      <c r="K13" s="517"/>
      <c r="L13" s="448"/>
      <c r="M13" s="448"/>
    </row>
    <row r="14" spans="1:13" s="446" customFormat="1" x14ac:dyDescent="0.25">
      <c r="A14" s="446">
        <v>2021</v>
      </c>
      <c r="B14" s="527">
        <v>424530</v>
      </c>
      <c r="C14" s="527">
        <f>+C13-B14</f>
        <v>29150940</v>
      </c>
      <c r="D14" s="667">
        <f t="shared" ref="D14:D65" si="2">+C14*0.0251/4</f>
        <v>182922.14850000001</v>
      </c>
      <c r="E14" s="517"/>
      <c r="F14" s="448"/>
      <c r="G14" s="448"/>
      <c r="H14" s="527">
        <v>1285713</v>
      </c>
      <c r="I14" s="527">
        <f t="shared" si="1"/>
        <v>77142870</v>
      </c>
      <c r="J14" s="667">
        <f t="shared" si="0"/>
        <v>173571.45749999999</v>
      </c>
      <c r="K14" s="517"/>
      <c r="L14" s="448"/>
      <c r="M14" s="448"/>
    </row>
    <row r="15" spans="1:13" s="446" customFormat="1" x14ac:dyDescent="0.25">
      <c r="A15" s="446">
        <v>2021</v>
      </c>
      <c r="B15" s="527">
        <v>424530</v>
      </c>
      <c r="C15" s="527">
        <f t="shared" ref="C15:C65" si="3">+C14-B15</f>
        <v>28726410</v>
      </c>
      <c r="D15" s="667">
        <f t="shared" si="2"/>
        <v>180258.22275000002</v>
      </c>
      <c r="E15" s="517"/>
      <c r="F15" s="448"/>
      <c r="G15" s="448"/>
      <c r="H15" s="527">
        <v>1285713</v>
      </c>
      <c r="I15" s="527">
        <f t="shared" si="1"/>
        <v>75857157</v>
      </c>
      <c r="J15" s="667">
        <f t="shared" si="0"/>
        <v>170678.60324999999</v>
      </c>
      <c r="K15" s="517"/>
      <c r="L15" s="448"/>
      <c r="M15" s="448"/>
    </row>
    <row r="16" spans="1:13" s="446" customFormat="1" x14ac:dyDescent="0.25">
      <c r="A16" s="446">
        <v>2021</v>
      </c>
      <c r="B16" s="527">
        <v>424530</v>
      </c>
      <c r="C16" s="527">
        <f t="shared" si="3"/>
        <v>28301880</v>
      </c>
      <c r="D16" s="667">
        <f t="shared" si="2"/>
        <v>177594.29699999999</v>
      </c>
      <c r="E16" s="656">
        <f>+D13+D14+D15+D16</f>
        <v>726360.74250000005</v>
      </c>
      <c r="F16" s="448"/>
      <c r="G16" s="448"/>
      <c r="H16" s="527">
        <v>1285713</v>
      </c>
      <c r="I16" s="527">
        <f t="shared" si="1"/>
        <v>74571444</v>
      </c>
      <c r="J16" s="667">
        <f t="shared" si="0"/>
        <v>167785.74899999998</v>
      </c>
      <c r="K16" s="656">
        <f>+J13+J14+J15+J16</f>
        <v>688500.12150000001</v>
      </c>
      <c r="L16" s="448"/>
      <c r="M16" s="448"/>
    </row>
    <row r="17" spans="1:13" s="446" customFormat="1" x14ac:dyDescent="0.25">
      <c r="A17" s="446">
        <v>2022</v>
      </c>
      <c r="B17" s="527">
        <v>566040</v>
      </c>
      <c r="C17" s="527">
        <f t="shared" si="3"/>
        <v>27735840</v>
      </c>
      <c r="D17" s="667">
        <f t="shared" si="2"/>
        <v>174042.39600000001</v>
      </c>
      <c r="E17" s="517"/>
      <c r="F17" s="448"/>
      <c r="G17" s="448"/>
      <c r="H17" s="527">
        <v>1285713</v>
      </c>
      <c r="I17" s="527">
        <f t="shared" si="1"/>
        <v>73285731</v>
      </c>
      <c r="J17" s="667">
        <f t="shared" si="0"/>
        <v>164892.89474999998</v>
      </c>
      <c r="K17" s="517"/>
      <c r="L17" s="448"/>
      <c r="M17" s="448"/>
    </row>
    <row r="18" spans="1:13" s="446" customFormat="1" x14ac:dyDescent="0.25">
      <c r="A18" s="446">
        <v>2022</v>
      </c>
      <c r="B18" s="527">
        <v>566040</v>
      </c>
      <c r="C18" s="527">
        <f t="shared" si="3"/>
        <v>27169800</v>
      </c>
      <c r="D18" s="667">
        <f t="shared" si="2"/>
        <v>170490.495</v>
      </c>
      <c r="E18" s="517"/>
      <c r="F18" s="448"/>
      <c r="G18" s="448"/>
      <c r="H18" s="527">
        <v>1285713</v>
      </c>
      <c r="I18" s="527">
        <f t="shared" si="1"/>
        <v>72000018</v>
      </c>
      <c r="J18" s="667">
        <f t="shared" si="0"/>
        <v>162000.04049999997</v>
      </c>
      <c r="K18" s="517"/>
      <c r="L18" s="448"/>
      <c r="M18" s="448"/>
    </row>
    <row r="19" spans="1:13" s="446" customFormat="1" x14ac:dyDescent="0.25">
      <c r="A19" s="446">
        <v>2022</v>
      </c>
      <c r="B19" s="527">
        <v>566040</v>
      </c>
      <c r="C19" s="527">
        <f t="shared" si="3"/>
        <v>26603760</v>
      </c>
      <c r="D19" s="667">
        <f t="shared" si="2"/>
        <v>166938.59400000001</v>
      </c>
      <c r="E19" s="517"/>
      <c r="F19" s="448"/>
      <c r="G19" s="448"/>
      <c r="H19" s="527">
        <v>1285713</v>
      </c>
      <c r="I19" s="527">
        <f t="shared" si="1"/>
        <v>70714305</v>
      </c>
      <c r="J19" s="667">
        <f t="shared" si="0"/>
        <v>159107.18625</v>
      </c>
      <c r="K19" s="517"/>
      <c r="L19" s="448"/>
      <c r="M19" s="448"/>
    </row>
    <row r="20" spans="1:13" s="446" customFormat="1" x14ac:dyDescent="0.25">
      <c r="A20" s="446">
        <v>2022</v>
      </c>
      <c r="B20" s="527">
        <v>566040</v>
      </c>
      <c r="C20" s="527">
        <f t="shared" si="3"/>
        <v>26037720</v>
      </c>
      <c r="D20" s="667">
        <f t="shared" si="2"/>
        <v>163386.693</v>
      </c>
      <c r="E20" s="656">
        <f>+D17+D18+D19+D20</f>
        <v>674858.17799999996</v>
      </c>
      <c r="F20" s="448"/>
      <c r="G20" s="448"/>
      <c r="H20" s="527">
        <v>1285713</v>
      </c>
      <c r="I20" s="527">
        <f t="shared" si="1"/>
        <v>69428592</v>
      </c>
      <c r="J20" s="667">
        <f t="shared" si="0"/>
        <v>156214.33199999999</v>
      </c>
      <c r="K20" s="656">
        <f>+J17+J18+J19+J20</f>
        <v>642214.45350000006</v>
      </c>
      <c r="L20" s="448"/>
      <c r="M20" s="448"/>
    </row>
    <row r="21" spans="1:13" s="446" customFormat="1" x14ac:dyDescent="0.25">
      <c r="A21" s="446">
        <v>2023</v>
      </c>
      <c r="B21" s="527">
        <v>566040</v>
      </c>
      <c r="C21" s="527">
        <f t="shared" si="3"/>
        <v>25471680</v>
      </c>
      <c r="D21" s="667">
        <f t="shared" si="2"/>
        <v>159834.79200000002</v>
      </c>
      <c r="E21" s="517"/>
      <c r="F21" s="448"/>
      <c r="G21" s="448"/>
      <c r="H21" s="527">
        <v>1285713</v>
      </c>
      <c r="I21" s="527">
        <f t="shared" si="1"/>
        <v>68142879</v>
      </c>
      <c r="J21" s="667">
        <f t="shared" si="0"/>
        <v>153321.47774999999</v>
      </c>
      <c r="K21" s="517"/>
      <c r="L21" s="448"/>
      <c r="M21" s="448"/>
    </row>
    <row r="22" spans="1:13" s="446" customFormat="1" x14ac:dyDescent="0.25">
      <c r="A22" s="446">
        <v>2023</v>
      </c>
      <c r="B22" s="527">
        <v>566040</v>
      </c>
      <c r="C22" s="527">
        <f t="shared" si="3"/>
        <v>24905640</v>
      </c>
      <c r="D22" s="667">
        <f t="shared" si="2"/>
        <v>156282.891</v>
      </c>
      <c r="E22" s="517"/>
      <c r="F22" s="448"/>
      <c r="G22" s="448"/>
      <c r="H22" s="527">
        <v>1285713</v>
      </c>
      <c r="I22" s="527">
        <f t="shared" si="1"/>
        <v>66857166</v>
      </c>
      <c r="J22" s="667">
        <f t="shared" si="0"/>
        <v>150428.62349999999</v>
      </c>
      <c r="K22" s="517"/>
      <c r="L22" s="448"/>
      <c r="M22" s="448"/>
    </row>
    <row r="23" spans="1:13" s="446" customFormat="1" x14ac:dyDescent="0.25">
      <c r="A23" s="446">
        <v>2023</v>
      </c>
      <c r="B23" s="527">
        <v>566040</v>
      </c>
      <c r="C23" s="527">
        <f t="shared" si="3"/>
        <v>24339600</v>
      </c>
      <c r="D23" s="667">
        <f t="shared" si="2"/>
        <v>152730.99</v>
      </c>
      <c r="E23" s="517"/>
      <c r="F23" s="448"/>
      <c r="G23" s="448"/>
      <c r="H23" s="527">
        <v>1285713</v>
      </c>
      <c r="I23" s="527">
        <f t="shared" si="1"/>
        <v>65571453</v>
      </c>
      <c r="J23" s="667">
        <f t="shared" si="0"/>
        <v>147535.76924999998</v>
      </c>
      <c r="K23" s="517"/>
      <c r="L23" s="448"/>
      <c r="M23" s="448"/>
    </row>
    <row r="24" spans="1:13" s="446" customFormat="1" x14ac:dyDescent="0.25">
      <c r="A24" s="446">
        <v>2023</v>
      </c>
      <c r="B24" s="527">
        <v>566040</v>
      </c>
      <c r="C24" s="527">
        <f t="shared" si="3"/>
        <v>23773560</v>
      </c>
      <c r="D24" s="667">
        <f t="shared" si="2"/>
        <v>149179.08900000001</v>
      </c>
      <c r="E24" s="656">
        <f>+D21+D22+D23+D24</f>
        <v>618027.76199999999</v>
      </c>
      <c r="F24" s="448"/>
      <c r="G24" s="448"/>
      <c r="H24" s="527">
        <v>1285713</v>
      </c>
      <c r="I24" s="527">
        <f t="shared" si="1"/>
        <v>64285740</v>
      </c>
      <c r="J24" s="667">
        <f t="shared" si="0"/>
        <v>144642.91499999998</v>
      </c>
      <c r="K24" s="656">
        <f>+J21+J22+J23+J24</f>
        <v>595928.7855</v>
      </c>
      <c r="L24" s="448"/>
      <c r="M24" s="448"/>
    </row>
    <row r="25" spans="1:13" s="446" customFormat="1" x14ac:dyDescent="0.25">
      <c r="A25" s="446">
        <v>2024</v>
      </c>
      <c r="B25" s="527">
        <v>566040</v>
      </c>
      <c r="C25" s="527">
        <f t="shared" si="3"/>
        <v>23207520</v>
      </c>
      <c r="D25" s="667">
        <f t="shared" si="2"/>
        <v>145627.18799999999</v>
      </c>
      <c r="E25" s="517"/>
      <c r="F25" s="448"/>
      <c r="G25" s="448"/>
      <c r="H25" s="527">
        <v>1285713</v>
      </c>
      <c r="I25" s="527">
        <f t="shared" si="1"/>
        <v>63000027</v>
      </c>
      <c r="J25" s="667">
        <f t="shared" si="0"/>
        <v>141750.06074999998</v>
      </c>
      <c r="K25" s="517"/>
      <c r="L25" s="448"/>
      <c r="M25" s="448"/>
    </row>
    <row r="26" spans="1:13" s="446" customFormat="1" x14ac:dyDescent="0.25">
      <c r="A26" s="446">
        <v>2024</v>
      </c>
      <c r="B26" s="527">
        <v>566040</v>
      </c>
      <c r="C26" s="527">
        <f t="shared" si="3"/>
        <v>22641480</v>
      </c>
      <c r="D26" s="667">
        <f t="shared" si="2"/>
        <v>142075.28700000001</v>
      </c>
      <c r="E26" s="517"/>
      <c r="F26" s="448"/>
      <c r="G26" s="448"/>
      <c r="H26" s="527">
        <v>1285713</v>
      </c>
      <c r="I26" s="527">
        <f t="shared" si="1"/>
        <v>61714314</v>
      </c>
      <c r="J26" s="667">
        <f t="shared" si="0"/>
        <v>138857.2065</v>
      </c>
      <c r="K26" s="517"/>
      <c r="L26" s="448"/>
      <c r="M26" s="448"/>
    </row>
    <row r="27" spans="1:13" s="446" customFormat="1" x14ac:dyDescent="0.25">
      <c r="A27" s="446">
        <v>2024</v>
      </c>
      <c r="B27" s="527">
        <v>566040</v>
      </c>
      <c r="C27" s="527">
        <f t="shared" si="3"/>
        <v>22075440</v>
      </c>
      <c r="D27" s="667">
        <f t="shared" si="2"/>
        <v>138523.386</v>
      </c>
      <c r="E27" s="517"/>
      <c r="F27" s="448"/>
      <c r="G27" s="448"/>
      <c r="H27" s="527">
        <v>1285713</v>
      </c>
      <c r="I27" s="527">
        <f t="shared" si="1"/>
        <v>60428601</v>
      </c>
      <c r="J27" s="667">
        <f t="shared" si="0"/>
        <v>135964.35225</v>
      </c>
      <c r="K27" s="517"/>
      <c r="L27" s="448"/>
      <c r="M27" s="448"/>
    </row>
    <row r="28" spans="1:13" s="446" customFormat="1" x14ac:dyDescent="0.25">
      <c r="A28" s="446">
        <v>2024</v>
      </c>
      <c r="B28" s="527">
        <v>566040</v>
      </c>
      <c r="C28" s="527">
        <f t="shared" si="3"/>
        <v>21509400</v>
      </c>
      <c r="D28" s="667">
        <f t="shared" si="2"/>
        <v>134971.48500000002</v>
      </c>
      <c r="E28" s="656">
        <f>+D25+D26+D27+D28</f>
        <v>561197.34600000002</v>
      </c>
      <c r="F28" s="448"/>
      <c r="G28" s="448"/>
      <c r="H28" s="527">
        <v>1285713</v>
      </c>
      <c r="I28" s="527">
        <f t="shared" si="1"/>
        <v>59142888</v>
      </c>
      <c r="J28" s="667">
        <f t="shared" si="0"/>
        <v>133071.49799999999</v>
      </c>
      <c r="K28" s="656">
        <f>+J25+J26+J27+J28</f>
        <v>549643.11749999993</v>
      </c>
      <c r="L28" s="448"/>
      <c r="M28" s="448"/>
    </row>
    <row r="29" spans="1:13" s="446" customFormat="1" x14ac:dyDescent="0.25">
      <c r="A29" s="446">
        <v>2025</v>
      </c>
      <c r="B29" s="527">
        <v>566040</v>
      </c>
      <c r="C29" s="527">
        <f t="shared" si="3"/>
        <v>20943360</v>
      </c>
      <c r="D29" s="667">
        <f t="shared" si="2"/>
        <v>131419.584</v>
      </c>
      <c r="E29" s="517"/>
      <c r="F29" s="448"/>
      <c r="G29" s="448"/>
      <c r="H29" s="527">
        <v>1285713</v>
      </c>
      <c r="I29" s="527">
        <f t="shared" si="1"/>
        <v>57857175</v>
      </c>
      <c r="J29" s="667">
        <f t="shared" si="0"/>
        <v>130178.64374999999</v>
      </c>
      <c r="K29" s="517"/>
      <c r="L29" s="448"/>
      <c r="M29" s="448"/>
    </row>
    <row r="30" spans="1:13" s="446" customFormat="1" x14ac:dyDescent="0.25">
      <c r="A30" s="446">
        <v>2025</v>
      </c>
      <c r="B30" s="527">
        <v>566040</v>
      </c>
      <c r="C30" s="527">
        <f t="shared" si="3"/>
        <v>20377320</v>
      </c>
      <c r="D30" s="667">
        <f t="shared" si="2"/>
        <v>127867.683</v>
      </c>
      <c r="E30" s="517"/>
      <c r="F30" s="448"/>
      <c r="G30" s="448"/>
      <c r="H30" s="527">
        <v>1285713</v>
      </c>
      <c r="I30" s="527">
        <f t="shared" si="1"/>
        <v>56571462</v>
      </c>
      <c r="J30" s="667">
        <f t="shared" si="0"/>
        <v>127285.78949999998</v>
      </c>
      <c r="K30" s="517"/>
      <c r="L30" s="448"/>
      <c r="M30" s="448"/>
    </row>
    <row r="31" spans="1:13" s="446" customFormat="1" x14ac:dyDescent="0.25">
      <c r="A31" s="446">
        <v>2025</v>
      </c>
      <c r="B31" s="527">
        <v>566040</v>
      </c>
      <c r="C31" s="527">
        <f t="shared" si="3"/>
        <v>19811280</v>
      </c>
      <c r="D31" s="667">
        <f t="shared" si="2"/>
        <v>124315.78200000001</v>
      </c>
      <c r="E31" s="517"/>
      <c r="F31" s="448"/>
      <c r="G31" s="448"/>
      <c r="H31" s="527">
        <v>1285713</v>
      </c>
      <c r="I31" s="527">
        <f t="shared" si="1"/>
        <v>55285749</v>
      </c>
      <c r="J31" s="667">
        <f t="shared" si="0"/>
        <v>124392.93524999999</v>
      </c>
      <c r="K31" s="517"/>
      <c r="L31" s="448"/>
      <c r="M31" s="448"/>
    </row>
    <row r="32" spans="1:13" s="446" customFormat="1" x14ac:dyDescent="0.25">
      <c r="A32" s="446">
        <v>2025</v>
      </c>
      <c r="B32" s="527">
        <v>566040</v>
      </c>
      <c r="C32" s="527">
        <f t="shared" si="3"/>
        <v>19245240</v>
      </c>
      <c r="D32" s="667">
        <f t="shared" si="2"/>
        <v>120763.88100000001</v>
      </c>
      <c r="E32" s="656">
        <f>+D29+D30+D31+D32</f>
        <v>504366.93</v>
      </c>
      <c r="F32" s="448"/>
      <c r="G32" s="448"/>
      <c r="H32" s="527">
        <v>1285713</v>
      </c>
      <c r="I32" s="527">
        <f t="shared" si="1"/>
        <v>54000036</v>
      </c>
      <c r="J32" s="667">
        <f t="shared" si="0"/>
        <v>121500.08099999999</v>
      </c>
      <c r="K32" s="656">
        <f>+J29+J30+J31+J32</f>
        <v>503357.44949999999</v>
      </c>
      <c r="L32" s="448"/>
      <c r="M32" s="448"/>
    </row>
    <row r="33" spans="1:13" s="446" customFormat="1" x14ac:dyDescent="0.25">
      <c r="A33" s="446">
        <v>2026</v>
      </c>
      <c r="B33" s="527">
        <v>566040</v>
      </c>
      <c r="C33" s="527">
        <f t="shared" si="3"/>
        <v>18679200</v>
      </c>
      <c r="D33" s="667">
        <f t="shared" si="2"/>
        <v>117211.98000000001</v>
      </c>
      <c r="E33" s="517"/>
      <c r="F33" s="448"/>
      <c r="G33" s="448"/>
      <c r="H33" s="527">
        <v>1285713</v>
      </c>
      <c r="I33" s="527">
        <f t="shared" si="1"/>
        <v>52714323</v>
      </c>
      <c r="J33" s="667">
        <f t="shared" si="0"/>
        <v>118607.22674999999</v>
      </c>
      <c r="K33" s="517"/>
      <c r="L33" s="448"/>
      <c r="M33" s="448"/>
    </row>
    <row r="34" spans="1:13" s="446" customFormat="1" x14ac:dyDescent="0.25">
      <c r="A34" s="446">
        <v>2026</v>
      </c>
      <c r="B34" s="527">
        <v>566040</v>
      </c>
      <c r="C34" s="527">
        <f t="shared" si="3"/>
        <v>18113160</v>
      </c>
      <c r="D34" s="667">
        <f t="shared" si="2"/>
        <v>113660.079</v>
      </c>
      <c r="E34" s="517"/>
      <c r="F34" s="448"/>
      <c r="G34" s="448"/>
      <c r="H34" s="527">
        <v>1285713</v>
      </c>
      <c r="I34" s="527">
        <f t="shared" si="1"/>
        <v>51428610</v>
      </c>
      <c r="J34" s="667">
        <f t="shared" si="0"/>
        <v>115714.3725</v>
      </c>
      <c r="K34" s="517"/>
      <c r="L34" s="448"/>
      <c r="M34" s="448"/>
    </row>
    <row r="35" spans="1:13" s="446" customFormat="1" x14ac:dyDescent="0.25">
      <c r="A35" s="446">
        <v>2026</v>
      </c>
      <c r="B35" s="527">
        <v>566040</v>
      </c>
      <c r="C35" s="527">
        <f t="shared" si="3"/>
        <v>17547120</v>
      </c>
      <c r="D35" s="667">
        <f t="shared" si="2"/>
        <v>110108.178</v>
      </c>
      <c r="E35" s="517"/>
      <c r="F35" s="448"/>
      <c r="G35" s="448"/>
      <c r="H35" s="527">
        <v>1285713</v>
      </c>
      <c r="I35" s="527">
        <f t="shared" si="1"/>
        <v>50142897</v>
      </c>
      <c r="J35" s="667">
        <f t="shared" si="0"/>
        <v>112821.51824999999</v>
      </c>
      <c r="K35" s="517"/>
      <c r="L35" s="448"/>
      <c r="M35" s="448"/>
    </row>
    <row r="36" spans="1:13" s="446" customFormat="1" x14ac:dyDescent="0.25">
      <c r="A36" s="446">
        <v>2026</v>
      </c>
      <c r="B36" s="527">
        <v>566040</v>
      </c>
      <c r="C36" s="527">
        <f t="shared" si="3"/>
        <v>16981080</v>
      </c>
      <c r="D36" s="667">
        <f t="shared" si="2"/>
        <v>106556.277</v>
      </c>
      <c r="E36" s="656">
        <f>+D33+D34+D35+D36</f>
        <v>447536.51400000002</v>
      </c>
      <c r="F36" s="448"/>
      <c r="G36" s="448"/>
      <c r="H36" s="527">
        <v>1285713</v>
      </c>
      <c r="I36" s="527">
        <f t="shared" si="1"/>
        <v>48857184</v>
      </c>
      <c r="J36" s="667">
        <f t="shared" si="0"/>
        <v>109928.66399999999</v>
      </c>
      <c r="K36" s="656">
        <f>+J33+J34+J35+J36</f>
        <v>457071.78149999992</v>
      </c>
      <c r="L36" s="448"/>
      <c r="M36" s="448"/>
    </row>
    <row r="37" spans="1:13" s="446" customFormat="1" x14ac:dyDescent="0.25">
      <c r="A37" s="446">
        <v>2027</v>
      </c>
      <c r="B37" s="527">
        <v>566040</v>
      </c>
      <c r="C37" s="527">
        <f t="shared" si="3"/>
        <v>16415040</v>
      </c>
      <c r="D37" s="667">
        <f t="shared" si="2"/>
        <v>103004.376</v>
      </c>
      <c r="E37" s="517"/>
      <c r="F37" s="448"/>
      <c r="G37" s="448"/>
      <c r="H37" s="527">
        <v>1285713</v>
      </c>
      <c r="I37" s="527">
        <f t="shared" si="1"/>
        <v>47571471</v>
      </c>
      <c r="J37" s="667">
        <f t="shared" si="0"/>
        <v>107035.80974999999</v>
      </c>
      <c r="K37" s="517"/>
      <c r="L37" s="448"/>
      <c r="M37" s="448"/>
    </row>
    <row r="38" spans="1:13" s="446" customFormat="1" x14ac:dyDescent="0.25">
      <c r="A38" s="446">
        <v>2027</v>
      </c>
      <c r="B38" s="527">
        <v>566040</v>
      </c>
      <c r="C38" s="527">
        <f t="shared" si="3"/>
        <v>15849000</v>
      </c>
      <c r="D38" s="667">
        <f t="shared" si="2"/>
        <v>99452.475000000006</v>
      </c>
      <c r="E38" s="517"/>
      <c r="F38" s="448"/>
      <c r="G38" s="448"/>
      <c r="H38" s="527">
        <v>1285713</v>
      </c>
      <c r="I38" s="527">
        <f t="shared" si="1"/>
        <v>46285758</v>
      </c>
      <c r="J38" s="667">
        <f t="shared" si="0"/>
        <v>104142.9555</v>
      </c>
      <c r="K38" s="517"/>
      <c r="L38" s="448"/>
      <c r="M38" s="448"/>
    </row>
    <row r="39" spans="1:13" s="446" customFormat="1" x14ac:dyDescent="0.25">
      <c r="A39" s="446">
        <v>2027</v>
      </c>
      <c r="B39" s="527">
        <v>566040</v>
      </c>
      <c r="C39" s="527">
        <f t="shared" si="3"/>
        <v>15282960</v>
      </c>
      <c r="D39" s="667">
        <f t="shared" si="2"/>
        <v>95900.574000000008</v>
      </c>
      <c r="E39" s="517"/>
      <c r="F39" s="448"/>
      <c r="G39" s="448"/>
      <c r="H39" s="527">
        <v>1285713</v>
      </c>
      <c r="I39" s="527">
        <f t="shared" si="1"/>
        <v>45000045</v>
      </c>
      <c r="J39" s="667">
        <f t="shared" si="0"/>
        <v>101250.10124999999</v>
      </c>
      <c r="K39" s="517"/>
      <c r="L39" s="448"/>
      <c r="M39" s="448"/>
    </row>
    <row r="40" spans="1:13" s="446" customFormat="1" x14ac:dyDescent="0.25">
      <c r="A40" s="446">
        <v>2027</v>
      </c>
      <c r="B40" s="527">
        <v>566040</v>
      </c>
      <c r="C40" s="527">
        <f t="shared" si="3"/>
        <v>14716920</v>
      </c>
      <c r="D40" s="667">
        <f t="shared" si="2"/>
        <v>92348.67300000001</v>
      </c>
      <c r="E40" s="656">
        <f>+D37+D38+D39+D40</f>
        <v>390706.09800000006</v>
      </c>
      <c r="F40" s="448"/>
      <c r="G40" s="448"/>
      <c r="H40" s="527">
        <v>1285713</v>
      </c>
      <c r="I40" s="527">
        <f t="shared" si="1"/>
        <v>43714332</v>
      </c>
      <c r="J40" s="667">
        <f t="shared" si="0"/>
        <v>98357.246999999988</v>
      </c>
      <c r="K40" s="656">
        <f>+J37+J38+J39+J40</f>
        <v>410786.11349999998</v>
      </c>
      <c r="L40" s="448"/>
      <c r="M40" s="448"/>
    </row>
    <row r="41" spans="1:13" s="446" customFormat="1" x14ac:dyDescent="0.25">
      <c r="A41" s="446">
        <v>2028</v>
      </c>
      <c r="B41" s="527">
        <v>566040</v>
      </c>
      <c r="C41" s="527">
        <f t="shared" si="3"/>
        <v>14150880</v>
      </c>
      <c r="D41" s="667">
        <f t="shared" si="2"/>
        <v>88796.771999999997</v>
      </c>
      <c r="E41" s="517"/>
      <c r="F41" s="448"/>
      <c r="G41" s="448"/>
      <c r="H41" s="527">
        <v>1285713</v>
      </c>
      <c r="I41" s="527">
        <f t="shared" si="1"/>
        <v>42428619</v>
      </c>
      <c r="J41" s="667">
        <f t="shared" si="0"/>
        <v>95464.392749999999</v>
      </c>
      <c r="K41" s="517"/>
      <c r="L41" s="448"/>
      <c r="M41" s="448"/>
    </row>
    <row r="42" spans="1:13" s="446" customFormat="1" x14ac:dyDescent="0.25">
      <c r="A42" s="446">
        <v>2028</v>
      </c>
      <c r="B42" s="527">
        <v>566040</v>
      </c>
      <c r="C42" s="527">
        <f t="shared" si="3"/>
        <v>13584840</v>
      </c>
      <c r="D42" s="667">
        <f t="shared" si="2"/>
        <v>85244.870999999999</v>
      </c>
      <c r="E42" s="517"/>
      <c r="F42" s="448"/>
      <c r="G42" s="448"/>
      <c r="H42" s="527">
        <v>1285713</v>
      </c>
      <c r="I42" s="527">
        <f t="shared" si="1"/>
        <v>41142906</v>
      </c>
      <c r="J42" s="667">
        <f t="shared" si="0"/>
        <v>92571.538499999995</v>
      </c>
      <c r="K42" s="517"/>
      <c r="L42" s="448"/>
      <c r="M42" s="448"/>
    </row>
    <row r="43" spans="1:13" s="446" customFormat="1" x14ac:dyDescent="0.25">
      <c r="A43" s="446">
        <v>2028</v>
      </c>
      <c r="B43" s="527">
        <v>566040</v>
      </c>
      <c r="C43" s="527">
        <f t="shared" si="3"/>
        <v>13018800</v>
      </c>
      <c r="D43" s="667">
        <f t="shared" si="2"/>
        <v>81692.97</v>
      </c>
      <c r="E43" s="517"/>
      <c r="F43" s="448"/>
      <c r="G43" s="448"/>
      <c r="H43" s="527">
        <v>1285713</v>
      </c>
      <c r="I43" s="527">
        <f t="shared" si="1"/>
        <v>39857193</v>
      </c>
      <c r="J43" s="667">
        <f t="shared" si="0"/>
        <v>89678.684249999991</v>
      </c>
      <c r="K43" s="517"/>
      <c r="L43" s="448"/>
      <c r="M43" s="448"/>
    </row>
    <row r="44" spans="1:13" s="446" customFormat="1" x14ac:dyDescent="0.25">
      <c r="A44" s="446">
        <v>2028</v>
      </c>
      <c r="B44" s="527">
        <v>566040</v>
      </c>
      <c r="C44" s="527">
        <f t="shared" si="3"/>
        <v>12452760</v>
      </c>
      <c r="D44" s="667">
        <f t="shared" si="2"/>
        <v>78141.069000000003</v>
      </c>
      <c r="E44" s="656">
        <f>+D41+D42+D43+D44</f>
        <v>333875.68199999997</v>
      </c>
      <c r="F44" s="448"/>
      <c r="G44" s="448"/>
      <c r="H44" s="527">
        <v>1285713</v>
      </c>
      <c r="I44" s="527">
        <f t="shared" si="1"/>
        <v>38571480</v>
      </c>
      <c r="J44" s="667">
        <f t="shared" si="0"/>
        <v>86785.829999999987</v>
      </c>
      <c r="K44" s="656">
        <f>+J41+J42+J43+J44</f>
        <v>364500.44549999991</v>
      </c>
      <c r="L44" s="448"/>
      <c r="M44" s="448"/>
    </row>
    <row r="45" spans="1:13" s="446" customFormat="1" x14ac:dyDescent="0.25">
      <c r="A45" s="446">
        <v>2029</v>
      </c>
      <c r="B45" s="527">
        <v>566040</v>
      </c>
      <c r="C45" s="527">
        <f t="shared" si="3"/>
        <v>11886720</v>
      </c>
      <c r="D45" s="667">
        <f t="shared" si="2"/>
        <v>74589.168000000005</v>
      </c>
      <c r="E45" s="517"/>
      <c r="F45" s="448"/>
      <c r="G45" s="448"/>
      <c r="H45" s="527">
        <v>1285713</v>
      </c>
      <c r="I45" s="527">
        <f t="shared" si="1"/>
        <v>37285767</v>
      </c>
      <c r="J45" s="667">
        <f t="shared" si="0"/>
        <v>83892.975749999998</v>
      </c>
      <c r="K45" s="517"/>
      <c r="L45" s="448"/>
      <c r="M45" s="448"/>
    </row>
    <row r="46" spans="1:13" s="446" customFormat="1" x14ac:dyDescent="0.25">
      <c r="A46" s="446">
        <v>2029</v>
      </c>
      <c r="B46" s="527">
        <v>566040</v>
      </c>
      <c r="C46" s="527">
        <f t="shared" si="3"/>
        <v>11320680</v>
      </c>
      <c r="D46" s="667">
        <f t="shared" si="2"/>
        <v>71037.267000000007</v>
      </c>
      <c r="E46" s="517"/>
      <c r="F46" s="448"/>
      <c r="G46" s="448"/>
      <c r="H46" s="527">
        <v>1285713</v>
      </c>
      <c r="I46" s="527">
        <f t="shared" si="1"/>
        <v>36000054</v>
      </c>
      <c r="J46" s="667">
        <f t="shared" si="0"/>
        <v>81000.121499999994</v>
      </c>
      <c r="K46" s="517"/>
      <c r="L46" s="448"/>
      <c r="M46" s="448"/>
    </row>
    <row r="47" spans="1:13" s="446" customFormat="1" x14ac:dyDescent="0.25">
      <c r="A47" s="446">
        <v>2029</v>
      </c>
      <c r="B47" s="527">
        <v>566040</v>
      </c>
      <c r="C47" s="527">
        <f t="shared" si="3"/>
        <v>10754640</v>
      </c>
      <c r="D47" s="667">
        <f t="shared" si="2"/>
        <v>67485.366000000009</v>
      </c>
      <c r="E47" s="517"/>
      <c r="F47" s="448"/>
      <c r="G47" s="448"/>
      <c r="H47" s="527">
        <v>1285713</v>
      </c>
      <c r="I47" s="527">
        <f t="shared" si="1"/>
        <v>34714341</v>
      </c>
      <c r="J47" s="667">
        <f t="shared" si="0"/>
        <v>78107.26724999999</v>
      </c>
      <c r="K47" s="517"/>
      <c r="L47" s="448"/>
      <c r="M47" s="448"/>
    </row>
    <row r="48" spans="1:13" s="446" customFormat="1" x14ac:dyDescent="0.25">
      <c r="A48" s="446">
        <v>2029</v>
      </c>
      <c r="B48" s="527">
        <v>566040</v>
      </c>
      <c r="C48" s="527">
        <f t="shared" si="3"/>
        <v>10188600</v>
      </c>
      <c r="D48" s="667">
        <f t="shared" si="2"/>
        <v>63933.465000000004</v>
      </c>
      <c r="E48" s="656">
        <f>+D45+D46+D47+D48</f>
        <v>277045.266</v>
      </c>
      <c r="F48" s="448"/>
      <c r="G48" s="448"/>
      <c r="H48" s="527">
        <v>1285713</v>
      </c>
      <c r="I48" s="527">
        <f t="shared" si="1"/>
        <v>33428628</v>
      </c>
      <c r="J48" s="667">
        <f t="shared" si="0"/>
        <v>75214.413</v>
      </c>
      <c r="K48" s="656">
        <f>+J45+J46+J47+J48</f>
        <v>318214.77749999997</v>
      </c>
      <c r="L48" s="448"/>
      <c r="M48" s="448"/>
    </row>
    <row r="49" spans="1:13" s="446" customFormat="1" x14ac:dyDescent="0.25">
      <c r="A49" s="446">
        <v>2030</v>
      </c>
      <c r="B49" s="527">
        <v>566040</v>
      </c>
      <c r="C49" s="527">
        <f t="shared" si="3"/>
        <v>9622560</v>
      </c>
      <c r="D49" s="667">
        <f t="shared" si="2"/>
        <v>60381.563999999998</v>
      </c>
      <c r="E49" s="517"/>
      <c r="F49" s="448"/>
      <c r="G49" s="448"/>
      <c r="H49" s="527">
        <v>1285713</v>
      </c>
      <c r="I49" s="527">
        <f t="shared" si="1"/>
        <v>32142915</v>
      </c>
      <c r="J49" s="667">
        <f t="shared" si="0"/>
        <v>72321.558749999997</v>
      </c>
      <c r="K49" s="517"/>
      <c r="L49" s="448"/>
      <c r="M49" s="448"/>
    </row>
    <row r="50" spans="1:13" s="446" customFormat="1" x14ac:dyDescent="0.25">
      <c r="A50" s="446">
        <v>2030</v>
      </c>
      <c r="B50" s="527">
        <v>566040</v>
      </c>
      <c r="C50" s="527">
        <f t="shared" si="3"/>
        <v>9056520</v>
      </c>
      <c r="D50" s="667">
        <f t="shared" si="2"/>
        <v>56829.663</v>
      </c>
      <c r="E50" s="517"/>
      <c r="F50" s="448"/>
      <c r="G50" s="448"/>
      <c r="H50" s="527">
        <v>1285713</v>
      </c>
      <c r="I50" s="527">
        <f t="shared" si="1"/>
        <v>30857202</v>
      </c>
      <c r="J50" s="667">
        <f t="shared" si="0"/>
        <v>69428.704499999993</v>
      </c>
      <c r="K50" s="517"/>
      <c r="L50" s="448"/>
      <c r="M50" s="448"/>
    </row>
    <row r="51" spans="1:13" s="446" customFormat="1" x14ac:dyDescent="0.25">
      <c r="A51" s="446">
        <v>2030</v>
      </c>
      <c r="B51" s="527">
        <v>566040</v>
      </c>
      <c r="C51" s="527">
        <f t="shared" si="3"/>
        <v>8490480</v>
      </c>
      <c r="D51" s="667">
        <f t="shared" si="2"/>
        <v>53277.762000000002</v>
      </c>
      <c r="E51" s="517"/>
      <c r="F51" s="448"/>
      <c r="G51" s="448"/>
      <c r="H51" s="527">
        <v>1285713</v>
      </c>
      <c r="I51" s="527">
        <f t="shared" si="1"/>
        <v>29571489</v>
      </c>
      <c r="J51" s="667">
        <f t="shared" si="0"/>
        <v>66535.850249999989</v>
      </c>
      <c r="K51" s="517"/>
      <c r="L51" s="448"/>
      <c r="M51" s="448"/>
    </row>
    <row r="52" spans="1:13" s="446" customFormat="1" x14ac:dyDescent="0.25">
      <c r="A52" s="446">
        <v>2030</v>
      </c>
      <c r="B52" s="527">
        <v>566040</v>
      </c>
      <c r="C52" s="527">
        <f t="shared" si="3"/>
        <v>7924440</v>
      </c>
      <c r="D52" s="667">
        <f t="shared" si="2"/>
        <v>49725.861000000004</v>
      </c>
      <c r="E52" s="656">
        <f>+D49+D50+D51+D52</f>
        <v>220214.85</v>
      </c>
      <c r="F52" s="448"/>
      <c r="G52" s="448"/>
      <c r="H52" s="527">
        <v>1285713</v>
      </c>
      <c r="I52" s="527">
        <f t="shared" si="1"/>
        <v>28285776</v>
      </c>
      <c r="J52" s="667">
        <f t="shared" si="0"/>
        <v>63642.995999999992</v>
      </c>
      <c r="K52" s="656">
        <f>+J49+J50+J51+J52</f>
        <v>271929.10949999996</v>
      </c>
      <c r="L52" s="448"/>
      <c r="M52" s="448"/>
    </row>
    <row r="53" spans="1:13" s="446" customFormat="1" x14ac:dyDescent="0.25">
      <c r="A53" s="446">
        <v>2031</v>
      </c>
      <c r="B53" s="527">
        <v>566040</v>
      </c>
      <c r="C53" s="527">
        <f t="shared" si="3"/>
        <v>7358400</v>
      </c>
      <c r="D53" s="667">
        <f t="shared" si="2"/>
        <v>46173.96</v>
      </c>
      <c r="E53" s="517"/>
      <c r="F53" s="448"/>
      <c r="G53" s="448"/>
      <c r="H53" s="527">
        <v>1285713</v>
      </c>
      <c r="I53" s="527">
        <f t="shared" si="1"/>
        <v>27000063</v>
      </c>
      <c r="J53" s="667">
        <f t="shared" si="0"/>
        <v>60750.141749999995</v>
      </c>
      <c r="K53" s="517"/>
      <c r="L53" s="448"/>
      <c r="M53" s="448"/>
    </row>
    <row r="54" spans="1:13" s="446" customFormat="1" x14ac:dyDescent="0.25">
      <c r="A54" s="446">
        <v>2031</v>
      </c>
      <c r="B54" s="527">
        <v>566040</v>
      </c>
      <c r="C54" s="527">
        <f t="shared" si="3"/>
        <v>6792360</v>
      </c>
      <c r="D54" s="667">
        <f t="shared" si="2"/>
        <v>42622.059000000001</v>
      </c>
      <c r="E54" s="517"/>
      <c r="F54" s="448"/>
      <c r="G54" s="448"/>
      <c r="H54" s="527">
        <v>1285713</v>
      </c>
      <c r="I54" s="527">
        <f t="shared" si="1"/>
        <v>25714350</v>
      </c>
      <c r="J54" s="667">
        <f t="shared" si="0"/>
        <v>57857.287499999999</v>
      </c>
      <c r="K54" s="517"/>
      <c r="L54" s="448"/>
      <c r="M54" s="448"/>
    </row>
    <row r="55" spans="1:13" s="446" customFormat="1" x14ac:dyDescent="0.25">
      <c r="A55" s="446">
        <v>2031</v>
      </c>
      <c r="B55" s="527">
        <v>566040</v>
      </c>
      <c r="C55" s="527">
        <f t="shared" si="3"/>
        <v>6226320</v>
      </c>
      <c r="D55" s="667">
        <f t="shared" si="2"/>
        <v>39070.158000000003</v>
      </c>
      <c r="E55" s="517"/>
      <c r="F55" s="448"/>
      <c r="G55" s="448"/>
      <c r="H55" s="527">
        <v>1285713</v>
      </c>
      <c r="I55" s="527">
        <f t="shared" si="1"/>
        <v>24428637</v>
      </c>
      <c r="J55" s="667">
        <f t="shared" si="0"/>
        <v>54964.433249999995</v>
      </c>
      <c r="K55" s="517"/>
      <c r="L55" s="448"/>
      <c r="M55" s="448"/>
    </row>
    <row r="56" spans="1:13" s="446" customFormat="1" x14ac:dyDescent="0.25">
      <c r="A56" s="446">
        <v>2031</v>
      </c>
      <c r="B56" s="527">
        <v>566040</v>
      </c>
      <c r="C56" s="527">
        <f t="shared" si="3"/>
        <v>5660280</v>
      </c>
      <c r="D56" s="667">
        <f t="shared" si="2"/>
        <v>35518.256999999998</v>
      </c>
      <c r="E56" s="656">
        <f>+D53+D54+D55+D56</f>
        <v>163384.43400000001</v>
      </c>
      <c r="F56" s="448"/>
      <c r="G56" s="448"/>
      <c r="H56" s="527">
        <v>1285713</v>
      </c>
      <c r="I56" s="527">
        <f t="shared" si="1"/>
        <v>23142924</v>
      </c>
      <c r="J56" s="667">
        <f t="shared" si="0"/>
        <v>52071.578999999998</v>
      </c>
      <c r="K56" s="656">
        <f>+J53+J54+J55+J56</f>
        <v>225643.44149999999</v>
      </c>
      <c r="L56" s="448"/>
      <c r="M56" s="448"/>
    </row>
    <row r="57" spans="1:13" s="446" customFormat="1" x14ac:dyDescent="0.25">
      <c r="A57" s="446">
        <v>2032</v>
      </c>
      <c r="B57" s="527">
        <v>566040</v>
      </c>
      <c r="C57" s="527">
        <f t="shared" si="3"/>
        <v>5094240</v>
      </c>
      <c r="D57" s="667">
        <f t="shared" si="2"/>
        <v>31966.356</v>
      </c>
      <c r="E57" s="517"/>
      <c r="F57" s="448"/>
      <c r="G57" s="448"/>
      <c r="H57" s="527">
        <v>1285713</v>
      </c>
      <c r="I57" s="527">
        <f t="shared" si="1"/>
        <v>21857211</v>
      </c>
      <c r="J57" s="667">
        <f t="shared" si="0"/>
        <v>49178.724749999994</v>
      </c>
      <c r="K57" s="517"/>
      <c r="L57" s="448"/>
      <c r="M57" s="448"/>
    </row>
    <row r="58" spans="1:13" s="446" customFormat="1" x14ac:dyDescent="0.25">
      <c r="A58" s="446">
        <v>2032</v>
      </c>
      <c r="B58" s="527">
        <v>566040</v>
      </c>
      <c r="C58" s="527">
        <f t="shared" si="3"/>
        <v>4528200</v>
      </c>
      <c r="D58" s="667">
        <f t="shared" si="2"/>
        <v>28414.455000000002</v>
      </c>
      <c r="E58" s="517"/>
      <c r="F58" s="448"/>
      <c r="G58" s="448"/>
      <c r="H58" s="527">
        <v>1285713</v>
      </c>
      <c r="I58" s="527">
        <f t="shared" si="1"/>
        <v>20571498</v>
      </c>
      <c r="J58" s="667">
        <f t="shared" si="0"/>
        <v>46285.870499999997</v>
      </c>
      <c r="K58" s="517"/>
      <c r="L58" s="448"/>
      <c r="M58" s="448"/>
    </row>
    <row r="59" spans="1:13" s="446" customFormat="1" x14ac:dyDescent="0.25">
      <c r="A59" s="446">
        <v>2032</v>
      </c>
      <c r="B59" s="527">
        <v>566040</v>
      </c>
      <c r="C59" s="527">
        <f t="shared" si="3"/>
        <v>3962160</v>
      </c>
      <c r="D59" s="667">
        <f t="shared" si="2"/>
        <v>24862.554</v>
      </c>
      <c r="E59" s="517"/>
      <c r="F59" s="448"/>
      <c r="G59" s="448"/>
      <c r="H59" s="527">
        <v>1285713</v>
      </c>
      <c r="I59" s="527">
        <f t="shared" si="1"/>
        <v>19285785</v>
      </c>
      <c r="J59" s="667">
        <f t="shared" si="0"/>
        <v>43393.016249999993</v>
      </c>
      <c r="K59" s="517"/>
      <c r="L59" s="448"/>
      <c r="M59" s="448"/>
    </row>
    <row r="60" spans="1:13" s="446" customFormat="1" x14ac:dyDescent="0.25">
      <c r="A60" s="446">
        <v>2032</v>
      </c>
      <c r="B60" s="527">
        <v>566040</v>
      </c>
      <c r="C60" s="527">
        <f t="shared" si="3"/>
        <v>3396120</v>
      </c>
      <c r="D60" s="667">
        <f t="shared" si="2"/>
        <v>21310.653000000002</v>
      </c>
      <c r="E60" s="656">
        <f>+D57+D58+D59+D60</f>
        <v>106554.01800000001</v>
      </c>
      <c r="F60" s="448"/>
      <c r="G60" s="448"/>
      <c r="H60" s="527">
        <v>1285713</v>
      </c>
      <c r="I60" s="527">
        <f t="shared" si="1"/>
        <v>18000072</v>
      </c>
      <c r="J60" s="667">
        <f t="shared" si="0"/>
        <v>40500.161999999997</v>
      </c>
      <c r="K60" s="656">
        <f>+J57+J58+J59+J60</f>
        <v>179357.77349999995</v>
      </c>
      <c r="L60" s="448"/>
      <c r="M60" s="448"/>
    </row>
    <row r="61" spans="1:13" s="446" customFormat="1" x14ac:dyDescent="0.25">
      <c r="A61" s="446">
        <v>2033</v>
      </c>
      <c r="B61" s="527">
        <v>566040</v>
      </c>
      <c r="C61" s="527">
        <f t="shared" si="3"/>
        <v>2830080</v>
      </c>
      <c r="D61" s="667">
        <f t="shared" si="2"/>
        <v>17758.752</v>
      </c>
      <c r="E61" s="517"/>
      <c r="F61" s="448"/>
      <c r="G61" s="448"/>
      <c r="H61" s="527">
        <v>1285713</v>
      </c>
      <c r="I61" s="527">
        <f t="shared" si="1"/>
        <v>16714359</v>
      </c>
      <c r="J61" s="667">
        <f t="shared" si="0"/>
        <v>37607.30775</v>
      </c>
      <c r="K61" s="517"/>
      <c r="L61" s="448"/>
      <c r="M61" s="448"/>
    </row>
    <row r="62" spans="1:13" s="446" customFormat="1" x14ac:dyDescent="0.25">
      <c r="A62" s="446">
        <v>2033</v>
      </c>
      <c r="B62" s="527">
        <v>566040</v>
      </c>
      <c r="C62" s="527">
        <f t="shared" si="3"/>
        <v>2264040</v>
      </c>
      <c r="D62" s="667">
        <f t="shared" si="2"/>
        <v>14206.851000000001</v>
      </c>
      <c r="E62" s="517"/>
      <c r="F62" s="448"/>
      <c r="G62" s="448"/>
      <c r="H62" s="527">
        <v>1285713</v>
      </c>
      <c r="I62" s="527">
        <f t="shared" si="1"/>
        <v>15428646</v>
      </c>
      <c r="J62" s="667">
        <f t="shared" si="0"/>
        <v>34714.453499999996</v>
      </c>
      <c r="K62" s="517"/>
      <c r="L62" s="448"/>
      <c r="M62" s="448"/>
    </row>
    <row r="63" spans="1:13" s="446" customFormat="1" x14ac:dyDescent="0.25">
      <c r="A63" s="446">
        <v>2033</v>
      </c>
      <c r="B63" s="527">
        <v>566040</v>
      </c>
      <c r="C63" s="527">
        <f t="shared" si="3"/>
        <v>1698000</v>
      </c>
      <c r="D63" s="667">
        <f t="shared" si="2"/>
        <v>10654.95</v>
      </c>
      <c r="E63" s="517"/>
      <c r="F63" s="448"/>
      <c r="G63" s="448"/>
      <c r="H63" s="527">
        <v>1285713</v>
      </c>
      <c r="I63" s="527">
        <f t="shared" si="1"/>
        <v>14142933</v>
      </c>
      <c r="J63" s="667">
        <f t="shared" si="0"/>
        <v>31821.599249999999</v>
      </c>
      <c r="K63" s="517"/>
      <c r="L63" s="448"/>
      <c r="M63" s="448"/>
    </row>
    <row r="64" spans="1:13" s="446" customFormat="1" x14ac:dyDescent="0.25">
      <c r="A64" s="446">
        <v>2033</v>
      </c>
      <c r="B64" s="527">
        <v>566040</v>
      </c>
      <c r="C64" s="527">
        <f t="shared" si="3"/>
        <v>1131960</v>
      </c>
      <c r="D64" s="667">
        <f t="shared" si="2"/>
        <v>7103.049</v>
      </c>
      <c r="E64" s="656">
        <f>+D61+D62+D63+D64</f>
        <v>49723.601999999999</v>
      </c>
      <c r="F64" s="448"/>
      <c r="G64" s="448"/>
      <c r="H64" s="527">
        <v>1285713</v>
      </c>
      <c r="I64" s="527">
        <f t="shared" si="1"/>
        <v>12857220</v>
      </c>
      <c r="J64" s="667">
        <f t="shared" si="0"/>
        <v>28928.744999999999</v>
      </c>
      <c r="K64" s="656">
        <f>+J61+J62+J63+J64</f>
        <v>133072.10550000001</v>
      </c>
      <c r="L64" s="448"/>
      <c r="M64" s="448"/>
    </row>
    <row r="65" spans="1:13" s="446" customFormat="1" x14ac:dyDescent="0.25">
      <c r="A65" s="446">
        <v>2034</v>
      </c>
      <c r="B65" s="527">
        <v>566040</v>
      </c>
      <c r="C65" s="527">
        <f t="shared" si="3"/>
        <v>565920</v>
      </c>
      <c r="D65" s="667">
        <f t="shared" si="2"/>
        <v>3551.1480000000001</v>
      </c>
      <c r="E65" s="656">
        <f>+D65</f>
        <v>3551.1480000000001</v>
      </c>
      <c r="F65" s="448"/>
      <c r="G65" s="448"/>
      <c r="H65" s="527">
        <v>1285713</v>
      </c>
      <c r="I65" s="527">
        <f t="shared" si="1"/>
        <v>11571507</v>
      </c>
      <c r="J65" s="667">
        <f t="shared" si="0"/>
        <v>26035.890749999999</v>
      </c>
      <c r="K65" s="656"/>
      <c r="L65" s="448"/>
      <c r="M65" s="448"/>
    </row>
    <row r="66" spans="1:13" s="446" customFormat="1" x14ac:dyDescent="0.25">
      <c r="A66" s="446">
        <v>2034</v>
      </c>
      <c r="B66" s="527"/>
      <c r="D66" s="667">
        <f>SUM(D5:D65)</f>
        <v>6583402.5705000004</v>
      </c>
      <c r="E66" s="656"/>
      <c r="F66" s="448"/>
      <c r="G66" s="448"/>
      <c r="H66" s="527">
        <v>1285713</v>
      </c>
      <c r="I66" s="527">
        <f t="shared" si="1"/>
        <v>10285794</v>
      </c>
      <c r="J66" s="667">
        <f t="shared" si="0"/>
        <v>23143.036499999998</v>
      </c>
      <c r="K66" s="656"/>
      <c r="L66" s="448"/>
      <c r="M66" s="448"/>
    </row>
    <row r="67" spans="1:13" s="446" customFormat="1" x14ac:dyDescent="0.25">
      <c r="A67" s="446">
        <v>2034</v>
      </c>
      <c r="B67" s="527"/>
      <c r="D67" s="667"/>
      <c r="E67" s="517"/>
      <c r="F67" s="448"/>
      <c r="G67" s="448"/>
      <c r="H67" s="527">
        <v>1285713</v>
      </c>
      <c r="I67" s="527">
        <f t="shared" si="1"/>
        <v>9000081</v>
      </c>
      <c r="J67" s="667">
        <f t="shared" si="0"/>
        <v>20250.182249999998</v>
      </c>
      <c r="K67" s="517"/>
      <c r="L67" s="448"/>
      <c r="M67" s="448"/>
    </row>
    <row r="68" spans="1:13" s="446" customFormat="1" x14ac:dyDescent="0.25">
      <c r="A68" s="446">
        <v>2034</v>
      </c>
      <c r="B68" s="527"/>
      <c r="D68" s="667"/>
      <c r="E68" s="517"/>
      <c r="F68" s="448"/>
      <c r="G68" s="448"/>
      <c r="H68" s="527">
        <v>1285713</v>
      </c>
      <c r="I68" s="527">
        <f t="shared" si="1"/>
        <v>7714368</v>
      </c>
      <c r="J68" s="667">
        <f t="shared" si="0"/>
        <v>17357.327999999998</v>
      </c>
      <c r="K68" s="656">
        <f>+J65+J66+J67+J68</f>
        <v>86786.437499999985</v>
      </c>
      <c r="L68" s="448"/>
      <c r="M68" s="448"/>
    </row>
    <row r="69" spans="1:13" s="446" customFormat="1" x14ac:dyDescent="0.25">
      <c r="A69" s="446">
        <v>2035</v>
      </c>
      <c r="B69" s="527"/>
      <c r="D69" s="667"/>
      <c r="E69" s="517"/>
      <c r="F69" s="448"/>
      <c r="G69" s="448"/>
      <c r="H69" s="527">
        <v>1285713</v>
      </c>
      <c r="I69" s="527">
        <f t="shared" si="1"/>
        <v>6428655</v>
      </c>
      <c r="J69" s="667">
        <f t="shared" si="0"/>
        <v>14464.473749999999</v>
      </c>
      <c r="K69" s="517"/>
      <c r="L69" s="448"/>
      <c r="M69" s="448"/>
    </row>
    <row r="70" spans="1:13" s="446" customFormat="1" x14ac:dyDescent="0.25">
      <c r="A70" s="446">
        <v>2035</v>
      </c>
      <c r="B70" s="527"/>
      <c r="D70" s="667"/>
      <c r="E70" s="517"/>
      <c r="F70" s="448"/>
      <c r="G70" s="448"/>
      <c r="H70" s="527">
        <v>1285713</v>
      </c>
      <c r="I70" s="527">
        <f t="shared" si="1"/>
        <v>5142942</v>
      </c>
      <c r="J70" s="667">
        <f t="shared" ref="J70:J73" si="4">+I70*0.009/4</f>
        <v>11571.619499999999</v>
      </c>
      <c r="K70" s="517"/>
      <c r="L70" s="448"/>
      <c r="M70" s="448"/>
    </row>
    <row r="71" spans="1:13" s="446" customFormat="1" x14ac:dyDescent="0.25">
      <c r="A71" s="446">
        <v>2035</v>
      </c>
      <c r="B71" s="527"/>
      <c r="D71" s="667"/>
      <c r="E71" s="517"/>
      <c r="F71" s="448"/>
      <c r="G71" s="448"/>
      <c r="H71" s="527">
        <v>1285713</v>
      </c>
      <c r="I71" s="527">
        <f t="shared" si="1"/>
        <v>3857229</v>
      </c>
      <c r="J71" s="667">
        <f t="shared" si="4"/>
        <v>8678.7652499999986</v>
      </c>
      <c r="K71" s="517"/>
      <c r="L71" s="448"/>
      <c r="M71" s="448"/>
    </row>
    <row r="72" spans="1:13" s="446" customFormat="1" x14ac:dyDescent="0.25">
      <c r="A72" s="446">
        <v>2035</v>
      </c>
      <c r="B72" s="527"/>
      <c r="D72" s="667"/>
      <c r="E72" s="517"/>
      <c r="F72" s="448"/>
      <c r="G72" s="448"/>
      <c r="H72" s="527">
        <v>1285713</v>
      </c>
      <c r="I72" s="527">
        <f t="shared" ref="I72:I74" si="5">+I71-H72</f>
        <v>2571516</v>
      </c>
      <c r="J72" s="667">
        <f t="shared" si="4"/>
        <v>5785.9109999999991</v>
      </c>
      <c r="K72" s="656">
        <f>+J69+J70+J71+J72</f>
        <v>40500.769499999995</v>
      </c>
      <c r="L72" s="448"/>
      <c r="M72" s="448"/>
    </row>
    <row r="73" spans="1:13" s="446" customFormat="1" x14ac:dyDescent="0.25">
      <c r="A73" s="446">
        <v>2036</v>
      </c>
      <c r="B73" s="527"/>
      <c r="D73" s="667"/>
      <c r="E73" s="517"/>
      <c r="F73" s="448"/>
      <c r="G73" s="448"/>
      <c r="H73" s="527">
        <v>1285713</v>
      </c>
      <c r="I73" s="527">
        <f t="shared" si="5"/>
        <v>1285803</v>
      </c>
      <c r="J73" s="667">
        <f t="shared" si="4"/>
        <v>2893.0567499999997</v>
      </c>
      <c r="K73" s="517"/>
      <c r="L73" s="448"/>
      <c r="M73" s="448"/>
    </row>
    <row r="74" spans="1:13" s="446" customFormat="1" x14ac:dyDescent="0.25">
      <c r="A74" s="446">
        <v>2036</v>
      </c>
      <c r="B74" s="527"/>
      <c r="D74" s="667"/>
      <c r="E74" s="517"/>
      <c r="F74" s="448"/>
      <c r="G74" s="448"/>
      <c r="H74" s="527">
        <v>1285713</v>
      </c>
      <c r="I74" s="527">
        <f t="shared" si="5"/>
        <v>90</v>
      </c>
      <c r="J74" s="667"/>
      <c r="K74" s="517"/>
      <c r="L74" s="448"/>
      <c r="M74" s="448"/>
    </row>
    <row r="75" spans="1:13" x14ac:dyDescent="0.25">
      <c r="L75" s="472"/>
      <c r="M75" s="472"/>
    </row>
    <row r="76" spans="1:13" x14ac:dyDescent="0.25">
      <c r="L76" s="472"/>
      <c r="M76" s="472"/>
    </row>
    <row r="77" spans="1:13" x14ac:dyDescent="0.25">
      <c r="L77" s="472"/>
      <c r="M77" s="472"/>
    </row>
    <row r="149" spans="12:13" x14ac:dyDescent="0.25">
      <c r="L149" s="472"/>
      <c r="M149" s="472"/>
    </row>
    <row r="150" spans="12:13" x14ac:dyDescent="0.25">
      <c r="L150" s="472"/>
      <c r="M150" s="472"/>
    </row>
    <row r="151" spans="12:13" x14ac:dyDescent="0.25">
      <c r="L151" s="472"/>
      <c r="M151" s="472"/>
    </row>
    <row r="223" spans="12:13" x14ac:dyDescent="0.25">
      <c r="L223" s="472"/>
      <c r="M223" s="472"/>
    </row>
    <row r="224" spans="12:13" x14ac:dyDescent="0.25">
      <c r="L224" s="472"/>
      <c r="M224" s="472"/>
    </row>
    <row r="225" spans="12:13" x14ac:dyDescent="0.25">
      <c r="L225" s="472"/>
      <c r="M225" s="472"/>
    </row>
    <row r="297" spans="12:13" x14ac:dyDescent="0.25">
      <c r="L297" s="472"/>
      <c r="M297" s="472"/>
    </row>
    <row r="298" spans="12:13" x14ac:dyDescent="0.25">
      <c r="L298" s="472"/>
      <c r="M298" s="472"/>
    </row>
    <row r="299" spans="12:13" x14ac:dyDescent="0.25">
      <c r="L299" s="472"/>
      <c r="M299" s="472"/>
    </row>
    <row r="371" spans="12:13" x14ac:dyDescent="0.25">
      <c r="L371" s="472"/>
      <c r="M371" s="472"/>
    </row>
    <row r="372" spans="12:13" x14ac:dyDescent="0.25">
      <c r="L372" s="472"/>
      <c r="M372" s="472"/>
    </row>
    <row r="373" spans="12:13" x14ac:dyDescent="0.25">
      <c r="L373" s="472"/>
      <c r="M373" s="472"/>
    </row>
    <row r="445" spans="12:13" x14ac:dyDescent="0.25">
      <c r="L445" s="472"/>
      <c r="M445" s="472"/>
    </row>
    <row r="446" spans="12:13" x14ac:dyDescent="0.25">
      <c r="L446" s="472"/>
      <c r="M446" s="472"/>
    </row>
    <row r="447" spans="12:13" x14ac:dyDescent="0.25">
      <c r="L447" s="472"/>
      <c r="M447" s="472"/>
    </row>
    <row r="519" spans="12:13" x14ac:dyDescent="0.25">
      <c r="L519" s="472"/>
      <c r="M519" s="472"/>
    </row>
    <row r="520" spans="12:13" x14ac:dyDescent="0.25">
      <c r="L520" s="472"/>
      <c r="M520" s="472"/>
    </row>
    <row r="521" spans="12:13" x14ac:dyDescent="0.25">
      <c r="L521" s="472"/>
      <c r="M521" s="472"/>
    </row>
    <row r="593" spans="12:13" x14ac:dyDescent="0.25">
      <c r="L593" s="472"/>
      <c r="M593" s="472"/>
    </row>
    <row r="594" spans="12:13" x14ac:dyDescent="0.25">
      <c r="L594" s="472"/>
      <c r="M594" s="472"/>
    </row>
    <row r="595" spans="12:13" x14ac:dyDescent="0.25">
      <c r="L595" s="472"/>
      <c r="M595" s="472"/>
    </row>
    <row r="667" spans="12:13" x14ac:dyDescent="0.25">
      <c r="L667" s="472"/>
      <c r="M667" s="472"/>
    </row>
    <row r="668" spans="12:13" x14ac:dyDescent="0.25">
      <c r="L668" s="472"/>
      <c r="M668" s="472"/>
    </row>
    <row r="669" spans="12:13" x14ac:dyDescent="0.25">
      <c r="L669" s="472"/>
      <c r="M669" s="472"/>
    </row>
    <row r="741" spans="12:13" x14ac:dyDescent="0.25">
      <c r="L741" s="472"/>
      <c r="M741" s="472"/>
    </row>
    <row r="742" spans="12:13" x14ac:dyDescent="0.25">
      <c r="L742" s="472"/>
      <c r="M742" s="472"/>
    </row>
    <row r="743" spans="12:13" x14ac:dyDescent="0.25">
      <c r="L743" s="472"/>
      <c r="M743" s="472"/>
    </row>
    <row r="815" spans="12:13" x14ac:dyDescent="0.25">
      <c r="L815" s="472"/>
      <c r="M815" s="472"/>
    </row>
    <row r="816" spans="12:13" x14ac:dyDescent="0.25">
      <c r="L816" s="472"/>
      <c r="M816" s="472"/>
    </row>
    <row r="817" spans="12:13" x14ac:dyDescent="0.25">
      <c r="L817" s="472"/>
      <c r="M817" s="472"/>
    </row>
    <row r="889" spans="12:13" x14ac:dyDescent="0.25">
      <c r="L889" s="472"/>
      <c r="M889" s="472"/>
    </row>
    <row r="890" spans="12:13" x14ac:dyDescent="0.25">
      <c r="L890" s="472"/>
      <c r="M890" s="472"/>
    </row>
    <row r="891" spans="12:13" x14ac:dyDescent="0.25">
      <c r="L891" s="472"/>
      <c r="M891" s="472"/>
    </row>
    <row r="963" spans="12:13" x14ac:dyDescent="0.25">
      <c r="L963" s="472"/>
      <c r="M963" s="472"/>
    </row>
    <row r="964" spans="12:13" x14ac:dyDescent="0.25">
      <c r="L964" s="472"/>
      <c r="M964" s="472"/>
    </row>
    <row r="965" spans="12:13" x14ac:dyDescent="0.25">
      <c r="L965" s="472"/>
      <c r="M965" s="472"/>
    </row>
    <row r="1037" spans="12:13" x14ac:dyDescent="0.25">
      <c r="L1037" s="472"/>
      <c r="M1037" s="472"/>
    </row>
    <row r="1038" spans="12:13" x14ac:dyDescent="0.25">
      <c r="L1038" s="472"/>
      <c r="M1038" s="472"/>
    </row>
    <row r="1039" spans="12:13" x14ac:dyDescent="0.25">
      <c r="L1039" s="472"/>
      <c r="M1039" s="472"/>
    </row>
    <row r="1111" spans="12:13" x14ac:dyDescent="0.25">
      <c r="L1111" s="472"/>
      <c r="M1111" s="472"/>
    </row>
    <row r="1112" spans="12:13" x14ac:dyDescent="0.25">
      <c r="L1112" s="472"/>
      <c r="M1112" s="472"/>
    </row>
    <row r="1113" spans="12:13" x14ac:dyDescent="0.25">
      <c r="L1113" s="472"/>
      <c r="M1113" s="472"/>
    </row>
    <row r="1185" spans="12:13" x14ac:dyDescent="0.25">
      <c r="L1185" s="472"/>
      <c r="M1185" s="472"/>
    </row>
    <row r="1186" spans="12:13" x14ac:dyDescent="0.25">
      <c r="L1186" s="472"/>
      <c r="M1186" s="472"/>
    </row>
    <row r="1187" spans="12:13" x14ac:dyDescent="0.25">
      <c r="L1187" s="472"/>
      <c r="M1187" s="472"/>
    </row>
    <row r="1259" spans="12:13" x14ac:dyDescent="0.25">
      <c r="L1259" s="472"/>
      <c r="M1259" s="472"/>
    </row>
    <row r="1260" spans="12:13" x14ac:dyDescent="0.25">
      <c r="L1260" s="472"/>
      <c r="M1260" s="472"/>
    </row>
    <row r="1261" spans="12:13" x14ac:dyDescent="0.25">
      <c r="L1261" s="472"/>
      <c r="M1261" s="472"/>
    </row>
    <row r="1333" spans="12:13" x14ac:dyDescent="0.25">
      <c r="L1333" s="472"/>
      <c r="M1333" s="472"/>
    </row>
    <row r="1334" spans="12:13" x14ac:dyDescent="0.25">
      <c r="L1334" s="472"/>
      <c r="M1334" s="472"/>
    </row>
    <row r="1335" spans="12:13" x14ac:dyDescent="0.25">
      <c r="L1335" s="472"/>
      <c r="M1335" s="472"/>
    </row>
    <row r="1407" spans="12:13" x14ac:dyDescent="0.25">
      <c r="L1407" s="472"/>
      <c r="M1407" s="472"/>
    </row>
    <row r="1408" spans="12:13" x14ac:dyDescent="0.25">
      <c r="L1408" s="472"/>
      <c r="M1408" s="472"/>
    </row>
    <row r="1409" spans="12:13" x14ac:dyDescent="0.25">
      <c r="L1409" s="472"/>
      <c r="M1409" s="472"/>
    </row>
    <row r="1481" spans="12:13" x14ac:dyDescent="0.25">
      <c r="L1481" s="472"/>
      <c r="M1481" s="472"/>
    </row>
    <row r="1482" spans="12:13" x14ac:dyDescent="0.25">
      <c r="L1482" s="472"/>
      <c r="M1482" s="472"/>
    </row>
    <row r="1483" spans="12:13" x14ac:dyDescent="0.25">
      <c r="L1483" s="472"/>
      <c r="M1483" s="472"/>
    </row>
    <row r="1555" spans="12:13" x14ac:dyDescent="0.25">
      <c r="L1555" s="472"/>
      <c r="M1555" s="472"/>
    </row>
    <row r="1556" spans="12:13" x14ac:dyDescent="0.25">
      <c r="L1556" s="472"/>
      <c r="M1556" s="472"/>
    </row>
    <row r="1557" spans="12:13" x14ac:dyDescent="0.25">
      <c r="L1557" s="472"/>
      <c r="M1557" s="472"/>
    </row>
    <row r="1629" spans="12:13" x14ac:dyDescent="0.25">
      <c r="L1629" s="472"/>
      <c r="M1629" s="472"/>
    </row>
    <row r="1630" spans="12:13" x14ac:dyDescent="0.25">
      <c r="L1630" s="472"/>
      <c r="M1630" s="472"/>
    </row>
    <row r="1631" spans="12:13" x14ac:dyDescent="0.25">
      <c r="L1631" s="472"/>
      <c r="M1631" s="472"/>
    </row>
    <row r="1703" spans="12:13" x14ac:dyDescent="0.25">
      <c r="L1703" s="472"/>
      <c r="M1703" s="472"/>
    </row>
    <row r="1704" spans="12:13" x14ac:dyDescent="0.25">
      <c r="L1704" s="472"/>
      <c r="M1704" s="472"/>
    </row>
    <row r="1705" spans="12:13" x14ac:dyDescent="0.25">
      <c r="L1705" s="472"/>
      <c r="M1705" s="472"/>
    </row>
    <row r="1777" spans="12:13" x14ac:dyDescent="0.25">
      <c r="L1777" s="472"/>
      <c r="M1777" s="472"/>
    </row>
    <row r="1778" spans="12:13" x14ac:dyDescent="0.25">
      <c r="L1778" s="472"/>
      <c r="M1778" s="472"/>
    </row>
    <row r="1779" spans="12:13" x14ac:dyDescent="0.25">
      <c r="L1779" s="472"/>
      <c r="M1779" s="472"/>
    </row>
    <row r="1851" spans="12:13" x14ac:dyDescent="0.25">
      <c r="L1851" s="472"/>
      <c r="M1851" s="472"/>
    </row>
    <row r="1852" spans="12:13" x14ac:dyDescent="0.25">
      <c r="L1852" s="472"/>
      <c r="M1852" s="472"/>
    </row>
    <row r="1853" spans="12:13" x14ac:dyDescent="0.25">
      <c r="L1853" s="472"/>
      <c r="M1853" s="472"/>
    </row>
    <row r="1925" spans="12:13" x14ac:dyDescent="0.25">
      <c r="L1925" s="472"/>
      <c r="M1925" s="472"/>
    </row>
    <row r="1926" spans="12:13" x14ac:dyDescent="0.25">
      <c r="L1926" s="472"/>
      <c r="M1926" s="472"/>
    </row>
    <row r="1927" spans="12:13" x14ac:dyDescent="0.25">
      <c r="L1927" s="472"/>
      <c r="M1927" s="472"/>
    </row>
    <row r="1999" spans="12:13" x14ac:dyDescent="0.25">
      <c r="L1999" s="472"/>
      <c r="M1999" s="472"/>
    </row>
    <row r="2000" spans="12:13" x14ac:dyDescent="0.25">
      <c r="L2000" s="472"/>
      <c r="M2000" s="472"/>
    </row>
    <row r="2001" spans="12:13" x14ac:dyDescent="0.25">
      <c r="L2001" s="472"/>
      <c r="M2001" s="472"/>
    </row>
    <row r="2073" spans="12:13" x14ac:dyDescent="0.25">
      <c r="L2073" s="472"/>
      <c r="M2073" s="472"/>
    </row>
    <row r="2074" spans="12:13" x14ac:dyDescent="0.25">
      <c r="L2074" s="472"/>
      <c r="M2074" s="472"/>
    </row>
    <row r="2075" spans="12:13" x14ac:dyDescent="0.25">
      <c r="L2075" s="472"/>
      <c r="M2075" s="472"/>
    </row>
    <row r="2147" spans="12:13" x14ac:dyDescent="0.25">
      <c r="L2147" s="472"/>
      <c r="M2147" s="472"/>
    </row>
    <row r="2148" spans="12:13" x14ac:dyDescent="0.25">
      <c r="L2148" s="472"/>
      <c r="M2148" s="472"/>
    </row>
    <row r="2149" spans="12:13" x14ac:dyDescent="0.25">
      <c r="L2149" s="472"/>
      <c r="M2149" s="472"/>
    </row>
    <row r="2221" spans="12:13" x14ac:dyDescent="0.25">
      <c r="L2221" s="472"/>
      <c r="M2221" s="472"/>
    </row>
    <row r="2222" spans="12:13" x14ac:dyDescent="0.25">
      <c r="L2222" s="472"/>
      <c r="M2222" s="472"/>
    </row>
    <row r="2223" spans="12:13" x14ac:dyDescent="0.25">
      <c r="L2223" s="472"/>
      <c r="M2223" s="472"/>
    </row>
    <row r="2295" spans="12:13" x14ac:dyDescent="0.25">
      <c r="L2295" s="472"/>
      <c r="M2295" s="472"/>
    </row>
    <row r="2296" spans="12:13" x14ac:dyDescent="0.25">
      <c r="L2296" s="472"/>
      <c r="M2296" s="472"/>
    </row>
    <row r="2297" spans="12:13" x14ac:dyDescent="0.25">
      <c r="L2297" s="472"/>
      <c r="M2297" s="472"/>
    </row>
    <row r="2369" spans="12:13" x14ac:dyDescent="0.25">
      <c r="L2369" s="472"/>
      <c r="M2369" s="472"/>
    </row>
    <row r="2370" spans="12:13" x14ac:dyDescent="0.25">
      <c r="L2370" s="472"/>
      <c r="M2370" s="472"/>
    </row>
    <row r="2371" spans="12:13" x14ac:dyDescent="0.25">
      <c r="L2371" s="472"/>
      <c r="M2371" s="472"/>
    </row>
    <row r="2443" spans="12:13" x14ac:dyDescent="0.25">
      <c r="L2443" s="472"/>
      <c r="M2443" s="472"/>
    </row>
    <row r="2444" spans="12:13" x14ac:dyDescent="0.25">
      <c r="L2444" s="472"/>
      <c r="M2444" s="472"/>
    </row>
    <row r="2445" spans="12:13" x14ac:dyDescent="0.25">
      <c r="L2445" s="472"/>
      <c r="M2445" s="472"/>
    </row>
    <row r="2517" spans="12:13" x14ac:dyDescent="0.25">
      <c r="L2517" s="472"/>
      <c r="M2517" s="472"/>
    </row>
    <row r="2518" spans="12:13" x14ac:dyDescent="0.25">
      <c r="L2518" s="472"/>
      <c r="M2518" s="472"/>
    </row>
    <row r="2519" spans="12:13" x14ac:dyDescent="0.25">
      <c r="L2519" s="472"/>
      <c r="M2519" s="472"/>
    </row>
    <row r="2591" spans="12:13" x14ac:dyDescent="0.25">
      <c r="L2591" s="472"/>
      <c r="M2591" s="472"/>
    </row>
    <row r="2592" spans="12:13" x14ac:dyDescent="0.25">
      <c r="L2592" s="472"/>
      <c r="M2592" s="472"/>
    </row>
    <row r="2593" spans="12:13" x14ac:dyDescent="0.25">
      <c r="L2593" s="472"/>
      <c r="M2593" s="472"/>
    </row>
    <row r="2665" spans="12:13" x14ac:dyDescent="0.25">
      <c r="L2665" s="472"/>
      <c r="M2665" s="472"/>
    </row>
    <row r="2666" spans="12:13" x14ac:dyDescent="0.25">
      <c r="L2666" s="472"/>
      <c r="M2666" s="472"/>
    </row>
    <row r="2667" spans="12:13" x14ac:dyDescent="0.25">
      <c r="L2667" s="472"/>
      <c r="M2667" s="472"/>
    </row>
    <row r="2739" spans="12:13" x14ac:dyDescent="0.25">
      <c r="L2739" s="472"/>
      <c r="M2739" s="472"/>
    </row>
    <row r="2740" spans="12:13" x14ac:dyDescent="0.25">
      <c r="L2740" s="472"/>
      <c r="M2740" s="472"/>
    </row>
    <row r="2741" spans="12:13" x14ac:dyDescent="0.25">
      <c r="L2741" s="472"/>
      <c r="M2741" s="472"/>
    </row>
    <row r="2813" spans="12:13" x14ac:dyDescent="0.25">
      <c r="L2813" s="472"/>
      <c r="M2813" s="472"/>
    </row>
    <row r="2814" spans="12:13" x14ac:dyDescent="0.25">
      <c r="L2814" s="472"/>
      <c r="M2814" s="472"/>
    </row>
    <row r="2815" spans="12:13" x14ac:dyDescent="0.25">
      <c r="L2815" s="472"/>
      <c r="M2815" s="472"/>
    </row>
    <row r="2887" spans="12:13" x14ac:dyDescent="0.25">
      <c r="L2887" s="472"/>
      <c r="M2887" s="472"/>
    </row>
    <row r="2888" spans="12:13" x14ac:dyDescent="0.25">
      <c r="L2888" s="472"/>
      <c r="M2888" s="472"/>
    </row>
    <row r="2889" spans="12:13" x14ac:dyDescent="0.25">
      <c r="L2889" s="472"/>
      <c r="M2889" s="472"/>
    </row>
    <row r="2961" spans="12:13" x14ac:dyDescent="0.25">
      <c r="L2961" s="472"/>
      <c r="M2961" s="472"/>
    </row>
    <row r="2962" spans="12:13" x14ac:dyDescent="0.25">
      <c r="L2962" s="472"/>
      <c r="M2962" s="472"/>
    </row>
    <row r="2963" spans="12:13" x14ac:dyDescent="0.25">
      <c r="L2963" s="472"/>
      <c r="M2963" s="472"/>
    </row>
    <row r="3035" spans="12:13" x14ac:dyDescent="0.25">
      <c r="L3035" s="472"/>
      <c r="M3035" s="472"/>
    </row>
    <row r="3036" spans="12:13" x14ac:dyDescent="0.25">
      <c r="L3036" s="472"/>
      <c r="M3036" s="472"/>
    </row>
    <row r="3037" spans="12:13" x14ac:dyDescent="0.25">
      <c r="L3037" s="472"/>
      <c r="M3037" s="472"/>
    </row>
    <row r="3109" spans="12:13" x14ac:dyDescent="0.25">
      <c r="L3109" s="472"/>
      <c r="M3109" s="472"/>
    </row>
    <row r="3110" spans="12:13" x14ac:dyDescent="0.25">
      <c r="L3110" s="472"/>
      <c r="M3110" s="472"/>
    </row>
    <row r="3111" spans="12:13" x14ac:dyDescent="0.25">
      <c r="L3111" s="472"/>
      <c r="M3111" s="472"/>
    </row>
    <row r="3183" spans="12:13" x14ac:dyDescent="0.25">
      <c r="L3183" s="472"/>
      <c r="M3183" s="472"/>
    </row>
    <row r="3184" spans="12:13" x14ac:dyDescent="0.25">
      <c r="L3184" s="472"/>
      <c r="M3184" s="472"/>
    </row>
    <row r="3185" spans="12:13" x14ac:dyDescent="0.25">
      <c r="L3185" s="472"/>
      <c r="M3185" s="472"/>
    </row>
    <row r="3257" spans="12:13" x14ac:dyDescent="0.25">
      <c r="L3257" s="472"/>
      <c r="M3257" s="472"/>
    </row>
    <row r="3258" spans="12:13" x14ac:dyDescent="0.25">
      <c r="L3258" s="472"/>
      <c r="M3258" s="472"/>
    </row>
    <row r="3259" spans="12:13" x14ac:dyDescent="0.25">
      <c r="L3259" s="472"/>
      <c r="M3259" s="472"/>
    </row>
    <row r="3331" spans="12:13" x14ac:dyDescent="0.25">
      <c r="L3331" s="472"/>
      <c r="M3331" s="472"/>
    </row>
    <row r="3332" spans="12:13" x14ac:dyDescent="0.25">
      <c r="L3332" s="472"/>
      <c r="M3332" s="472"/>
    </row>
    <row r="3333" spans="12:13" x14ac:dyDescent="0.25">
      <c r="L3333" s="472"/>
      <c r="M3333" s="472"/>
    </row>
    <row r="3405" spans="12:13" x14ac:dyDescent="0.25">
      <c r="L3405" s="472"/>
      <c r="M3405" s="472"/>
    </row>
    <row r="3406" spans="12:13" x14ac:dyDescent="0.25">
      <c r="L3406" s="472"/>
      <c r="M3406" s="472"/>
    </row>
    <row r="3407" spans="12:13" x14ac:dyDescent="0.25">
      <c r="L3407" s="472"/>
      <c r="M3407" s="472"/>
    </row>
    <row r="3479" spans="12:13" x14ac:dyDescent="0.25">
      <c r="L3479" s="472"/>
      <c r="M3479" s="472"/>
    </row>
    <row r="3480" spans="12:13" x14ac:dyDescent="0.25">
      <c r="L3480" s="472"/>
      <c r="M3480" s="472"/>
    </row>
    <row r="3481" spans="12:13" x14ac:dyDescent="0.25">
      <c r="L3481" s="472"/>
      <c r="M3481" s="472"/>
    </row>
    <row r="3553" spans="12:13" x14ac:dyDescent="0.25">
      <c r="L3553" s="472"/>
      <c r="M3553" s="472"/>
    </row>
    <row r="3554" spans="12:13" x14ac:dyDescent="0.25">
      <c r="L3554" s="472"/>
      <c r="M3554" s="472"/>
    </row>
    <row r="3555" spans="12:13" x14ac:dyDescent="0.25">
      <c r="L3555" s="472"/>
      <c r="M3555" s="472"/>
    </row>
    <row r="3627" spans="12:13" x14ac:dyDescent="0.25">
      <c r="L3627" s="472"/>
      <c r="M3627" s="472"/>
    </row>
    <row r="3628" spans="12:13" x14ac:dyDescent="0.25">
      <c r="L3628" s="472"/>
      <c r="M3628" s="472"/>
    </row>
    <row r="3629" spans="12:13" x14ac:dyDescent="0.25">
      <c r="L3629" s="472"/>
      <c r="M3629" s="472"/>
    </row>
    <row r="3701" spans="12:13" x14ac:dyDescent="0.25">
      <c r="L3701" s="472"/>
      <c r="M3701" s="472"/>
    </row>
    <row r="3702" spans="12:13" x14ac:dyDescent="0.25">
      <c r="L3702" s="472"/>
      <c r="M3702" s="472"/>
    </row>
    <row r="3703" spans="12:13" x14ac:dyDescent="0.25">
      <c r="L3703" s="472"/>
      <c r="M3703" s="472"/>
    </row>
    <row r="3775" spans="12:13" x14ac:dyDescent="0.25">
      <c r="L3775" s="472"/>
      <c r="M3775" s="472"/>
    </row>
    <row r="3776" spans="12:13" x14ac:dyDescent="0.25">
      <c r="L3776" s="472"/>
      <c r="M3776" s="472"/>
    </row>
    <row r="3777" spans="12:13" x14ac:dyDescent="0.25">
      <c r="L3777" s="472"/>
      <c r="M3777" s="472"/>
    </row>
    <row r="3849" spans="12:13" x14ac:dyDescent="0.25">
      <c r="L3849" s="472"/>
      <c r="M3849" s="472"/>
    </row>
    <row r="3850" spans="12:13" x14ac:dyDescent="0.25">
      <c r="L3850" s="472"/>
      <c r="M3850" s="472"/>
    </row>
    <row r="3851" spans="12:13" x14ac:dyDescent="0.25">
      <c r="L3851" s="472"/>
      <c r="M3851" s="472"/>
    </row>
    <row r="3923" spans="12:13" x14ac:dyDescent="0.25">
      <c r="L3923" s="472"/>
      <c r="M3923" s="472"/>
    </row>
    <row r="3924" spans="12:13" x14ac:dyDescent="0.25">
      <c r="L3924" s="472"/>
      <c r="M3924" s="472"/>
    </row>
    <row r="3925" spans="12:13" x14ac:dyDescent="0.25">
      <c r="L3925" s="472"/>
      <c r="M3925" s="472"/>
    </row>
    <row r="3997" spans="12:13" x14ac:dyDescent="0.25">
      <c r="L3997" s="472"/>
      <c r="M3997" s="472"/>
    </row>
    <row r="3998" spans="12:13" x14ac:dyDescent="0.25">
      <c r="L3998" s="472"/>
      <c r="M3998" s="472"/>
    </row>
    <row r="3999" spans="12:13" x14ac:dyDescent="0.25">
      <c r="L3999" s="472"/>
      <c r="M3999" s="472"/>
    </row>
    <row r="4071" spans="12:13" x14ac:dyDescent="0.25">
      <c r="L4071" s="472"/>
      <c r="M4071" s="472"/>
    </row>
    <row r="4072" spans="12:13" x14ac:dyDescent="0.25">
      <c r="L4072" s="472"/>
      <c r="M4072" s="472"/>
    </row>
    <row r="4073" spans="12:13" x14ac:dyDescent="0.25">
      <c r="L4073" s="472"/>
      <c r="M4073" s="472"/>
    </row>
    <row r="4145" spans="12:13" x14ac:dyDescent="0.25">
      <c r="L4145" s="472"/>
      <c r="M4145" s="472"/>
    </row>
    <row r="4146" spans="12:13" x14ac:dyDescent="0.25">
      <c r="L4146" s="472"/>
      <c r="M4146" s="472"/>
    </row>
    <row r="4147" spans="12:13" x14ac:dyDescent="0.25">
      <c r="L4147" s="472"/>
      <c r="M4147" s="472"/>
    </row>
    <row r="4219" spans="12:13" x14ac:dyDescent="0.25">
      <c r="L4219" s="472"/>
      <c r="M4219" s="472"/>
    </row>
    <row r="4220" spans="12:13" x14ac:dyDescent="0.25">
      <c r="L4220" s="472"/>
      <c r="M4220" s="472"/>
    </row>
    <row r="4221" spans="12:13" x14ac:dyDescent="0.25">
      <c r="L4221" s="472"/>
      <c r="M4221" s="472"/>
    </row>
    <row r="4293" spans="12:13" x14ac:dyDescent="0.25">
      <c r="L4293" s="472"/>
      <c r="M4293" s="472"/>
    </row>
    <row r="4294" spans="12:13" x14ac:dyDescent="0.25">
      <c r="L4294" s="472"/>
      <c r="M4294" s="472"/>
    </row>
    <row r="4295" spans="12:13" x14ac:dyDescent="0.25">
      <c r="L4295" s="472"/>
      <c r="M4295" s="472"/>
    </row>
    <row r="4367" spans="12:13" x14ac:dyDescent="0.25">
      <c r="L4367" s="472"/>
      <c r="M4367" s="472"/>
    </row>
    <row r="4368" spans="12:13" x14ac:dyDescent="0.25">
      <c r="L4368" s="472"/>
      <c r="M4368" s="472"/>
    </row>
    <row r="4369" spans="12:13" x14ac:dyDescent="0.25">
      <c r="L4369" s="472"/>
      <c r="M4369" s="472"/>
    </row>
    <row r="4441" spans="12:13" x14ac:dyDescent="0.25">
      <c r="L4441" s="472"/>
      <c r="M4441" s="472"/>
    </row>
    <row r="4442" spans="12:13" x14ac:dyDescent="0.25">
      <c r="L4442" s="472"/>
      <c r="M4442" s="472"/>
    </row>
    <row r="4443" spans="12:13" x14ac:dyDescent="0.25">
      <c r="L4443" s="472"/>
      <c r="M4443" s="472"/>
    </row>
    <row r="4515" spans="12:13" x14ac:dyDescent="0.25">
      <c r="L4515" s="472"/>
      <c r="M4515" s="472"/>
    </row>
    <row r="4516" spans="12:13" x14ac:dyDescent="0.25">
      <c r="L4516" s="472"/>
      <c r="M4516" s="472"/>
    </row>
    <row r="4517" spans="12:13" x14ac:dyDescent="0.25">
      <c r="L4517" s="472"/>
      <c r="M4517" s="472"/>
    </row>
    <row r="4589" spans="12:13" x14ac:dyDescent="0.25">
      <c r="L4589" s="472"/>
      <c r="M4589" s="472"/>
    </row>
    <row r="4590" spans="12:13" x14ac:dyDescent="0.25">
      <c r="L4590" s="472"/>
      <c r="M4590" s="472"/>
    </row>
    <row r="4591" spans="12:13" x14ac:dyDescent="0.25">
      <c r="L4591" s="472"/>
      <c r="M4591" s="472"/>
    </row>
    <row r="4663" spans="12:13" x14ac:dyDescent="0.25">
      <c r="L4663" s="472"/>
      <c r="M4663" s="472"/>
    </row>
    <row r="4664" spans="12:13" x14ac:dyDescent="0.25">
      <c r="L4664" s="472"/>
      <c r="M4664" s="472"/>
    </row>
    <row r="4665" spans="12:13" x14ac:dyDescent="0.25">
      <c r="L4665" s="472"/>
      <c r="M4665" s="472"/>
    </row>
    <row r="4737" spans="12:13" x14ac:dyDescent="0.25">
      <c r="L4737" s="472"/>
      <c r="M4737" s="472"/>
    </row>
    <row r="4738" spans="12:13" x14ac:dyDescent="0.25">
      <c r="L4738" s="472"/>
      <c r="M4738" s="472"/>
    </row>
    <row r="4739" spans="12:13" x14ac:dyDescent="0.25">
      <c r="L4739" s="472"/>
      <c r="M4739" s="472"/>
    </row>
    <row r="4811" spans="12:13" x14ac:dyDescent="0.25">
      <c r="L4811" s="472"/>
      <c r="M4811" s="472"/>
    </row>
    <row r="4812" spans="12:13" x14ac:dyDescent="0.25">
      <c r="L4812" s="472"/>
      <c r="M4812" s="472"/>
    </row>
    <row r="4813" spans="12:13" x14ac:dyDescent="0.25">
      <c r="L4813" s="472"/>
      <c r="M4813" s="472"/>
    </row>
    <row r="4885" spans="12:13" x14ac:dyDescent="0.25">
      <c r="L4885" s="472"/>
      <c r="M4885" s="472"/>
    </row>
    <row r="4886" spans="12:13" x14ac:dyDescent="0.25">
      <c r="L4886" s="472"/>
      <c r="M4886" s="472"/>
    </row>
    <row r="4887" spans="12:13" x14ac:dyDescent="0.25">
      <c r="L4887" s="472"/>
      <c r="M4887" s="472"/>
    </row>
    <row r="4959" spans="12:13" x14ac:dyDescent="0.25">
      <c r="L4959" s="472"/>
      <c r="M4959" s="472"/>
    </row>
    <row r="4960" spans="12:13" x14ac:dyDescent="0.25">
      <c r="L4960" s="472"/>
      <c r="M4960" s="472"/>
    </row>
    <row r="4961" spans="12:13" x14ac:dyDescent="0.25">
      <c r="L4961" s="472"/>
      <c r="M4961" s="472"/>
    </row>
    <row r="5033" spans="12:13" x14ac:dyDescent="0.25">
      <c r="L5033" s="472"/>
      <c r="M5033" s="472"/>
    </row>
    <row r="5034" spans="12:13" x14ac:dyDescent="0.25">
      <c r="L5034" s="472"/>
      <c r="M5034" s="472"/>
    </row>
    <row r="5035" spans="12:13" x14ac:dyDescent="0.25">
      <c r="L5035" s="472"/>
      <c r="M5035" s="472"/>
    </row>
    <row r="5107" spans="12:13" x14ac:dyDescent="0.25">
      <c r="L5107" s="472"/>
      <c r="M5107" s="472"/>
    </row>
    <row r="5108" spans="12:13" x14ac:dyDescent="0.25">
      <c r="L5108" s="472"/>
      <c r="M5108" s="472"/>
    </row>
    <row r="5109" spans="12:13" x14ac:dyDescent="0.25">
      <c r="L5109" s="472"/>
      <c r="M5109" s="472"/>
    </row>
    <row r="5181" spans="12:13" x14ac:dyDescent="0.25">
      <c r="L5181" s="472"/>
      <c r="M5181" s="472"/>
    </row>
    <row r="5182" spans="12:13" x14ac:dyDescent="0.25">
      <c r="L5182" s="472"/>
      <c r="M5182" s="472"/>
    </row>
    <row r="5183" spans="12:13" x14ac:dyDescent="0.25">
      <c r="L5183" s="472"/>
      <c r="M5183" s="472"/>
    </row>
    <row r="5255" spans="12:13" x14ac:dyDescent="0.25">
      <c r="L5255" s="472"/>
      <c r="M5255" s="472"/>
    </row>
    <row r="5256" spans="12:13" x14ac:dyDescent="0.25">
      <c r="L5256" s="472"/>
      <c r="M5256" s="472"/>
    </row>
    <row r="5257" spans="12:13" x14ac:dyDescent="0.25">
      <c r="L5257" s="472"/>
      <c r="M5257" s="472"/>
    </row>
    <row r="5329" spans="12:13" x14ac:dyDescent="0.25">
      <c r="L5329" s="472"/>
      <c r="M5329" s="472"/>
    </row>
    <row r="5330" spans="12:13" x14ac:dyDescent="0.25">
      <c r="L5330" s="472"/>
      <c r="M5330" s="472"/>
    </row>
    <row r="5331" spans="12:13" x14ac:dyDescent="0.25">
      <c r="L5331" s="472"/>
      <c r="M5331" s="472"/>
    </row>
    <row r="5403" spans="12:13" x14ac:dyDescent="0.25">
      <c r="L5403" s="472"/>
      <c r="M5403" s="472"/>
    </row>
    <row r="5404" spans="12:13" x14ac:dyDescent="0.25">
      <c r="L5404" s="472"/>
      <c r="M5404" s="472"/>
    </row>
    <row r="5405" spans="12:13" x14ac:dyDescent="0.25">
      <c r="L5405" s="472"/>
      <c r="M5405" s="472"/>
    </row>
    <row r="5477" spans="12:13" x14ac:dyDescent="0.25">
      <c r="L5477" s="472"/>
      <c r="M5477" s="472"/>
    </row>
    <row r="5478" spans="12:13" x14ac:dyDescent="0.25">
      <c r="L5478" s="472"/>
      <c r="M5478" s="472"/>
    </row>
    <row r="5479" spans="12:13" x14ac:dyDescent="0.25">
      <c r="L5479" s="472"/>
      <c r="M5479" s="472"/>
    </row>
    <row r="5551" spans="12:13" x14ac:dyDescent="0.25">
      <c r="L5551" s="472"/>
      <c r="M5551" s="472"/>
    </row>
    <row r="5552" spans="12:13" x14ac:dyDescent="0.25">
      <c r="L5552" s="472"/>
      <c r="M5552" s="472"/>
    </row>
    <row r="5553" spans="12:13" x14ac:dyDescent="0.25">
      <c r="L5553" s="472"/>
      <c r="M5553" s="472"/>
    </row>
    <row r="5625" spans="12:13" x14ac:dyDescent="0.25">
      <c r="L5625" s="472"/>
      <c r="M5625" s="472"/>
    </row>
    <row r="5626" spans="12:13" x14ac:dyDescent="0.25">
      <c r="L5626" s="472"/>
      <c r="M5626" s="472"/>
    </row>
    <row r="5627" spans="12:13" x14ac:dyDescent="0.25">
      <c r="L5627" s="472"/>
      <c r="M5627" s="472"/>
    </row>
    <row r="5699" spans="12:13" x14ac:dyDescent="0.25">
      <c r="L5699" s="472"/>
      <c r="M5699" s="472"/>
    </row>
    <row r="5700" spans="12:13" x14ac:dyDescent="0.25">
      <c r="L5700" s="472"/>
      <c r="M5700" s="472"/>
    </row>
    <row r="5701" spans="12:13" x14ac:dyDescent="0.25">
      <c r="L5701" s="472"/>
      <c r="M5701" s="472"/>
    </row>
    <row r="5773" spans="12:13" x14ac:dyDescent="0.25">
      <c r="L5773" s="472"/>
      <c r="M5773" s="472"/>
    </row>
    <row r="5774" spans="12:13" x14ac:dyDescent="0.25">
      <c r="L5774" s="472"/>
      <c r="M5774" s="472"/>
    </row>
    <row r="5775" spans="12:13" x14ac:dyDescent="0.25">
      <c r="L5775" s="472"/>
      <c r="M5775" s="472"/>
    </row>
    <row r="5847" spans="12:13" x14ac:dyDescent="0.25">
      <c r="L5847" s="472"/>
      <c r="M5847" s="472"/>
    </row>
    <row r="5848" spans="12:13" x14ac:dyDescent="0.25">
      <c r="L5848" s="472"/>
      <c r="M5848" s="472"/>
    </row>
    <row r="5849" spans="12:13" x14ac:dyDescent="0.25">
      <c r="L5849" s="472"/>
      <c r="M5849" s="472"/>
    </row>
    <row r="5921" spans="12:13" x14ac:dyDescent="0.25">
      <c r="L5921" s="472"/>
      <c r="M5921" s="472"/>
    </row>
    <row r="5922" spans="12:13" x14ac:dyDescent="0.25">
      <c r="L5922" s="472"/>
      <c r="M5922" s="472"/>
    </row>
    <row r="5923" spans="12:13" x14ac:dyDescent="0.25">
      <c r="L5923" s="472"/>
      <c r="M5923" s="472"/>
    </row>
    <row r="5995" spans="12:13" x14ac:dyDescent="0.25">
      <c r="L5995" s="472"/>
      <c r="M5995" s="472"/>
    </row>
    <row r="5996" spans="12:13" x14ac:dyDescent="0.25">
      <c r="L5996" s="472"/>
      <c r="M5996" s="472"/>
    </row>
    <row r="5997" spans="12:13" x14ac:dyDescent="0.25">
      <c r="L5997" s="472"/>
      <c r="M5997" s="472"/>
    </row>
    <row r="6069" spans="12:13" x14ac:dyDescent="0.25">
      <c r="L6069" s="472"/>
      <c r="M6069" s="472"/>
    </row>
    <row r="6070" spans="12:13" x14ac:dyDescent="0.25">
      <c r="L6070" s="472"/>
      <c r="M6070" s="472"/>
    </row>
    <row r="6071" spans="12:13" x14ac:dyDescent="0.25">
      <c r="L6071" s="472"/>
      <c r="M6071" s="472"/>
    </row>
    <row r="6143" spans="12:13" x14ac:dyDescent="0.25">
      <c r="L6143" s="472"/>
      <c r="M6143" s="472"/>
    </row>
    <row r="6144" spans="12:13" x14ac:dyDescent="0.25">
      <c r="L6144" s="472"/>
      <c r="M6144" s="472"/>
    </row>
    <row r="6145" spans="12:13" x14ac:dyDescent="0.25">
      <c r="L6145" s="472"/>
      <c r="M6145" s="472"/>
    </row>
    <row r="6217" spans="12:13" x14ac:dyDescent="0.25">
      <c r="L6217" s="472"/>
      <c r="M6217" s="472"/>
    </row>
    <row r="6218" spans="12:13" x14ac:dyDescent="0.25">
      <c r="L6218" s="472"/>
      <c r="M6218" s="472"/>
    </row>
    <row r="6219" spans="12:13" x14ac:dyDescent="0.25">
      <c r="L6219" s="472"/>
      <c r="M6219" s="472"/>
    </row>
    <row r="6291" spans="12:13" x14ac:dyDescent="0.25">
      <c r="L6291" s="472"/>
      <c r="M6291" s="472"/>
    </row>
    <row r="6292" spans="12:13" x14ac:dyDescent="0.25">
      <c r="L6292" s="472"/>
      <c r="M6292" s="472"/>
    </row>
    <row r="6293" spans="12:13" x14ac:dyDescent="0.25">
      <c r="L6293" s="472"/>
      <c r="M6293" s="472"/>
    </row>
    <row r="6365" spans="12:13" x14ac:dyDescent="0.25">
      <c r="L6365" s="472"/>
      <c r="M6365" s="472"/>
    </row>
    <row r="6366" spans="12:13" x14ac:dyDescent="0.25">
      <c r="L6366" s="472"/>
      <c r="M6366" s="472"/>
    </row>
    <row r="6367" spans="12:13" x14ac:dyDescent="0.25">
      <c r="L6367" s="472"/>
      <c r="M6367" s="472"/>
    </row>
    <row r="6439" spans="12:13" x14ac:dyDescent="0.25">
      <c r="L6439" s="472"/>
      <c r="M6439" s="472"/>
    </row>
    <row r="6440" spans="12:13" x14ac:dyDescent="0.25">
      <c r="L6440" s="472"/>
      <c r="M6440" s="472"/>
    </row>
    <row r="6441" spans="12:13" x14ac:dyDescent="0.25">
      <c r="L6441" s="472"/>
      <c r="M6441" s="472"/>
    </row>
    <row r="6513" spans="12:13" x14ac:dyDescent="0.25">
      <c r="L6513" s="472"/>
      <c r="M6513" s="472"/>
    </row>
    <row r="6514" spans="12:13" x14ac:dyDescent="0.25">
      <c r="L6514" s="472"/>
      <c r="M6514" s="472"/>
    </row>
    <row r="6515" spans="12:13" x14ac:dyDescent="0.25">
      <c r="L6515" s="472"/>
      <c r="M6515" s="472"/>
    </row>
    <row r="6587" spans="12:13" x14ac:dyDescent="0.25">
      <c r="L6587" s="472"/>
      <c r="M6587" s="472"/>
    </row>
    <row r="6588" spans="12:13" x14ac:dyDescent="0.25">
      <c r="L6588" s="472"/>
      <c r="M6588" s="472"/>
    </row>
    <row r="6589" spans="12:13" x14ac:dyDescent="0.25">
      <c r="L6589" s="472"/>
      <c r="M6589" s="472"/>
    </row>
    <row r="6661" spans="12:13" x14ac:dyDescent="0.25">
      <c r="L6661" s="472"/>
      <c r="M6661" s="472"/>
    </row>
    <row r="6662" spans="12:13" x14ac:dyDescent="0.25">
      <c r="L6662" s="472"/>
      <c r="M6662" s="472"/>
    </row>
    <row r="6663" spans="12:13" x14ac:dyDescent="0.25">
      <c r="L6663" s="472"/>
      <c r="M6663" s="472"/>
    </row>
    <row r="6735" spans="12:13" x14ac:dyDescent="0.25">
      <c r="L6735" s="472"/>
      <c r="M6735" s="472"/>
    </row>
    <row r="6736" spans="12:13" x14ac:dyDescent="0.25">
      <c r="L6736" s="472"/>
      <c r="M6736" s="472"/>
    </row>
    <row r="6737" spans="12:13" x14ac:dyDescent="0.25">
      <c r="L6737" s="472"/>
      <c r="M6737" s="472"/>
    </row>
    <row r="6809" spans="12:13" x14ac:dyDescent="0.25">
      <c r="L6809" s="472"/>
      <c r="M6809" s="472"/>
    </row>
    <row r="6810" spans="12:13" x14ac:dyDescent="0.25">
      <c r="L6810" s="472"/>
      <c r="M6810" s="472"/>
    </row>
    <row r="6811" spans="12:13" x14ac:dyDescent="0.25">
      <c r="L6811" s="472"/>
      <c r="M6811" s="472"/>
    </row>
    <row r="6883" spans="12:13" x14ac:dyDescent="0.25">
      <c r="L6883" s="472"/>
      <c r="M6883" s="472"/>
    </row>
    <row r="6884" spans="12:13" x14ac:dyDescent="0.25">
      <c r="L6884" s="472"/>
      <c r="M6884" s="472"/>
    </row>
    <row r="6885" spans="12:13" x14ac:dyDescent="0.25">
      <c r="L6885" s="472"/>
      <c r="M6885" s="472"/>
    </row>
    <row r="6957" spans="12:13" x14ac:dyDescent="0.25">
      <c r="L6957" s="472"/>
      <c r="M6957" s="472"/>
    </row>
    <row r="6958" spans="12:13" x14ac:dyDescent="0.25">
      <c r="L6958" s="472"/>
      <c r="M6958" s="472"/>
    </row>
    <row r="6959" spans="12:13" x14ac:dyDescent="0.25">
      <c r="L6959" s="472"/>
      <c r="M6959" s="472"/>
    </row>
    <row r="7031" spans="12:13" x14ac:dyDescent="0.25">
      <c r="L7031" s="472"/>
      <c r="M7031" s="472"/>
    </row>
    <row r="7032" spans="12:13" x14ac:dyDescent="0.25">
      <c r="L7032" s="472"/>
      <c r="M7032" s="472"/>
    </row>
    <row r="7033" spans="12:13" x14ac:dyDescent="0.25">
      <c r="L7033" s="472"/>
      <c r="M7033" s="472"/>
    </row>
    <row r="7105" spans="12:13" x14ac:dyDescent="0.25">
      <c r="L7105" s="472"/>
      <c r="M7105" s="472"/>
    </row>
    <row r="7106" spans="12:13" x14ac:dyDescent="0.25">
      <c r="L7106" s="472"/>
      <c r="M7106" s="472"/>
    </row>
    <row r="7107" spans="12:13" x14ac:dyDescent="0.25">
      <c r="L7107" s="472"/>
      <c r="M7107" s="472"/>
    </row>
    <row r="7179" spans="12:13" x14ac:dyDescent="0.25">
      <c r="L7179" s="472"/>
      <c r="M7179" s="472"/>
    </row>
    <row r="7180" spans="12:13" x14ac:dyDescent="0.25">
      <c r="L7180" s="472"/>
      <c r="M7180" s="472"/>
    </row>
    <row r="7181" spans="12:13" x14ac:dyDescent="0.25">
      <c r="L7181" s="472"/>
      <c r="M7181" s="472"/>
    </row>
    <row r="7253" spans="12:13" x14ac:dyDescent="0.25">
      <c r="L7253" s="472"/>
      <c r="M7253" s="472"/>
    </row>
    <row r="7254" spans="12:13" x14ac:dyDescent="0.25">
      <c r="L7254" s="472"/>
      <c r="M7254" s="472"/>
    </row>
    <row r="7255" spans="12:13" x14ac:dyDescent="0.25">
      <c r="L7255" s="472"/>
      <c r="M7255" s="472"/>
    </row>
    <row r="7327" spans="12:13" x14ac:dyDescent="0.25">
      <c r="L7327" s="472"/>
      <c r="M7327" s="472"/>
    </row>
    <row r="7328" spans="12:13" x14ac:dyDescent="0.25">
      <c r="L7328" s="472"/>
      <c r="M7328" s="472"/>
    </row>
    <row r="7329" spans="12:13" x14ac:dyDescent="0.25">
      <c r="L7329" s="472"/>
      <c r="M7329" s="472"/>
    </row>
    <row r="7401" spans="12:13" x14ac:dyDescent="0.25">
      <c r="L7401" s="472"/>
      <c r="M7401" s="472"/>
    </row>
    <row r="7402" spans="12:13" x14ac:dyDescent="0.25">
      <c r="L7402" s="472"/>
      <c r="M7402" s="472"/>
    </row>
    <row r="7403" spans="12:13" x14ac:dyDescent="0.25">
      <c r="L7403" s="472"/>
      <c r="M7403" s="472"/>
    </row>
    <row r="7475" spans="12:13" x14ac:dyDescent="0.25">
      <c r="L7475" s="472"/>
      <c r="M7475" s="472"/>
    </row>
    <row r="7476" spans="12:13" x14ac:dyDescent="0.25">
      <c r="L7476" s="472"/>
      <c r="M7476" s="472"/>
    </row>
    <row r="7477" spans="12:13" x14ac:dyDescent="0.25">
      <c r="L7477" s="472"/>
      <c r="M7477" s="472"/>
    </row>
    <row r="7549" spans="12:13" x14ac:dyDescent="0.25">
      <c r="L7549" s="472"/>
      <c r="M7549" s="472"/>
    </row>
    <row r="7550" spans="12:13" x14ac:dyDescent="0.25">
      <c r="L7550" s="472"/>
      <c r="M7550" s="472"/>
    </row>
    <row r="7551" spans="12:13" x14ac:dyDescent="0.25">
      <c r="L7551" s="472"/>
      <c r="M7551" s="472"/>
    </row>
    <row r="7623" spans="12:13" x14ac:dyDescent="0.25">
      <c r="L7623" s="472"/>
      <c r="M7623" s="472"/>
    </row>
    <row r="7624" spans="12:13" x14ac:dyDescent="0.25">
      <c r="L7624" s="472"/>
      <c r="M7624" s="472"/>
    </row>
    <row r="7625" spans="12:13" x14ac:dyDescent="0.25">
      <c r="L7625" s="472"/>
      <c r="M7625" s="472"/>
    </row>
    <row r="7697" spans="12:13" x14ac:dyDescent="0.25">
      <c r="L7697" s="472"/>
      <c r="M7697" s="472"/>
    </row>
    <row r="7698" spans="12:13" x14ac:dyDescent="0.25">
      <c r="L7698" s="472"/>
      <c r="M7698" s="472"/>
    </row>
    <row r="7699" spans="12:13" x14ac:dyDescent="0.25">
      <c r="L7699" s="472"/>
      <c r="M7699" s="472"/>
    </row>
    <row r="7771" spans="12:13" x14ac:dyDescent="0.25">
      <c r="L7771" s="472"/>
      <c r="M7771" s="472"/>
    </row>
    <row r="7772" spans="12:13" x14ac:dyDescent="0.25">
      <c r="L7772" s="472"/>
      <c r="M7772" s="472"/>
    </row>
    <row r="7773" spans="12:13" x14ac:dyDescent="0.25">
      <c r="L7773" s="472"/>
      <c r="M7773" s="472"/>
    </row>
    <row r="7845" spans="12:13" x14ac:dyDescent="0.25">
      <c r="L7845" s="472"/>
      <c r="M7845" s="472"/>
    </row>
    <row r="7846" spans="12:13" x14ac:dyDescent="0.25">
      <c r="L7846" s="472"/>
      <c r="M7846" s="472"/>
    </row>
    <row r="7847" spans="12:13" x14ac:dyDescent="0.25">
      <c r="L7847" s="472"/>
      <c r="M7847" s="472"/>
    </row>
    <row r="7919" spans="12:13" x14ac:dyDescent="0.25">
      <c r="L7919" s="472"/>
      <c r="M7919" s="472"/>
    </row>
    <row r="7920" spans="12:13" x14ac:dyDescent="0.25">
      <c r="L7920" s="472"/>
      <c r="M7920" s="472"/>
    </row>
    <row r="7921" spans="12:13" x14ac:dyDescent="0.25">
      <c r="L7921" s="472"/>
      <c r="M7921" s="472"/>
    </row>
    <row r="7993" spans="12:13" x14ac:dyDescent="0.25">
      <c r="L7993" s="472"/>
      <c r="M7993" s="472"/>
    </row>
    <row r="7994" spans="12:13" x14ac:dyDescent="0.25">
      <c r="L7994" s="472"/>
      <c r="M7994" s="472"/>
    </row>
    <row r="7995" spans="12:13" x14ac:dyDescent="0.25">
      <c r="L7995" s="472"/>
      <c r="M7995" s="472"/>
    </row>
    <row r="8067" spans="12:13" x14ac:dyDescent="0.25">
      <c r="L8067" s="472"/>
      <c r="M8067" s="472"/>
    </row>
    <row r="8068" spans="12:13" x14ac:dyDescent="0.25">
      <c r="L8068" s="472"/>
      <c r="M8068" s="472"/>
    </row>
    <row r="8069" spans="12:13" x14ac:dyDescent="0.25">
      <c r="L8069" s="472"/>
      <c r="M8069" s="472"/>
    </row>
    <row r="8141" spans="12:13" x14ac:dyDescent="0.25">
      <c r="L8141" s="472"/>
      <c r="M8141" s="472"/>
    </row>
    <row r="8142" spans="12:13" x14ac:dyDescent="0.25">
      <c r="L8142" s="472"/>
      <c r="M8142" s="472"/>
    </row>
    <row r="8143" spans="12:13" x14ac:dyDescent="0.25">
      <c r="L8143" s="472"/>
      <c r="M8143" s="472"/>
    </row>
    <row r="8215" spans="12:13" x14ac:dyDescent="0.25">
      <c r="L8215" s="472"/>
      <c r="M8215" s="472"/>
    </row>
    <row r="8216" spans="12:13" x14ac:dyDescent="0.25">
      <c r="L8216" s="472"/>
      <c r="M8216" s="472"/>
    </row>
    <row r="8217" spans="12:13" x14ac:dyDescent="0.25">
      <c r="L8217" s="472"/>
      <c r="M8217" s="472"/>
    </row>
    <row r="8289" spans="12:13" x14ac:dyDescent="0.25">
      <c r="L8289" s="472"/>
      <c r="M8289" s="472"/>
    </row>
    <row r="8290" spans="12:13" x14ac:dyDescent="0.25">
      <c r="L8290" s="472"/>
      <c r="M8290" s="472"/>
    </row>
    <row r="8291" spans="12:13" x14ac:dyDescent="0.25">
      <c r="L8291" s="472"/>
      <c r="M8291" s="472"/>
    </row>
    <row r="8363" spans="12:13" x14ac:dyDescent="0.25">
      <c r="L8363" s="472"/>
      <c r="M8363" s="472"/>
    </row>
    <row r="8364" spans="12:13" x14ac:dyDescent="0.25">
      <c r="L8364" s="472"/>
      <c r="M8364" s="472"/>
    </row>
    <row r="8365" spans="12:13" x14ac:dyDescent="0.25">
      <c r="L8365" s="472"/>
      <c r="M8365" s="472"/>
    </row>
    <row r="8437" spans="12:13" x14ac:dyDescent="0.25">
      <c r="L8437" s="472"/>
      <c r="M8437" s="472"/>
    </row>
    <row r="8438" spans="12:13" x14ac:dyDescent="0.25">
      <c r="L8438" s="472"/>
      <c r="M8438" s="472"/>
    </row>
    <row r="8439" spans="12:13" x14ac:dyDescent="0.25">
      <c r="L8439" s="472"/>
      <c r="M8439" s="472"/>
    </row>
    <row r="8511" spans="12:13" x14ac:dyDescent="0.25">
      <c r="L8511" s="472"/>
      <c r="M8511" s="472"/>
    </row>
    <row r="8512" spans="12:13" x14ac:dyDescent="0.25">
      <c r="L8512" s="472"/>
      <c r="M8512" s="472"/>
    </row>
    <row r="8513" spans="12:13" x14ac:dyDescent="0.25">
      <c r="L8513" s="472"/>
      <c r="M8513" s="472"/>
    </row>
    <row r="8585" spans="12:13" x14ac:dyDescent="0.25">
      <c r="L8585" s="472"/>
      <c r="M8585" s="472"/>
    </row>
    <row r="8586" spans="12:13" x14ac:dyDescent="0.25">
      <c r="L8586" s="472"/>
      <c r="M8586" s="472"/>
    </row>
    <row r="8587" spans="12:13" x14ac:dyDescent="0.25">
      <c r="L8587" s="472"/>
      <c r="M8587" s="472"/>
    </row>
    <row r="8659" spans="12:13" x14ac:dyDescent="0.25">
      <c r="L8659" s="472"/>
      <c r="M8659" s="472"/>
    </row>
    <row r="8660" spans="12:13" x14ac:dyDescent="0.25">
      <c r="L8660" s="472"/>
      <c r="M8660" s="472"/>
    </row>
    <row r="8661" spans="12:13" x14ac:dyDescent="0.25">
      <c r="L8661" s="472"/>
      <c r="M8661" s="472"/>
    </row>
    <row r="8733" spans="12:13" x14ac:dyDescent="0.25">
      <c r="L8733" s="472"/>
      <c r="M8733" s="472"/>
    </row>
    <row r="8734" spans="12:13" x14ac:dyDescent="0.25">
      <c r="L8734" s="472"/>
      <c r="M8734" s="472"/>
    </row>
    <row r="8735" spans="12:13" x14ac:dyDescent="0.25">
      <c r="L8735" s="472"/>
      <c r="M8735" s="472"/>
    </row>
    <row r="8807" spans="12:13" x14ac:dyDescent="0.25">
      <c r="L8807" s="472"/>
      <c r="M8807" s="472"/>
    </row>
    <row r="8808" spans="12:13" x14ac:dyDescent="0.25">
      <c r="L8808" s="472"/>
      <c r="M8808" s="472"/>
    </row>
    <row r="8809" spans="12:13" x14ac:dyDescent="0.25">
      <c r="L8809" s="472"/>
      <c r="M8809" s="472"/>
    </row>
    <row r="8881" spans="12:13" x14ac:dyDescent="0.25">
      <c r="L8881" s="472"/>
      <c r="M8881" s="472"/>
    </row>
    <row r="8882" spans="12:13" x14ac:dyDescent="0.25">
      <c r="L8882" s="472"/>
      <c r="M8882" s="472"/>
    </row>
    <row r="8883" spans="12:13" x14ac:dyDescent="0.25">
      <c r="L8883" s="472"/>
      <c r="M8883" s="472"/>
    </row>
    <row r="8955" spans="12:13" x14ac:dyDescent="0.25">
      <c r="L8955" s="472"/>
      <c r="M8955" s="472"/>
    </row>
    <row r="8956" spans="12:13" x14ac:dyDescent="0.25">
      <c r="L8956" s="472"/>
      <c r="M8956" s="472"/>
    </row>
    <row r="8957" spans="12:13" x14ac:dyDescent="0.25">
      <c r="L8957" s="472"/>
      <c r="M8957" s="472"/>
    </row>
    <row r="9029" spans="12:13" x14ac:dyDescent="0.25">
      <c r="L9029" s="472"/>
      <c r="M9029" s="472"/>
    </row>
    <row r="9030" spans="12:13" x14ac:dyDescent="0.25">
      <c r="L9030" s="472"/>
      <c r="M9030" s="472"/>
    </row>
    <row r="9031" spans="12:13" x14ac:dyDescent="0.25">
      <c r="L9031" s="472"/>
      <c r="M9031" s="472"/>
    </row>
    <row r="9103" spans="12:13" x14ac:dyDescent="0.25">
      <c r="L9103" s="472"/>
      <c r="M9103" s="472"/>
    </row>
    <row r="9104" spans="12:13" x14ac:dyDescent="0.25">
      <c r="L9104" s="472"/>
      <c r="M9104" s="472"/>
    </row>
    <row r="9105" spans="12:13" x14ac:dyDescent="0.25">
      <c r="L9105" s="472"/>
      <c r="M9105" s="472"/>
    </row>
    <row r="9177" spans="12:13" x14ac:dyDescent="0.25">
      <c r="L9177" s="472"/>
      <c r="M9177" s="472"/>
    </row>
    <row r="9178" spans="12:13" x14ac:dyDescent="0.25">
      <c r="L9178" s="472"/>
      <c r="M9178" s="472"/>
    </row>
    <row r="9179" spans="12:13" x14ac:dyDescent="0.25">
      <c r="L9179" s="472"/>
      <c r="M9179" s="472"/>
    </row>
    <row r="9251" spans="12:13" x14ac:dyDescent="0.25">
      <c r="L9251" s="472"/>
      <c r="M9251" s="472"/>
    </row>
    <row r="9252" spans="12:13" x14ac:dyDescent="0.25">
      <c r="L9252" s="472"/>
      <c r="M9252" s="472"/>
    </row>
    <row r="9253" spans="12:13" x14ac:dyDescent="0.25">
      <c r="L9253" s="472"/>
      <c r="M9253" s="472"/>
    </row>
    <row r="9325" spans="12:13" x14ac:dyDescent="0.25">
      <c r="L9325" s="472"/>
      <c r="M9325" s="472"/>
    </row>
    <row r="9326" spans="12:13" x14ac:dyDescent="0.25">
      <c r="L9326" s="472"/>
      <c r="M9326" s="472"/>
    </row>
    <row r="9327" spans="12:13" x14ac:dyDescent="0.25">
      <c r="L9327" s="472"/>
      <c r="M9327" s="472"/>
    </row>
    <row r="9399" spans="12:13" x14ac:dyDescent="0.25">
      <c r="L9399" s="472"/>
      <c r="M9399" s="472"/>
    </row>
    <row r="9400" spans="12:13" x14ac:dyDescent="0.25">
      <c r="L9400" s="472"/>
      <c r="M9400" s="472"/>
    </row>
    <row r="9401" spans="12:13" x14ac:dyDescent="0.25">
      <c r="L9401" s="472"/>
      <c r="M9401" s="472"/>
    </row>
    <row r="9473" spans="12:13" x14ac:dyDescent="0.25">
      <c r="L9473" s="472"/>
      <c r="M9473" s="472"/>
    </row>
    <row r="9474" spans="12:13" x14ac:dyDescent="0.25">
      <c r="L9474" s="472"/>
      <c r="M9474" s="472"/>
    </row>
    <row r="9475" spans="12:13" x14ac:dyDescent="0.25">
      <c r="L9475" s="472"/>
      <c r="M9475" s="472"/>
    </row>
    <row r="9547" spans="12:13" x14ac:dyDescent="0.25">
      <c r="L9547" s="472"/>
      <c r="M9547" s="472"/>
    </row>
    <row r="9548" spans="12:13" x14ac:dyDescent="0.25">
      <c r="L9548" s="472"/>
      <c r="M9548" s="472"/>
    </row>
    <row r="9549" spans="12:13" x14ac:dyDescent="0.25">
      <c r="L9549" s="472"/>
      <c r="M9549" s="472"/>
    </row>
    <row r="9621" spans="12:13" x14ac:dyDescent="0.25">
      <c r="L9621" s="472"/>
      <c r="M9621" s="472"/>
    </row>
    <row r="9622" spans="12:13" x14ac:dyDescent="0.25">
      <c r="L9622" s="472"/>
      <c r="M9622" s="472"/>
    </row>
    <row r="9623" spans="12:13" x14ac:dyDescent="0.25">
      <c r="L9623" s="472"/>
      <c r="M9623" s="472"/>
    </row>
    <row r="9695" spans="12:13" x14ac:dyDescent="0.25">
      <c r="L9695" s="472"/>
      <c r="M9695" s="472"/>
    </row>
    <row r="9696" spans="12:13" x14ac:dyDescent="0.25">
      <c r="L9696" s="472"/>
      <c r="M9696" s="472"/>
    </row>
    <row r="9697" spans="12:13" x14ac:dyDescent="0.25">
      <c r="L9697" s="472"/>
      <c r="M9697" s="472"/>
    </row>
    <row r="9769" spans="12:13" x14ac:dyDescent="0.25">
      <c r="L9769" s="472"/>
      <c r="M9769" s="472"/>
    </row>
    <row r="9770" spans="12:13" x14ac:dyDescent="0.25">
      <c r="L9770" s="472"/>
      <c r="M9770" s="472"/>
    </row>
    <row r="9771" spans="12:13" x14ac:dyDescent="0.25">
      <c r="L9771" s="472"/>
      <c r="M9771" s="472"/>
    </row>
    <row r="9843" spans="12:13" x14ac:dyDescent="0.25">
      <c r="L9843" s="472"/>
      <c r="M9843" s="472"/>
    </row>
    <row r="9844" spans="12:13" x14ac:dyDescent="0.25">
      <c r="L9844" s="472"/>
      <c r="M9844" s="472"/>
    </row>
    <row r="9845" spans="12:13" x14ac:dyDescent="0.25">
      <c r="L9845" s="472"/>
      <c r="M9845" s="472"/>
    </row>
    <row r="9917" spans="12:13" x14ac:dyDescent="0.25">
      <c r="L9917" s="472"/>
      <c r="M9917" s="472"/>
    </row>
    <row r="9918" spans="12:13" x14ac:dyDescent="0.25">
      <c r="L9918" s="472"/>
      <c r="M9918" s="472"/>
    </row>
    <row r="9919" spans="12:13" x14ac:dyDescent="0.25">
      <c r="L9919" s="472"/>
      <c r="M9919" s="472"/>
    </row>
    <row r="9991" spans="12:13" x14ac:dyDescent="0.25">
      <c r="L9991" s="472"/>
      <c r="M9991" s="472"/>
    </row>
    <row r="9992" spans="12:13" x14ac:dyDescent="0.25">
      <c r="L9992" s="472"/>
      <c r="M9992" s="472"/>
    </row>
    <row r="9993" spans="12:13" x14ac:dyDescent="0.25">
      <c r="L9993" s="472"/>
      <c r="M9993" s="472"/>
    </row>
    <row r="10065" spans="12:13" x14ac:dyDescent="0.25">
      <c r="L10065" s="472"/>
      <c r="M10065" s="472"/>
    </row>
    <row r="10066" spans="12:13" x14ac:dyDescent="0.25">
      <c r="L10066" s="472"/>
      <c r="M10066" s="472"/>
    </row>
    <row r="10067" spans="12:13" x14ac:dyDescent="0.25">
      <c r="L10067" s="472"/>
      <c r="M10067" s="472"/>
    </row>
    <row r="10139" spans="12:13" x14ac:dyDescent="0.25">
      <c r="L10139" s="472"/>
      <c r="M10139" s="472"/>
    </row>
    <row r="10140" spans="12:13" x14ac:dyDescent="0.25">
      <c r="L10140" s="472"/>
      <c r="M10140" s="472"/>
    </row>
    <row r="10141" spans="12:13" x14ac:dyDescent="0.25">
      <c r="L10141" s="472"/>
      <c r="M10141" s="472"/>
    </row>
    <row r="10213" spans="12:13" x14ac:dyDescent="0.25">
      <c r="L10213" s="472"/>
      <c r="M10213" s="472"/>
    </row>
    <row r="10214" spans="12:13" x14ac:dyDescent="0.25">
      <c r="L10214" s="472"/>
      <c r="M10214" s="472"/>
    </row>
    <row r="10215" spans="12:13" x14ac:dyDescent="0.25">
      <c r="L10215" s="472"/>
      <c r="M10215" s="472"/>
    </row>
    <row r="10287" spans="12:13" x14ac:dyDescent="0.25">
      <c r="L10287" s="472"/>
      <c r="M10287" s="472"/>
    </row>
    <row r="10288" spans="12:13" x14ac:dyDescent="0.25">
      <c r="L10288" s="472"/>
      <c r="M10288" s="472"/>
    </row>
    <row r="10289" spans="12:13" x14ac:dyDescent="0.25">
      <c r="L10289" s="472"/>
      <c r="M10289" s="472"/>
    </row>
    <row r="10361" spans="12:13" x14ac:dyDescent="0.25">
      <c r="L10361" s="472"/>
      <c r="M10361" s="472"/>
    </row>
    <row r="10362" spans="12:13" x14ac:dyDescent="0.25">
      <c r="L10362" s="472"/>
      <c r="M10362" s="472"/>
    </row>
    <row r="10363" spans="12:13" x14ac:dyDescent="0.25">
      <c r="L10363" s="472"/>
      <c r="M10363" s="472"/>
    </row>
    <row r="10435" spans="12:13" x14ac:dyDescent="0.25">
      <c r="L10435" s="472"/>
      <c r="M10435" s="472"/>
    </row>
    <row r="10436" spans="12:13" x14ac:dyDescent="0.25">
      <c r="L10436" s="472"/>
      <c r="M10436" s="472"/>
    </row>
    <row r="10437" spans="12:13" x14ac:dyDescent="0.25">
      <c r="L10437" s="472"/>
      <c r="M10437" s="472"/>
    </row>
    <row r="10509" spans="12:13" x14ac:dyDescent="0.25">
      <c r="L10509" s="472"/>
      <c r="M10509" s="472"/>
    </row>
    <row r="10510" spans="12:13" x14ac:dyDescent="0.25">
      <c r="L10510" s="472"/>
      <c r="M10510" s="472"/>
    </row>
    <row r="10511" spans="12:13" x14ac:dyDescent="0.25">
      <c r="L10511" s="472"/>
      <c r="M10511" s="472"/>
    </row>
    <row r="10583" spans="12:13" x14ac:dyDescent="0.25">
      <c r="L10583" s="472"/>
      <c r="M10583" s="472"/>
    </row>
    <row r="10584" spans="12:13" x14ac:dyDescent="0.25">
      <c r="L10584" s="472"/>
      <c r="M10584" s="472"/>
    </row>
    <row r="10585" spans="12:13" x14ac:dyDescent="0.25">
      <c r="L10585" s="472"/>
      <c r="M10585" s="472"/>
    </row>
    <row r="10657" spans="12:13" x14ac:dyDescent="0.25">
      <c r="L10657" s="472"/>
      <c r="M10657" s="472"/>
    </row>
    <row r="10658" spans="12:13" x14ac:dyDescent="0.25">
      <c r="L10658" s="472"/>
      <c r="M10658" s="472"/>
    </row>
    <row r="10659" spans="12:13" x14ac:dyDescent="0.25">
      <c r="L10659" s="472"/>
      <c r="M10659" s="472"/>
    </row>
    <row r="10731" spans="12:13" x14ac:dyDescent="0.25">
      <c r="L10731" s="472"/>
      <c r="M10731" s="472"/>
    </row>
    <row r="10732" spans="12:13" x14ac:dyDescent="0.25">
      <c r="L10732" s="472"/>
      <c r="M10732" s="472"/>
    </row>
    <row r="10733" spans="12:13" x14ac:dyDescent="0.25">
      <c r="L10733" s="472"/>
      <c r="M10733" s="472"/>
    </row>
    <row r="10805" spans="12:13" x14ac:dyDescent="0.25">
      <c r="L10805" s="472"/>
      <c r="M10805" s="472"/>
    </row>
    <row r="10806" spans="12:13" x14ac:dyDescent="0.25">
      <c r="L10806" s="472"/>
      <c r="M10806" s="472"/>
    </row>
    <row r="10807" spans="12:13" x14ac:dyDescent="0.25">
      <c r="L10807" s="472"/>
      <c r="M10807" s="472"/>
    </row>
    <row r="10879" spans="12:13" x14ac:dyDescent="0.25">
      <c r="L10879" s="472"/>
      <c r="M10879" s="472"/>
    </row>
    <row r="10880" spans="12:13" x14ac:dyDescent="0.25">
      <c r="L10880" s="472"/>
      <c r="M10880" s="472"/>
    </row>
    <row r="10881" spans="12:13" x14ac:dyDescent="0.25">
      <c r="L10881" s="472"/>
      <c r="M10881" s="472"/>
    </row>
    <row r="10953" spans="12:13" x14ac:dyDescent="0.25">
      <c r="L10953" s="472"/>
      <c r="M10953" s="472"/>
    </row>
    <row r="10954" spans="12:13" x14ac:dyDescent="0.25">
      <c r="L10954" s="472"/>
      <c r="M10954" s="472"/>
    </row>
    <row r="10955" spans="12:13" x14ac:dyDescent="0.25">
      <c r="L10955" s="472"/>
      <c r="M10955" s="472"/>
    </row>
    <row r="11027" spans="12:13" x14ac:dyDescent="0.25">
      <c r="L11027" s="472"/>
      <c r="M11027" s="472"/>
    </row>
    <row r="11028" spans="12:13" x14ac:dyDescent="0.25">
      <c r="L11028" s="472"/>
      <c r="M11028" s="472"/>
    </row>
    <row r="11029" spans="12:13" x14ac:dyDescent="0.25">
      <c r="L11029" s="472"/>
      <c r="M11029" s="472"/>
    </row>
    <row r="11101" spans="12:13" x14ac:dyDescent="0.25">
      <c r="L11101" s="472"/>
      <c r="M11101" s="472"/>
    </row>
    <row r="11102" spans="12:13" x14ac:dyDescent="0.25">
      <c r="L11102" s="472"/>
      <c r="M11102" s="472"/>
    </row>
    <row r="11103" spans="12:13" x14ac:dyDescent="0.25">
      <c r="L11103" s="472"/>
      <c r="M11103" s="472"/>
    </row>
    <row r="11175" spans="12:13" x14ac:dyDescent="0.25">
      <c r="L11175" s="472"/>
      <c r="M11175" s="472"/>
    </row>
    <row r="11176" spans="12:13" x14ac:dyDescent="0.25">
      <c r="L11176" s="472"/>
      <c r="M11176" s="472"/>
    </row>
    <row r="11177" spans="12:13" x14ac:dyDescent="0.25">
      <c r="L11177" s="472"/>
      <c r="M11177" s="472"/>
    </row>
    <row r="11249" spans="12:13" x14ac:dyDescent="0.25">
      <c r="L11249" s="472"/>
      <c r="M11249" s="472"/>
    </row>
    <row r="11250" spans="12:13" x14ac:dyDescent="0.25">
      <c r="L11250" s="472"/>
      <c r="M11250" s="472"/>
    </row>
    <row r="11251" spans="12:13" x14ac:dyDescent="0.25">
      <c r="L11251" s="472"/>
      <c r="M11251" s="472"/>
    </row>
    <row r="11323" spans="12:13" x14ac:dyDescent="0.25">
      <c r="L11323" s="472"/>
      <c r="M11323" s="472"/>
    </row>
    <row r="11324" spans="12:13" x14ac:dyDescent="0.25">
      <c r="L11324" s="472"/>
      <c r="M11324" s="472"/>
    </row>
    <row r="11325" spans="12:13" x14ac:dyDescent="0.25">
      <c r="L11325" s="472"/>
      <c r="M11325" s="472"/>
    </row>
    <row r="11397" spans="12:13" x14ac:dyDescent="0.25">
      <c r="L11397" s="472"/>
      <c r="M11397" s="472"/>
    </row>
    <row r="11398" spans="12:13" x14ac:dyDescent="0.25">
      <c r="L11398" s="472"/>
      <c r="M11398" s="472"/>
    </row>
    <row r="11399" spans="12:13" x14ac:dyDescent="0.25">
      <c r="L11399" s="472"/>
      <c r="M11399" s="472"/>
    </row>
    <row r="11471" spans="12:13" x14ac:dyDescent="0.25">
      <c r="L11471" s="472"/>
      <c r="M11471" s="472"/>
    </row>
    <row r="11472" spans="12:13" x14ac:dyDescent="0.25">
      <c r="L11472" s="472"/>
      <c r="M11472" s="472"/>
    </row>
    <row r="11473" spans="12:13" x14ac:dyDescent="0.25">
      <c r="L11473" s="472"/>
      <c r="M11473" s="472"/>
    </row>
    <row r="11545" spans="12:13" x14ac:dyDescent="0.25">
      <c r="L11545" s="472"/>
      <c r="M11545" s="472"/>
    </row>
    <row r="11546" spans="12:13" x14ac:dyDescent="0.25">
      <c r="L11546" s="472"/>
      <c r="M11546" s="472"/>
    </row>
    <row r="11547" spans="12:13" x14ac:dyDescent="0.25">
      <c r="L11547" s="472"/>
      <c r="M11547" s="472"/>
    </row>
    <row r="11619" spans="12:13" x14ac:dyDescent="0.25">
      <c r="L11619" s="472"/>
      <c r="M11619" s="472"/>
    </row>
    <row r="11620" spans="12:13" x14ac:dyDescent="0.25">
      <c r="L11620" s="472"/>
      <c r="M11620" s="472"/>
    </row>
    <row r="11621" spans="12:13" x14ac:dyDescent="0.25">
      <c r="L11621" s="472"/>
      <c r="M11621" s="472"/>
    </row>
    <row r="11693" spans="12:13" x14ac:dyDescent="0.25">
      <c r="L11693" s="472"/>
      <c r="M11693" s="472"/>
    </row>
    <row r="11694" spans="12:13" x14ac:dyDescent="0.25">
      <c r="L11694" s="472"/>
      <c r="M11694" s="472"/>
    </row>
    <row r="11695" spans="12:13" x14ac:dyDescent="0.25">
      <c r="L11695" s="472"/>
      <c r="M11695" s="472"/>
    </row>
    <row r="11767" spans="12:13" x14ac:dyDescent="0.25">
      <c r="L11767" s="472"/>
      <c r="M11767" s="472"/>
    </row>
    <row r="11768" spans="12:13" x14ac:dyDescent="0.25">
      <c r="L11768" s="472"/>
      <c r="M11768" s="472"/>
    </row>
    <row r="11769" spans="12:13" x14ac:dyDescent="0.25">
      <c r="L11769" s="472"/>
      <c r="M11769" s="472"/>
    </row>
    <row r="11841" spans="12:13" x14ac:dyDescent="0.25">
      <c r="L11841" s="472"/>
      <c r="M11841" s="472"/>
    </row>
    <row r="11842" spans="12:13" x14ac:dyDescent="0.25">
      <c r="L11842" s="472"/>
      <c r="M11842" s="472"/>
    </row>
    <row r="11843" spans="12:13" x14ac:dyDescent="0.25">
      <c r="L11843" s="472"/>
      <c r="M11843" s="472"/>
    </row>
    <row r="11915" spans="12:13" x14ac:dyDescent="0.25">
      <c r="L11915" s="472"/>
      <c r="M11915" s="472"/>
    </row>
    <row r="11916" spans="12:13" x14ac:dyDescent="0.25">
      <c r="L11916" s="472"/>
      <c r="M11916" s="472"/>
    </row>
    <row r="11917" spans="12:13" x14ac:dyDescent="0.25">
      <c r="L11917" s="472"/>
      <c r="M11917" s="472"/>
    </row>
    <row r="11989" spans="12:13" x14ac:dyDescent="0.25">
      <c r="L11989" s="472"/>
      <c r="M11989" s="472"/>
    </row>
    <row r="11990" spans="12:13" x14ac:dyDescent="0.25">
      <c r="L11990" s="472"/>
      <c r="M11990" s="472"/>
    </row>
    <row r="11991" spans="12:13" x14ac:dyDescent="0.25">
      <c r="L11991" s="472"/>
      <c r="M11991" s="472"/>
    </row>
    <row r="12063" spans="12:13" x14ac:dyDescent="0.25">
      <c r="L12063" s="472"/>
      <c r="M12063" s="472"/>
    </row>
    <row r="12064" spans="12:13" x14ac:dyDescent="0.25">
      <c r="L12064" s="472"/>
      <c r="M12064" s="472"/>
    </row>
    <row r="12065" spans="12:13" x14ac:dyDescent="0.25">
      <c r="L12065" s="472"/>
      <c r="M12065" s="472"/>
    </row>
    <row r="12137" spans="12:13" x14ac:dyDescent="0.25">
      <c r="L12137" s="472"/>
      <c r="M12137" s="472"/>
    </row>
    <row r="12138" spans="12:13" x14ac:dyDescent="0.25">
      <c r="L12138" s="472"/>
      <c r="M12138" s="472"/>
    </row>
    <row r="12139" spans="12:13" x14ac:dyDescent="0.25">
      <c r="L12139" s="472"/>
      <c r="M12139" s="472"/>
    </row>
    <row r="12211" spans="12:13" x14ac:dyDescent="0.25">
      <c r="L12211" s="472"/>
      <c r="M12211" s="472"/>
    </row>
    <row r="12212" spans="12:13" x14ac:dyDescent="0.25">
      <c r="L12212" s="472"/>
      <c r="M12212" s="472"/>
    </row>
    <row r="12213" spans="12:13" x14ac:dyDescent="0.25">
      <c r="L12213" s="472"/>
      <c r="M12213" s="472"/>
    </row>
    <row r="12285" spans="12:13" x14ac:dyDescent="0.25">
      <c r="L12285" s="472"/>
      <c r="M12285" s="472"/>
    </row>
    <row r="12286" spans="12:13" x14ac:dyDescent="0.25">
      <c r="L12286" s="472"/>
      <c r="M12286" s="472"/>
    </row>
    <row r="12287" spans="12:13" x14ac:dyDescent="0.25">
      <c r="L12287" s="472"/>
      <c r="M12287" s="472"/>
    </row>
    <row r="12359" spans="12:13" x14ac:dyDescent="0.25">
      <c r="L12359" s="472"/>
      <c r="M12359" s="472"/>
    </row>
    <row r="12360" spans="12:13" x14ac:dyDescent="0.25">
      <c r="L12360" s="472"/>
      <c r="M12360" s="472"/>
    </row>
    <row r="12361" spans="12:13" x14ac:dyDescent="0.25">
      <c r="L12361" s="472"/>
      <c r="M12361" s="472"/>
    </row>
    <row r="12433" spans="12:13" x14ac:dyDescent="0.25">
      <c r="L12433" s="472"/>
      <c r="M12433" s="472"/>
    </row>
    <row r="12434" spans="12:13" x14ac:dyDescent="0.25">
      <c r="L12434" s="472"/>
      <c r="M12434" s="472"/>
    </row>
    <row r="12435" spans="12:13" x14ac:dyDescent="0.25">
      <c r="L12435" s="472"/>
      <c r="M12435" s="472"/>
    </row>
    <row r="12507" spans="12:13" x14ac:dyDescent="0.25">
      <c r="L12507" s="472"/>
      <c r="M12507" s="472"/>
    </row>
    <row r="12508" spans="12:13" x14ac:dyDescent="0.25">
      <c r="L12508" s="472"/>
      <c r="M12508" s="472"/>
    </row>
    <row r="12509" spans="12:13" x14ac:dyDescent="0.25">
      <c r="L12509" s="472"/>
      <c r="M12509" s="472"/>
    </row>
    <row r="12581" spans="12:13" x14ac:dyDescent="0.25">
      <c r="L12581" s="472"/>
      <c r="M12581" s="472"/>
    </row>
    <row r="12582" spans="12:13" x14ac:dyDescent="0.25">
      <c r="L12582" s="472"/>
      <c r="M12582" s="472"/>
    </row>
    <row r="12583" spans="12:13" x14ac:dyDescent="0.25">
      <c r="L12583" s="472"/>
      <c r="M12583" s="472"/>
    </row>
    <row r="12655" spans="12:13" x14ac:dyDescent="0.25">
      <c r="L12655" s="472"/>
      <c r="M12655" s="472"/>
    </row>
    <row r="12656" spans="12:13" x14ac:dyDescent="0.25">
      <c r="L12656" s="472"/>
      <c r="M12656" s="472"/>
    </row>
    <row r="12657" spans="12:13" x14ac:dyDescent="0.25">
      <c r="L12657" s="472"/>
      <c r="M12657" s="472"/>
    </row>
    <row r="12729" spans="12:13" x14ac:dyDescent="0.25">
      <c r="L12729" s="472"/>
      <c r="M12729" s="472"/>
    </row>
    <row r="12730" spans="12:13" x14ac:dyDescent="0.25">
      <c r="L12730" s="472"/>
      <c r="M12730" s="472"/>
    </row>
    <row r="12731" spans="12:13" x14ac:dyDescent="0.25">
      <c r="L12731" s="472"/>
      <c r="M12731" s="472"/>
    </row>
    <row r="12803" spans="12:13" x14ac:dyDescent="0.25">
      <c r="L12803" s="472"/>
      <c r="M12803" s="472"/>
    </row>
    <row r="12804" spans="12:13" x14ac:dyDescent="0.25">
      <c r="L12804" s="472"/>
      <c r="M12804" s="472"/>
    </row>
    <row r="12805" spans="12:13" x14ac:dyDescent="0.25">
      <c r="L12805" s="472"/>
      <c r="M12805" s="472"/>
    </row>
    <row r="12877" spans="12:13" x14ac:dyDescent="0.25">
      <c r="L12877" s="472"/>
      <c r="M12877" s="472"/>
    </row>
    <row r="12878" spans="12:13" x14ac:dyDescent="0.25">
      <c r="L12878" s="472"/>
      <c r="M12878" s="472"/>
    </row>
    <row r="12879" spans="12:13" x14ac:dyDescent="0.25">
      <c r="L12879" s="472"/>
      <c r="M12879" s="472"/>
    </row>
    <row r="12951" spans="12:13" x14ac:dyDescent="0.25">
      <c r="L12951" s="472"/>
      <c r="M12951" s="472"/>
    </row>
    <row r="12952" spans="12:13" x14ac:dyDescent="0.25">
      <c r="L12952" s="472"/>
      <c r="M12952" s="472"/>
    </row>
    <row r="12953" spans="12:13" x14ac:dyDescent="0.25">
      <c r="L12953" s="472"/>
      <c r="M12953" s="472"/>
    </row>
    <row r="13025" spans="12:13" x14ac:dyDescent="0.25">
      <c r="L13025" s="472"/>
      <c r="M13025" s="472"/>
    </row>
    <row r="13026" spans="12:13" x14ac:dyDescent="0.25">
      <c r="L13026" s="472"/>
      <c r="M13026" s="472"/>
    </row>
    <row r="13027" spans="12:13" x14ac:dyDescent="0.25">
      <c r="L13027" s="472"/>
      <c r="M13027" s="472"/>
    </row>
    <row r="13099" spans="12:13" x14ac:dyDescent="0.25">
      <c r="L13099" s="472"/>
      <c r="M13099" s="472"/>
    </row>
    <row r="13100" spans="12:13" x14ac:dyDescent="0.25">
      <c r="L13100" s="472"/>
      <c r="M13100" s="472"/>
    </row>
    <row r="13101" spans="12:13" x14ac:dyDescent="0.25">
      <c r="L13101" s="472"/>
      <c r="M13101" s="472"/>
    </row>
    <row r="13173" spans="12:13" x14ac:dyDescent="0.25">
      <c r="L13173" s="472"/>
      <c r="M13173" s="472"/>
    </row>
    <row r="13174" spans="12:13" x14ac:dyDescent="0.25">
      <c r="L13174" s="472"/>
      <c r="M13174" s="472"/>
    </row>
    <row r="13175" spans="12:13" x14ac:dyDescent="0.25">
      <c r="L13175" s="472"/>
      <c r="M13175" s="472"/>
    </row>
    <row r="13247" spans="12:13" x14ac:dyDescent="0.25">
      <c r="L13247" s="472"/>
      <c r="M13247" s="472"/>
    </row>
    <row r="13248" spans="12:13" x14ac:dyDescent="0.25">
      <c r="L13248" s="472"/>
      <c r="M13248" s="472"/>
    </row>
    <row r="13249" spans="12:13" x14ac:dyDescent="0.25">
      <c r="L13249" s="472"/>
      <c r="M13249" s="472"/>
    </row>
    <row r="13321" spans="12:13" x14ac:dyDescent="0.25">
      <c r="L13321" s="472"/>
      <c r="M13321" s="472"/>
    </row>
    <row r="13322" spans="12:13" x14ac:dyDescent="0.25">
      <c r="L13322" s="472"/>
      <c r="M13322" s="472"/>
    </row>
    <row r="13323" spans="12:13" x14ac:dyDescent="0.25">
      <c r="L13323" s="472"/>
      <c r="M13323" s="472"/>
    </row>
    <row r="13395" spans="12:13" x14ac:dyDescent="0.25">
      <c r="L13395" s="472"/>
      <c r="M13395" s="472"/>
    </row>
    <row r="13396" spans="12:13" x14ac:dyDescent="0.25">
      <c r="L13396" s="472"/>
      <c r="M13396" s="472"/>
    </row>
    <row r="13397" spans="12:13" x14ac:dyDescent="0.25">
      <c r="L13397" s="472"/>
      <c r="M13397" s="472"/>
    </row>
    <row r="13469" spans="12:13" x14ac:dyDescent="0.25">
      <c r="L13469" s="472"/>
      <c r="M13469" s="472"/>
    </row>
    <row r="13470" spans="12:13" x14ac:dyDescent="0.25">
      <c r="L13470" s="472"/>
      <c r="M13470" s="472"/>
    </row>
    <row r="13471" spans="12:13" x14ac:dyDescent="0.25">
      <c r="L13471" s="472"/>
      <c r="M13471" s="472"/>
    </row>
    <row r="13543" spans="12:13" x14ac:dyDescent="0.25">
      <c r="L13543" s="472"/>
      <c r="M13543" s="472"/>
    </row>
    <row r="13544" spans="12:13" x14ac:dyDescent="0.25">
      <c r="L13544" s="472"/>
      <c r="M13544" s="472"/>
    </row>
    <row r="13545" spans="12:13" x14ac:dyDescent="0.25">
      <c r="L13545" s="472"/>
      <c r="M13545" s="472"/>
    </row>
    <row r="13617" spans="12:13" x14ac:dyDescent="0.25">
      <c r="L13617" s="472"/>
      <c r="M13617" s="472"/>
    </row>
    <row r="13618" spans="12:13" x14ac:dyDescent="0.25">
      <c r="L13618" s="472"/>
      <c r="M13618" s="472"/>
    </row>
    <row r="13619" spans="12:13" x14ac:dyDescent="0.25">
      <c r="L13619" s="472"/>
      <c r="M13619" s="472"/>
    </row>
    <row r="13691" spans="12:13" x14ac:dyDescent="0.25">
      <c r="L13691" s="472"/>
      <c r="M13691" s="472"/>
    </row>
    <row r="13692" spans="12:13" x14ac:dyDescent="0.25">
      <c r="L13692" s="472"/>
      <c r="M13692" s="472"/>
    </row>
    <row r="13693" spans="12:13" x14ac:dyDescent="0.25">
      <c r="L13693" s="472"/>
      <c r="M13693" s="472"/>
    </row>
    <row r="13765" spans="12:13" x14ac:dyDescent="0.25">
      <c r="L13765" s="472"/>
      <c r="M13765" s="472"/>
    </row>
    <row r="13766" spans="12:13" x14ac:dyDescent="0.25">
      <c r="L13766" s="472"/>
      <c r="M13766" s="472"/>
    </row>
    <row r="13767" spans="12:13" x14ac:dyDescent="0.25">
      <c r="L13767" s="472"/>
      <c r="M13767" s="472"/>
    </row>
    <row r="13839" spans="12:13" x14ac:dyDescent="0.25">
      <c r="L13839" s="472"/>
      <c r="M13839" s="472"/>
    </row>
    <row r="13840" spans="12:13" x14ac:dyDescent="0.25">
      <c r="L13840" s="472"/>
      <c r="M13840" s="472"/>
    </row>
    <row r="13841" spans="12:13" x14ac:dyDescent="0.25">
      <c r="L13841" s="472"/>
      <c r="M13841" s="472"/>
    </row>
    <row r="13913" spans="12:13" x14ac:dyDescent="0.25">
      <c r="L13913" s="472"/>
      <c r="M13913" s="472"/>
    </row>
    <row r="13914" spans="12:13" x14ac:dyDescent="0.25">
      <c r="L13914" s="472"/>
      <c r="M13914" s="472"/>
    </row>
    <row r="13915" spans="12:13" x14ac:dyDescent="0.25">
      <c r="L13915" s="472"/>
      <c r="M13915" s="472"/>
    </row>
    <row r="13987" spans="12:13" x14ac:dyDescent="0.25">
      <c r="L13987" s="472"/>
      <c r="M13987" s="472"/>
    </row>
    <row r="13988" spans="12:13" x14ac:dyDescent="0.25">
      <c r="L13988" s="472"/>
      <c r="M13988" s="472"/>
    </row>
    <row r="13989" spans="12:13" x14ac:dyDescent="0.25">
      <c r="L13989" s="472"/>
      <c r="M13989" s="472"/>
    </row>
    <row r="14061" spans="12:13" x14ac:dyDescent="0.25">
      <c r="L14061" s="472"/>
      <c r="M14061" s="472"/>
    </row>
    <row r="14062" spans="12:13" x14ac:dyDescent="0.25">
      <c r="L14062" s="472"/>
      <c r="M14062" s="472"/>
    </row>
    <row r="14063" spans="12:13" x14ac:dyDescent="0.25">
      <c r="L14063" s="472"/>
      <c r="M14063" s="472"/>
    </row>
    <row r="14135" spans="12:13" x14ac:dyDescent="0.25">
      <c r="L14135" s="472"/>
      <c r="M14135" s="472"/>
    </row>
    <row r="14136" spans="12:13" x14ac:dyDescent="0.25">
      <c r="L14136" s="472"/>
      <c r="M14136" s="472"/>
    </row>
    <row r="14137" spans="12:13" x14ac:dyDescent="0.25">
      <c r="L14137" s="472"/>
      <c r="M14137" s="472"/>
    </row>
    <row r="14209" spans="12:13" x14ac:dyDescent="0.25">
      <c r="L14209" s="472"/>
      <c r="M14209" s="472"/>
    </row>
    <row r="14210" spans="12:13" x14ac:dyDescent="0.25">
      <c r="L14210" s="472"/>
      <c r="M14210" s="472"/>
    </row>
    <row r="14211" spans="12:13" x14ac:dyDescent="0.25">
      <c r="L14211" s="472"/>
      <c r="M14211" s="472"/>
    </row>
    <row r="14283" spans="12:13" x14ac:dyDescent="0.25">
      <c r="L14283" s="472"/>
      <c r="M14283" s="472"/>
    </row>
    <row r="14284" spans="12:13" x14ac:dyDescent="0.25">
      <c r="L14284" s="472"/>
      <c r="M14284" s="472"/>
    </row>
    <row r="14285" spans="12:13" x14ac:dyDescent="0.25">
      <c r="L14285" s="472"/>
      <c r="M14285" s="472"/>
    </row>
    <row r="14357" spans="12:13" x14ac:dyDescent="0.25">
      <c r="L14357" s="472"/>
      <c r="M14357" s="472"/>
    </row>
    <row r="14358" spans="12:13" x14ac:dyDescent="0.25">
      <c r="L14358" s="472"/>
      <c r="M14358" s="472"/>
    </row>
    <row r="14359" spans="12:13" x14ac:dyDescent="0.25">
      <c r="L14359" s="472"/>
      <c r="M14359" s="472"/>
    </row>
    <row r="14431" spans="12:13" x14ac:dyDescent="0.25">
      <c r="L14431" s="472"/>
      <c r="M14431" s="472"/>
    </row>
    <row r="14432" spans="12:13" x14ac:dyDescent="0.25">
      <c r="L14432" s="472"/>
      <c r="M14432" s="472"/>
    </row>
    <row r="14433" spans="12:13" x14ac:dyDescent="0.25">
      <c r="L14433" s="472"/>
      <c r="M14433" s="472"/>
    </row>
    <row r="14505" spans="12:13" x14ac:dyDescent="0.25">
      <c r="L14505" s="472"/>
      <c r="M14505" s="472"/>
    </row>
    <row r="14506" spans="12:13" x14ac:dyDescent="0.25">
      <c r="L14506" s="472"/>
      <c r="M14506" s="472"/>
    </row>
    <row r="14507" spans="12:13" x14ac:dyDescent="0.25">
      <c r="L14507" s="472"/>
      <c r="M14507" s="472"/>
    </row>
    <row r="14579" spans="12:13" x14ac:dyDescent="0.25">
      <c r="L14579" s="472"/>
      <c r="M14579" s="472"/>
    </row>
    <row r="14580" spans="12:13" x14ac:dyDescent="0.25">
      <c r="L14580" s="472"/>
      <c r="M14580" s="472"/>
    </row>
    <row r="14581" spans="12:13" x14ac:dyDescent="0.25">
      <c r="L14581" s="472"/>
      <c r="M14581" s="472"/>
    </row>
    <row r="14653" spans="12:13" x14ac:dyDescent="0.25">
      <c r="L14653" s="472"/>
      <c r="M14653" s="472"/>
    </row>
    <row r="14654" spans="12:13" x14ac:dyDescent="0.25">
      <c r="L14654" s="472"/>
      <c r="M14654" s="472"/>
    </row>
    <row r="14655" spans="12:13" x14ac:dyDescent="0.25">
      <c r="L14655" s="472"/>
      <c r="M14655" s="472"/>
    </row>
    <row r="14727" spans="12:13" x14ac:dyDescent="0.25">
      <c r="L14727" s="472"/>
      <c r="M14727" s="472"/>
    </row>
    <row r="14728" spans="12:13" x14ac:dyDescent="0.25">
      <c r="L14728" s="472"/>
      <c r="M14728" s="472"/>
    </row>
    <row r="14729" spans="12:13" x14ac:dyDescent="0.25">
      <c r="L14729" s="472"/>
      <c r="M14729" s="472"/>
    </row>
    <row r="14801" spans="12:13" x14ac:dyDescent="0.25">
      <c r="L14801" s="472"/>
      <c r="M14801" s="472"/>
    </row>
    <row r="14802" spans="12:13" x14ac:dyDescent="0.25">
      <c r="L14802" s="472"/>
      <c r="M14802" s="472"/>
    </row>
    <row r="14803" spans="12:13" x14ac:dyDescent="0.25">
      <c r="L14803" s="472"/>
      <c r="M14803" s="472"/>
    </row>
    <row r="14875" spans="12:13" x14ac:dyDescent="0.25">
      <c r="L14875" s="472"/>
      <c r="M14875" s="472"/>
    </row>
    <row r="14876" spans="12:13" x14ac:dyDescent="0.25">
      <c r="L14876" s="472"/>
      <c r="M14876" s="472"/>
    </row>
    <row r="14877" spans="12:13" x14ac:dyDescent="0.25">
      <c r="L14877" s="472"/>
      <c r="M14877" s="472"/>
    </row>
    <row r="14949" spans="12:13" x14ac:dyDescent="0.25">
      <c r="L14949" s="472"/>
      <c r="M14949" s="472"/>
    </row>
    <row r="14950" spans="12:13" x14ac:dyDescent="0.25">
      <c r="L14950" s="472"/>
      <c r="M14950" s="472"/>
    </row>
    <row r="14951" spans="12:13" x14ac:dyDescent="0.25">
      <c r="L14951" s="472"/>
      <c r="M14951" s="472"/>
    </row>
    <row r="15023" spans="12:13" x14ac:dyDescent="0.25">
      <c r="L15023" s="472"/>
      <c r="M15023" s="472"/>
    </row>
    <row r="15024" spans="12:13" x14ac:dyDescent="0.25">
      <c r="L15024" s="472"/>
      <c r="M15024" s="472"/>
    </row>
    <row r="15025" spans="12:13" x14ac:dyDescent="0.25">
      <c r="L15025" s="472"/>
      <c r="M15025" s="472"/>
    </row>
    <row r="15097" spans="12:13" x14ac:dyDescent="0.25">
      <c r="L15097" s="472"/>
      <c r="M15097" s="472"/>
    </row>
    <row r="15098" spans="12:13" x14ac:dyDescent="0.25">
      <c r="L15098" s="472"/>
      <c r="M15098" s="472"/>
    </row>
    <row r="15099" spans="12:13" x14ac:dyDescent="0.25">
      <c r="L15099" s="472"/>
      <c r="M15099" s="472"/>
    </row>
    <row r="15171" spans="12:13" x14ac:dyDescent="0.25">
      <c r="L15171" s="472"/>
      <c r="M15171" s="472"/>
    </row>
    <row r="15172" spans="12:13" x14ac:dyDescent="0.25">
      <c r="L15172" s="472"/>
      <c r="M15172" s="472"/>
    </row>
    <row r="15173" spans="12:13" x14ac:dyDescent="0.25">
      <c r="L15173" s="472"/>
      <c r="M15173" s="472"/>
    </row>
    <row r="15245" spans="12:13" x14ac:dyDescent="0.25">
      <c r="L15245" s="472"/>
      <c r="M15245" s="472"/>
    </row>
    <row r="15246" spans="12:13" x14ac:dyDescent="0.25">
      <c r="L15246" s="472"/>
      <c r="M15246" s="472"/>
    </row>
    <row r="15247" spans="12:13" x14ac:dyDescent="0.25">
      <c r="L15247" s="472"/>
      <c r="M15247" s="472"/>
    </row>
    <row r="15319" spans="12:13" x14ac:dyDescent="0.25">
      <c r="L15319" s="472"/>
      <c r="M15319" s="472"/>
    </row>
    <row r="15320" spans="12:13" x14ac:dyDescent="0.25">
      <c r="L15320" s="472"/>
      <c r="M15320" s="472"/>
    </row>
    <row r="15321" spans="12:13" x14ac:dyDescent="0.25">
      <c r="L15321" s="472"/>
      <c r="M15321" s="472"/>
    </row>
    <row r="15393" spans="12:13" x14ac:dyDescent="0.25">
      <c r="L15393" s="472"/>
      <c r="M15393" s="472"/>
    </row>
    <row r="15394" spans="12:13" x14ac:dyDescent="0.25">
      <c r="L15394" s="472"/>
      <c r="M15394" s="472"/>
    </row>
    <row r="15395" spans="12:13" x14ac:dyDescent="0.25">
      <c r="L15395" s="472"/>
      <c r="M15395" s="472"/>
    </row>
    <row r="15467" spans="12:13" x14ac:dyDescent="0.25">
      <c r="L15467" s="472"/>
      <c r="M15467" s="472"/>
    </row>
    <row r="15468" spans="12:13" x14ac:dyDescent="0.25">
      <c r="L15468" s="472"/>
      <c r="M15468" s="472"/>
    </row>
    <row r="15469" spans="12:13" x14ac:dyDescent="0.25">
      <c r="L15469" s="472"/>
      <c r="M15469" s="472"/>
    </row>
    <row r="15541" spans="12:13" x14ac:dyDescent="0.25">
      <c r="L15541" s="472"/>
      <c r="M15541" s="472"/>
    </row>
    <row r="15542" spans="12:13" x14ac:dyDescent="0.25">
      <c r="L15542" s="472"/>
      <c r="M15542" s="472"/>
    </row>
    <row r="15543" spans="12:13" x14ac:dyDescent="0.25">
      <c r="L15543" s="472"/>
      <c r="M15543" s="472"/>
    </row>
    <row r="15615" spans="12:13" x14ac:dyDescent="0.25">
      <c r="L15615" s="472"/>
      <c r="M15615" s="472"/>
    </row>
    <row r="15616" spans="12:13" x14ac:dyDescent="0.25">
      <c r="L15616" s="472"/>
      <c r="M15616" s="472"/>
    </row>
    <row r="15617" spans="12:13" x14ac:dyDescent="0.25">
      <c r="L15617" s="472"/>
      <c r="M15617" s="472"/>
    </row>
    <row r="15689" spans="12:13" x14ac:dyDescent="0.25">
      <c r="L15689" s="472"/>
      <c r="M15689" s="472"/>
    </row>
    <row r="15690" spans="12:13" x14ac:dyDescent="0.25">
      <c r="L15690" s="472"/>
      <c r="M15690" s="472"/>
    </row>
    <row r="15691" spans="12:13" x14ac:dyDescent="0.25">
      <c r="L15691" s="472"/>
      <c r="M15691" s="472"/>
    </row>
    <row r="15763" spans="12:13" x14ac:dyDescent="0.25">
      <c r="L15763" s="472"/>
      <c r="M15763" s="472"/>
    </row>
    <row r="15764" spans="12:13" x14ac:dyDescent="0.25">
      <c r="L15764" s="472"/>
      <c r="M15764" s="472"/>
    </row>
    <row r="15765" spans="12:13" x14ac:dyDescent="0.25">
      <c r="L15765" s="472"/>
      <c r="M15765" s="472"/>
    </row>
    <row r="15837" spans="12:13" x14ac:dyDescent="0.25">
      <c r="L15837" s="472"/>
      <c r="M15837" s="472"/>
    </row>
    <row r="15838" spans="12:13" x14ac:dyDescent="0.25">
      <c r="L15838" s="472"/>
      <c r="M15838" s="472"/>
    </row>
    <row r="15839" spans="12:13" x14ac:dyDescent="0.25">
      <c r="L15839" s="472"/>
      <c r="M15839" s="472"/>
    </row>
    <row r="15911" spans="12:13" x14ac:dyDescent="0.25">
      <c r="L15911" s="472"/>
      <c r="M15911" s="472"/>
    </row>
    <row r="15912" spans="12:13" x14ac:dyDescent="0.25">
      <c r="L15912" s="472"/>
      <c r="M15912" s="472"/>
    </row>
    <row r="15913" spans="12:13" x14ac:dyDescent="0.25">
      <c r="L15913" s="472"/>
      <c r="M15913" s="472"/>
    </row>
    <row r="15985" spans="12:13" x14ac:dyDescent="0.25">
      <c r="L15985" s="472"/>
      <c r="M15985" s="472"/>
    </row>
    <row r="15986" spans="12:13" x14ac:dyDescent="0.25">
      <c r="L15986" s="472"/>
      <c r="M15986" s="472"/>
    </row>
    <row r="15987" spans="12:13" x14ac:dyDescent="0.25">
      <c r="L15987" s="472"/>
      <c r="M15987" s="472"/>
    </row>
    <row r="16059" spans="12:13" x14ac:dyDescent="0.25">
      <c r="L16059" s="472"/>
      <c r="M16059" s="472"/>
    </row>
    <row r="16060" spans="12:13" x14ac:dyDescent="0.25">
      <c r="L16060" s="472"/>
      <c r="M16060" s="472"/>
    </row>
    <row r="16061" spans="12:13" x14ac:dyDescent="0.25">
      <c r="L16061" s="472"/>
      <c r="M16061" s="472"/>
    </row>
    <row r="16133" spans="12:13" x14ac:dyDescent="0.25">
      <c r="L16133" s="472"/>
      <c r="M16133" s="472"/>
    </row>
    <row r="16134" spans="12:13" x14ac:dyDescent="0.25">
      <c r="L16134" s="472"/>
      <c r="M16134" s="472"/>
    </row>
    <row r="16135" spans="12:13" x14ac:dyDescent="0.25">
      <c r="L16135" s="472"/>
      <c r="M16135" s="472"/>
    </row>
    <row r="16207" spans="12:13" x14ac:dyDescent="0.25">
      <c r="L16207" s="472"/>
      <c r="M16207" s="472"/>
    </row>
    <row r="16208" spans="12:13" x14ac:dyDescent="0.25">
      <c r="L16208" s="472"/>
      <c r="M16208" s="472"/>
    </row>
    <row r="16209" spans="12:13" x14ac:dyDescent="0.25">
      <c r="L16209" s="472"/>
      <c r="M16209" s="472"/>
    </row>
    <row r="16281" spans="12:13" x14ac:dyDescent="0.25">
      <c r="L16281" s="472"/>
      <c r="M16281" s="472"/>
    </row>
    <row r="16282" spans="12:13" x14ac:dyDescent="0.25">
      <c r="L16282" s="472"/>
      <c r="M16282" s="472"/>
    </row>
    <row r="16283" spans="12:13" x14ac:dyDescent="0.25">
      <c r="L16283" s="472"/>
      <c r="M16283" s="472"/>
    </row>
    <row r="16355" spans="12:13" x14ac:dyDescent="0.25">
      <c r="L16355" s="472"/>
      <c r="M16355" s="472"/>
    </row>
    <row r="16356" spans="12:13" x14ac:dyDescent="0.25">
      <c r="L16356" s="472"/>
      <c r="M16356" s="472"/>
    </row>
    <row r="16357" spans="12:13" x14ac:dyDescent="0.25">
      <c r="L16357" s="472"/>
      <c r="M16357" s="472"/>
    </row>
    <row r="16429" spans="12:13" x14ac:dyDescent="0.25">
      <c r="L16429" s="472"/>
      <c r="M16429" s="472"/>
    </row>
    <row r="16430" spans="12:13" x14ac:dyDescent="0.25">
      <c r="L16430" s="472"/>
      <c r="M16430" s="472"/>
    </row>
    <row r="16431" spans="12:13" x14ac:dyDescent="0.25">
      <c r="L16431" s="472"/>
      <c r="M16431" s="472"/>
    </row>
    <row r="16503" spans="12:13" x14ac:dyDescent="0.25">
      <c r="L16503" s="472"/>
      <c r="M16503" s="472"/>
    </row>
    <row r="16504" spans="12:13" x14ac:dyDescent="0.25">
      <c r="L16504" s="472"/>
      <c r="M16504" s="472"/>
    </row>
    <row r="16505" spans="12:13" x14ac:dyDescent="0.25">
      <c r="L16505" s="472"/>
      <c r="M16505" s="472"/>
    </row>
    <row r="16577" spans="12:13" x14ac:dyDescent="0.25">
      <c r="L16577" s="472"/>
      <c r="M16577" s="472"/>
    </row>
    <row r="16578" spans="12:13" x14ac:dyDescent="0.25">
      <c r="L16578" s="472"/>
      <c r="M16578" s="472"/>
    </row>
    <row r="16579" spans="12:13" x14ac:dyDescent="0.25">
      <c r="L16579" s="472"/>
      <c r="M16579" s="472"/>
    </row>
    <row r="16651" spans="12:13" x14ac:dyDescent="0.25">
      <c r="L16651" s="472"/>
      <c r="M16651" s="472"/>
    </row>
    <row r="16652" spans="12:13" x14ac:dyDescent="0.25">
      <c r="L16652" s="472"/>
      <c r="M16652" s="472"/>
    </row>
    <row r="16653" spans="12:13" x14ac:dyDescent="0.25">
      <c r="L16653" s="472"/>
      <c r="M16653" s="472"/>
    </row>
    <row r="16725" spans="12:13" x14ac:dyDescent="0.25">
      <c r="L16725" s="472"/>
      <c r="M16725" s="472"/>
    </row>
    <row r="16726" spans="12:13" x14ac:dyDescent="0.25">
      <c r="L16726" s="472"/>
      <c r="M16726" s="472"/>
    </row>
    <row r="16727" spans="12:13" x14ac:dyDescent="0.25">
      <c r="L16727" s="472"/>
      <c r="M16727" s="472"/>
    </row>
    <row r="16799" spans="12:13" x14ac:dyDescent="0.25">
      <c r="L16799" s="472"/>
      <c r="M16799" s="472"/>
    </row>
    <row r="16800" spans="12:13" x14ac:dyDescent="0.25">
      <c r="L16800" s="472"/>
      <c r="M16800" s="472"/>
    </row>
    <row r="16801" spans="12:13" x14ac:dyDescent="0.25">
      <c r="L16801" s="472"/>
      <c r="M16801" s="472"/>
    </row>
    <row r="16873" spans="12:13" x14ac:dyDescent="0.25">
      <c r="L16873" s="472"/>
      <c r="M16873" s="472"/>
    </row>
    <row r="16874" spans="12:13" x14ac:dyDescent="0.25">
      <c r="L16874" s="472"/>
      <c r="M16874" s="472"/>
    </row>
    <row r="16875" spans="12:13" x14ac:dyDescent="0.25">
      <c r="L16875" s="472"/>
      <c r="M16875" s="472"/>
    </row>
    <row r="16947" spans="12:13" x14ac:dyDescent="0.25">
      <c r="L16947" s="472"/>
      <c r="M16947" s="472"/>
    </row>
    <row r="16948" spans="12:13" x14ac:dyDescent="0.25">
      <c r="L16948" s="472"/>
      <c r="M16948" s="472"/>
    </row>
    <row r="16949" spans="12:13" x14ac:dyDescent="0.25">
      <c r="L16949" s="472"/>
      <c r="M16949" s="472"/>
    </row>
    <row r="17021" spans="12:13" x14ac:dyDescent="0.25">
      <c r="L17021" s="472"/>
      <c r="M17021" s="472"/>
    </row>
    <row r="17022" spans="12:13" x14ac:dyDescent="0.25">
      <c r="L17022" s="472"/>
      <c r="M17022" s="472"/>
    </row>
    <row r="17023" spans="12:13" x14ac:dyDescent="0.25">
      <c r="L17023" s="472"/>
      <c r="M17023" s="472"/>
    </row>
    <row r="17095" spans="12:13" x14ac:dyDescent="0.25">
      <c r="L17095" s="472"/>
      <c r="M17095" s="472"/>
    </row>
    <row r="17096" spans="12:13" x14ac:dyDescent="0.25">
      <c r="L17096" s="472"/>
      <c r="M17096" s="472"/>
    </row>
    <row r="17097" spans="12:13" x14ac:dyDescent="0.25">
      <c r="L17097" s="472"/>
      <c r="M17097" s="472"/>
    </row>
    <row r="17169" spans="12:13" x14ac:dyDescent="0.25">
      <c r="L17169" s="472"/>
      <c r="M17169" s="472"/>
    </row>
    <row r="17170" spans="12:13" x14ac:dyDescent="0.25">
      <c r="L17170" s="472"/>
      <c r="M17170" s="472"/>
    </row>
    <row r="17171" spans="12:13" x14ac:dyDescent="0.25">
      <c r="L17171" s="472"/>
      <c r="M17171" s="472"/>
    </row>
    <row r="17243" spans="12:13" x14ac:dyDescent="0.25">
      <c r="L17243" s="472"/>
      <c r="M17243" s="472"/>
    </row>
    <row r="17244" spans="12:13" x14ac:dyDescent="0.25">
      <c r="L17244" s="472"/>
      <c r="M17244" s="472"/>
    </row>
    <row r="17245" spans="12:13" x14ac:dyDescent="0.25">
      <c r="L17245" s="472"/>
      <c r="M17245" s="472"/>
    </row>
    <row r="17317" spans="12:13" x14ac:dyDescent="0.25">
      <c r="L17317" s="472"/>
      <c r="M17317" s="472"/>
    </row>
    <row r="17318" spans="12:13" x14ac:dyDescent="0.25">
      <c r="L17318" s="472"/>
      <c r="M17318" s="472"/>
    </row>
    <row r="17319" spans="12:13" x14ac:dyDescent="0.25">
      <c r="L17319" s="472"/>
      <c r="M17319" s="472"/>
    </row>
    <row r="17391" spans="12:13" x14ac:dyDescent="0.25">
      <c r="L17391" s="472"/>
      <c r="M17391" s="472"/>
    </row>
    <row r="17392" spans="12:13" x14ac:dyDescent="0.25">
      <c r="L17392" s="472"/>
      <c r="M17392" s="472"/>
    </row>
    <row r="17393" spans="12:13" x14ac:dyDescent="0.25">
      <c r="L17393" s="472"/>
      <c r="M17393" s="472"/>
    </row>
    <row r="17465" spans="12:13" x14ac:dyDescent="0.25">
      <c r="L17465" s="472"/>
      <c r="M17465" s="472"/>
    </row>
    <row r="17466" spans="12:13" x14ac:dyDescent="0.25">
      <c r="L17466" s="472"/>
      <c r="M17466" s="472"/>
    </row>
    <row r="17467" spans="12:13" x14ac:dyDescent="0.25">
      <c r="L17467" s="472"/>
      <c r="M17467" s="472"/>
    </row>
    <row r="17539" spans="12:13" x14ac:dyDescent="0.25">
      <c r="L17539" s="472"/>
      <c r="M17539" s="472"/>
    </row>
    <row r="17540" spans="12:13" x14ac:dyDescent="0.25">
      <c r="L17540" s="472"/>
      <c r="M17540" s="472"/>
    </row>
    <row r="17541" spans="12:13" x14ac:dyDescent="0.25">
      <c r="L17541" s="472"/>
      <c r="M17541" s="472"/>
    </row>
    <row r="17613" spans="12:13" x14ac:dyDescent="0.25">
      <c r="L17613" s="472"/>
      <c r="M17613" s="472"/>
    </row>
    <row r="17614" spans="12:13" x14ac:dyDescent="0.25">
      <c r="L17614" s="472"/>
      <c r="M17614" s="472"/>
    </row>
    <row r="17615" spans="12:13" x14ac:dyDescent="0.25">
      <c r="L17615" s="472"/>
      <c r="M17615" s="472"/>
    </row>
    <row r="17687" spans="12:13" x14ac:dyDescent="0.25">
      <c r="L17687" s="472"/>
      <c r="M17687" s="472"/>
    </row>
    <row r="17688" spans="12:13" x14ac:dyDescent="0.25">
      <c r="L17688" s="472"/>
      <c r="M17688" s="472"/>
    </row>
    <row r="17689" spans="12:13" x14ac:dyDescent="0.25">
      <c r="L17689" s="472"/>
      <c r="M17689" s="472"/>
    </row>
    <row r="17761" spans="12:13" x14ac:dyDescent="0.25">
      <c r="L17761" s="472"/>
      <c r="M17761" s="472"/>
    </row>
    <row r="17762" spans="12:13" x14ac:dyDescent="0.25">
      <c r="L17762" s="472"/>
      <c r="M17762" s="472"/>
    </row>
    <row r="17763" spans="12:13" x14ac:dyDescent="0.25">
      <c r="L17763" s="472"/>
      <c r="M17763" s="472"/>
    </row>
    <row r="17835" spans="12:13" x14ac:dyDescent="0.25">
      <c r="L17835" s="472"/>
      <c r="M17835" s="472"/>
    </row>
    <row r="17836" spans="12:13" x14ac:dyDescent="0.25">
      <c r="L17836" s="472"/>
      <c r="M17836" s="472"/>
    </row>
    <row r="17837" spans="12:13" x14ac:dyDescent="0.25">
      <c r="L17837" s="472"/>
      <c r="M17837" s="472"/>
    </row>
    <row r="17909" spans="12:13" x14ac:dyDescent="0.25">
      <c r="L17909" s="472"/>
      <c r="M17909" s="472"/>
    </row>
    <row r="17910" spans="12:13" x14ac:dyDescent="0.25">
      <c r="L17910" s="472"/>
      <c r="M17910" s="472"/>
    </row>
    <row r="17911" spans="12:13" x14ac:dyDescent="0.25">
      <c r="L17911" s="472"/>
      <c r="M17911" s="472"/>
    </row>
    <row r="17983" spans="12:13" x14ac:dyDescent="0.25">
      <c r="L17983" s="472"/>
      <c r="M17983" s="472"/>
    </row>
    <row r="17984" spans="12:13" x14ac:dyDescent="0.25">
      <c r="L17984" s="472"/>
      <c r="M17984" s="472"/>
    </row>
    <row r="17985" spans="12:13" x14ac:dyDescent="0.25">
      <c r="L17985" s="472"/>
      <c r="M17985" s="472"/>
    </row>
    <row r="18057" spans="12:13" x14ac:dyDescent="0.25">
      <c r="L18057" s="472"/>
      <c r="M18057" s="472"/>
    </row>
    <row r="18058" spans="12:13" x14ac:dyDescent="0.25">
      <c r="L18058" s="472"/>
      <c r="M18058" s="472"/>
    </row>
    <row r="18059" spans="12:13" x14ac:dyDescent="0.25">
      <c r="L18059" s="472"/>
      <c r="M18059" s="472"/>
    </row>
    <row r="18131" spans="12:13" x14ac:dyDescent="0.25">
      <c r="L18131" s="472"/>
      <c r="M18131" s="472"/>
    </row>
    <row r="18132" spans="12:13" x14ac:dyDescent="0.25">
      <c r="L18132" s="472"/>
      <c r="M18132" s="472"/>
    </row>
    <row r="18133" spans="12:13" x14ac:dyDescent="0.25">
      <c r="L18133" s="472"/>
      <c r="M18133" s="472"/>
    </row>
    <row r="18205" spans="12:13" x14ac:dyDescent="0.25">
      <c r="L18205" s="472"/>
      <c r="M18205" s="472"/>
    </row>
    <row r="18206" spans="12:13" x14ac:dyDescent="0.25">
      <c r="L18206" s="472"/>
      <c r="M18206" s="472"/>
    </row>
    <row r="18207" spans="12:13" x14ac:dyDescent="0.25">
      <c r="L18207" s="472"/>
      <c r="M18207" s="472"/>
    </row>
    <row r="18279" spans="12:13" x14ac:dyDescent="0.25">
      <c r="L18279" s="472"/>
      <c r="M18279" s="472"/>
    </row>
    <row r="18280" spans="12:13" x14ac:dyDescent="0.25">
      <c r="L18280" s="472"/>
      <c r="M18280" s="472"/>
    </row>
    <row r="18281" spans="12:13" x14ac:dyDescent="0.25">
      <c r="L18281" s="472"/>
      <c r="M18281" s="472"/>
    </row>
    <row r="18353" spans="12:13" x14ac:dyDescent="0.25">
      <c r="L18353" s="472"/>
      <c r="M18353" s="472"/>
    </row>
    <row r="18354" spans="12:13" x14ac:dyDescent="0.25">
      <c r="L18354" s="472"/>
      <c r="M18354" s="472"/>
    </row>
    <row r="18355" spans="12:13" x14ac:dyDescent="0.25">
      <c r="L18355" s="472"/>
      <c r="M18355" s="472"/>
    </row>
    <row r="18427" spans="12:13" x14ac:dyDescent="0.25">
      <c r="L18427" s="472"/>
      <c r="M18427" s="472"/>
    </row>
    <row r="18428" spans="12:13" x14ac:dyDescent="0.25">
      <c r="L18428" s="472"/>
      <c r="M18428" s="472"/>
    </row>
    <row r="18429" spans="12:13" x14ac:dyDescent="0.25">
      <c r="L18429" s="472"/>
      <c r="M18429" s="472"/>
    </row>
    <row r="18501" spans="12:13" x14ac:dyDescent="0.25">
      <c r="L18501" s="472"/>
      <c r="M18501" s="472"/>
    </row>
    <row r="18502" spans="12:13" x14ac:dyDescent="0.25">
      <c r="L18502" s="472"/>
      <c r="M18502" s="472"/>
    </row>
    <row r="18503" spans="12:13" x14ac:dyDescent="0.25">
      <c r="L18503" s="472"/>
      <c r="M18503" s="472"/>
    </row>
    <row r="18575" spans="12:13" x14ac:dyDescent="0.25">
      <c r="L18575" s="472"/>
      <c r="M18575" s="472"/>
    </row>
    <row r="18576" spans="12:13" x14ac:dyDescent="0.25">
      <c r="L18576" s="472"/>
      <c r="M18576" s="472"/>
    </row>
    <row r="18577" spans="12:13" x14ac:dyDescent="0.25">
      <c r="L18577" s="472"/>
      <c r="M18577" s="472"/>
    </row>
    <row r="18649" spans="12:13" x14ac:dyDescent="0.25">
      <c r="L18649" s="472"/>
      <c r="M18649" s="472"/>
    </row>
    <row r="18650" spans="12:13" x14ac:dyDescent="0.25">
      <c r="L18650" s="472"/>
      <c r="M18650" s="472"/>
    </row>
    <row r="18651" spans="12:13" x14ac:dyDescent="0.25">
      <c r="L18651" s="472"/>
      <c r="M18651" s="472"/>
    </row>
    <row r="18723" spans="12:13" x14ac:dyDescent="0.25">
      <c r="L18723" s="472"/>
      <c r="M18723" s="472"/>
    </row>
    <row r="18724" spans="12:13" x14ac:dyDescent="0.25">
      <c r="L18724" s="472"/>
      <c r="M18724" s="472"/>
    </row>
    <row r="18725" spans="12:13" x14ac:dyDescent="0.25">
      <c r="L18725" s="472"/>
      <c r="M18725" s="472"/>
    </row>
    <row r="18797" spans="12:13" x14ac:dyDescent="0.25">
      <c r="L18797" s="472"/>
      <c r="M18797" s="472"/>
    </row>
    <row r="18798" spans="12:13" x14ac:dyDescent="0.25">
      <c r="L18798" s="472"/>
      <c r="M18798" s="472"/>
    </row>
    <row r="18799" spans="12:13" x14ac:dyDescent="0.25">
      <c r="L18799" s="472"/>
      <c r="M18799" s="472"/>
    </row>
    <row r="18871" spans="12:13" x14ac:dyDescent="0.25">
      <c r="L18871" s="472"/>
      <c r="M18871" s="472"/>
    </row>
    <row r="18872" spans="12:13" x14ac:dyDescent="0.25">
      <c r="L18872" s="472"/>
      <c r="M18872" s="472"/>
    </row>
    <row r="18873" spans="12:13" x14ac:dyDescent="0.25">
      <c r="L18873" s="472"/>
      <c r="M18873" s="472"/>
    </row>
    <row r="18945" spans="12:13" x14ac:dyDescent="0.25">
      <c r="L18945" s="472"/>
      <c r="M18945" s="472"/>
    </row>
    <row r="18946" spans="12:13" x14ac:dyDescent="0.25">
      <c r="L18946" s="472"/>
      <c r="M18946" s="472"/>
    </row>
    <row r="18947" spans="12:13" x14ac:dyDescent="0.25">
      <c r="L18947" s="472"/>
      <c r="M18947" s="472"/>
    </row>
    <row r="19019" spans="12:13" x14ac:dyDescent="0.25">
      <c r="L19019" s="472"/>
      <c r="M19019" s="472"/>
    </row>
    <row r="19020" spans="12:13" x14ac:dyDescent="0.25">
      <c r="L19020" s="472"/>
      <c r="M19020" s="472"/>
    </row>
    <row r="19021" spans="12:13" x14ac:dyDescent="0.25">
      <c r="L19021" s="472"/>
      <c r="M19021" s="472"/>
    </row>
    <row r="19093" spans="12:13" x14ac:dyDescent="0.25">
      <c r="L19093" s="472"/>
      <c r="M19093" s="472"/>
    </row>
    <row r="19094" spans="12:13" x14ac:dyDescent="0.25">
      <c r="L19094" s="472"/>
      <c r="M19094" s="472"/>
    </row>
    <row r="19095" spans="12:13" x14ac:dyDescent="0.25">
      <c r="L19095" s="472"/>
      <c r="M19095" s="472"/>
    </row>
    <row r="19167" spans="12:13" x14ac:dyDescent="0.25">
      <c r="L19167" s="472"/>
      <c r="M19167" s="472"/>
    </row>
    <row r="19168" spans="12:13" x14ac:dyDescent="0.25">
      <c r="L19168" s="472"/>
      <c r="M19168" s="472"/>
    </row>
    <row r="19169" spans="12:13" x14ac:dyDescent="0.25">
      <c r="L19169" s="472"/>
      <c r="M19169" s="472"/>
    </row>
    <row r="19241" spans="12:13" x14ac:dyDescent="0.25">
      <c r="L19241" s="472"/>
      <c r="M19241" s="472"/>
    </row>
    <row r="19242" spans="12:13" x14ac:dyDescent="0.25">
      <c r="L19242" s="472"/>
      <c r="M19242" s="472"/>
    </row>
    <row r="19243" spans="12:13" x14ac:dyDescent="0.25">
      <c r="L19243" s="472"/>
      <c r="M19243" s="472"/>
    </row>
    <row r="19315" spans="12:13" x14ac:dyDescent="0.25">
      <c r="L19315" s="472"/>
      <c r="M19315" s="472"/>
    </row>
    <row r="19316" spans="12:13" x14ac:dyDescent="0.25">
      <c r="L19316" s="472"/>
      <c r="M19316" s="472"/>
    </row>
    <row r="19317" spans="12:13" x14ac:dyDescent="0.25">
      <c r="L19317" s="472"/>
      <c r="M19317" s="472"/>
    </row>
    <row r="19389" spans="12:13" x14ac:dyDescent="0.25">
      <c r="L19389" s="472"/>
      <c r="M19389" s="472"/>
    </row>
    <row r="19390" spans="12:13" x14ac:dyDescent="0.25">
      <c r="L19390" s="472"/>
      <c r="M19390" s="472"/>
    </row>
    <row r="19391" spans="12:13" x14ac:dyDescent="0.25">
      <c r="L19391" s="472"/>
      <c r="M19391" s="472"/>
    </row>
    <row r="19463" spans="12:13" x14ac:dyDescent="0.25">
      <c r="L19463" s="472"/>
      <c r="M19463" s="472"/>
    </row>
    <row r="19464" spans="12:13" x14ac:dyDescent="0.25">
      <c r="L19464" s="472"/>
      <c r="M19464" s="472"/>
    </row>
    <row r="19465" spans="12:13" x14ac:dyDescent="0.25">
      <c r="L19465" s="472"/>
      <c r="M19465" s="472"/>
    </row>
    <row r="19537" spans="12:13" x14ac:dyDescent="0.25">
      <c r="L19537" s="472"/>
      <c r="M19537" s="472"/>
    </row>
    <row r="19538" spans="12:13" x14ac:dyDescent="0.25">
      <c r="L19538" s="472"/>
      <c r="M19538" s="472"/>
    </row>
    <row r="19539" spans="12:13" x14ac:dyDescent="0.25">
      <c r="L19539" s="472"/>
      <c r="M19539" s="472"/>
    </row>
    <row r="19611" spans="12:13" x14ac:dyDescent="0.25">
      <c r="L19611" s="472"/>
      <c r="M19611" s="472"/>
    </row>
    <row r="19612" spans="12:13" x14ac:dyDescent="0.25">
      <c r="L19612" s="472"/>
      <c r="M19612" s="472"/>
    </row>
    <row r="19613" spans="12:13" x14ac:dyDescent="0.25">
      <c r="L19613" s="472"/>
      <c r="M19613" s="472"/>
    </row>
    <row r="19685" spans="12:13" x14ac:dyDescent="0.25">
      <c r="L19685" s="472"/>
      <c r="M19685" s="472"/>
    </row>
    <row r="19686" spans="12:13" x14ac:dyDescent="0.25">
      <c r="L19686" s="472"/>
      <c r="M19686" s="472"/>
    </row>
    <row r="19687" spans="12:13" x14ac:dyDescent="0.25">
      <c r="L19687" s="472"/>
      <c r="M19687" s="472"/>
    </row>
    <row r="19759" spans="12:13" x14ac:dyDescent="0.25">
      <c r="L19759" s="472"/>
      <c r="M19759" s="472"/>
    </row>
    <row r="19760" spans="12:13" x14ac:dyDescent="0.25">
      <c r="L19760" s="472"/>
      <c r="M19760" s="472"/>
    </row>
    <row r="19761" spans="12:13" x14ac:dyDescent="0.25">
      <c r="L19761" s="472"/>
      <c r="M19761" s="472"/>
    </row>
    <row r="19833" spans="12:13" x14ac:dyDescent="0.25">
      <c r="L19833" s="472"/>
      <c r="M19833" s="472"/>
    </row>
    <row r="19834" spans="12:13" x14ac:dyDescent="0.25">
      <c r="L19834" s="472"/>
      <c r="M19834" s="472"/>
    </row>
    <row r="19835" spans="12:13" x14ac:dyDescent="0.25">
      <c r="L19835" s="472"/>
      <c r="M19835" s="472"/>
    </row>
    <row r="19907" spans="12:13" x14ac:dyDescent="0.25">
      <c r="L19907" s="472"/>
      <c r="M19907" s="472"/>
    </row>
    <row r="19908" spans="12:13" x14ac:dyDescent="0.25">
      <c r="L19908" s="472"/>
      <c r="M19908" s="472"/>
    </row>
    <row r="19909" spans="12:13" x14ac:dyDescent="0.25">
      <c r="L19909" s="472"/>
      <c r="M19909" s="472"/>
    </row>
    <row r="19981" spans="12:13" x14ac:dyDescent="0.25">
      <c r="L19981" s="472"/>
      <c r="M19981" s="472"/>
    </row>
    <row r="19982" spans="12:13" x14ac:dyDescent="0.25">
      <c r="L19982" s="472"/>
      <c r="M19982" s="472"/>
    </row>
    <row r="19983" spans="12:13" x14ac:dyDescent="0.25">
      <c r="L19983" s="472"/>
      <c r="M19983" s="472"/>
    </row>
    <row r="20055" spans="12:13" x14ac:dyDescent="0.25">
      <c r="L20055" s="472"/>
      <c r="M20055" s="472"/>
    </row>
    <row r="20056" spans="12:13" x14ac:dyDescent="0.25">
      <c r="L20056" s="472"/>
      <c r="M20056" s="472"/>
    </row>
    <row r="20057" spans="12:13" x14ac:dyDescent="0.25">
      <c r="L20057" s="472"/>
      <c r="M20057" s="472"/>
    </row>
    <row r="20129" spans="12:13" x14ac:dyDescent="0.25">
      <c r="L20129" s="472"/>
      <c r="M20129" s="472"/>
    </row>
    <row r="20130" spans="12:13" x14ac:dyDescent="0.25">
      <c r="L20130" s="472"/>
      <c r="M20130" s="472"/>
    </row>
    <row r="20131" spans="12:13" x14ac:dyDescent="0.25">
      <c r="L20131" s="472"/>
      <c r="M20131" s="472"/>
    </row>
    <row r="20203" spans="12:13" x14ac:dyDescent="0.25">
      <c r="L20203" s="472"/>
      <c r="M20203" s="472"/>
    </row>
    <row r="20204" spans="12:13" x14ac:dyDescent="0.25">
      <c r="L20204" s="472"/>
      <c r="M20204" s="472"/>
    </row>
    <row r="20205" spans="12:13" x14ac:dyDescent="0.25">
      <c r="L20205" s="472"/>
      <c r="M20205" s="472"/>
    </row>
    <row r="20277" spans="12:13" x14ac:dyDescent="0.25">
      <c r="L20277" s="472"/>
      <c r="M20277" s="472"/>
    </row>
    <row r="20278" spans="12:13" x14ac:dyDescent="0.25">
      <c r="L20278" s="472"/>
      <c r="M20278" s="472"/>
    </row>
    <row r="20279" spans="12:13" x14ac:dyDescent="0.25">
      <c r="L20279" s="472"/>
      <c r="M20279" s="472"/>
    </row>
    <row r="20351" spans="12:13" x14ac:dyDescent="0.25">
      <c r="L20351" s="472"/>
      <c r="M20351" s="472"/>
    </row>
    <row r="20352" spans="12:13" x14ac:dyDescent="0.25">
      <c r="L20352" s="472"/>
      <c r="M20352" s="472"/>
    </row>
    <row r="20353" spans="12:13" x14ac:dyDescent="0.25">
      <c r="L20353" s="472"/>
      <c r="M20353" s="472"/>
    </row>
    <row r="20425" spans="12:13" x14ac:dyDescent="0.25">
      <c r="L20425" s="472"/>
      <c r="M20425" s="472"/>
    </row>
    <row r="20426" spans="12:13" x14ac:dyDescent="0.25">
      <c r="L20426" s="472"/>
      <c r="M20426" s="472"/>
    </row>
    <row r="20427" spans="12:13" x14ac:dyDescent="0.25">
      <c r="L20427" s="472"/>
      <c r="M20427" s="472"/>
    </row>
    <row r="20499" spans="12:13" x14ac:dyDescent="0.25">
      <c r="L20499" s="472"/>
      <c r="M20499" s="472"/>
    </row>
    <row r="20500" spans="12:13" x14ac:dyDescent="0.25">
      <c r="L20500" s="472"/>
      <c r="M20500" s="472"/>
    </row>
    <row r="20501" spans="12:13" x14ac:dyDescent="0.25">
      <c r="L20501" s="472"/>
      <c r="M20501" s="472"/>
    </row>
    <row r="20573" spans="12:13" x14ac:dyDescent="0.25">
      <c r="L20573" s="472"/>
      <c r="M20573" s="472"/>
    </row>
    <row r="20574" spans="12:13" x14ac:dyDescent="0.25">
      <c r="L20574" s="472"/>
      <c r="M20574" s="472"/>
    </row>
    <row r="20575" spans="12:13" x14ac:dyDescent="0.25">
      <c r="L20575" s="472"/>
      <c r="M20575" s="472"/>
    </row>
    <row r="20647" spans="12:13" x14ac:dyDescent="0.25">
      <c r="L20647" s="472"/>
      <c r="M20647" s="472"/>
    </row>
    <row r="20648" spans="12:13" x14ac:dyDescent="0.25">
      <c r="L20648" s="472"/>
      <c r="M20648" s="472"/>
    </row>
    <row r="20649" spans="12:13" x14ac:dyDescent="0.25">
      <c r="L20649" s="472"/>
      <c r="M20649" s="472"/>
    </row>
    <row r="20721" spans="12:13" x14ac:dyDescent="0.25">
      <c r="L20721" s="472"/>
      <c r="M20721" s="472"/>
    </row>
    <row r="20722" spans="12:13" x14ac:dyDescent="0.25">
      <c r="L20722" s="472"/>
      <c r="M20722" s="472"/>
    </row>
    <row r="20723" spans="12:13" x14ac:dyDescent="0.25">
      <c r="L20723" s="472"/>
      <c r="M20723" s="472"/>
    </row>
    <row r="20795" spans="12:13" x14ac:dyDescent="0.25">
      <c r="L20795" s="472"/>
      <c r="M20795" s="472"/>
    </row>
    <row r="20796" spans="12:13" x14ac:dyDescent="0.25">
      <c r="L20796" s="472"/>
      <c r="M20796" s="472"/>
    </row>
    <row r="20797" spans="12:13" x14ac:dyDescent="0.25">
      <c r="L20797" s="472"/>
      <c r="M20797" s="472"/>
    </row>
    <row r="20869" spans="12:13" x14ac:dyDescent="0.25">
      <c r="L20869" s="472"/>
      <c r="M20869" s="472"/>
    </row>
    <row r="20870" spans="12:13" x14ac:dyDescent="0.25">
      <c r="L20870" s="472"/>
      <c r="M20870" s="472"/>
    </row>
    <row r="20871" spans="12:13" x14ac:dyDescent="0.25">
      <c r="L20871" s="472"/>
      <c r="M20871" s="472"/>
    </row>
    <row r="20943" spans="12:13" x14ac:dyDescent="0.25">
      <c r="L20943" s="472"/>
      <c r="M20943" s="472"/>
    </row>
    <row r="20944" spans="12:13" x14ac:dyDescent="0.25">
      <c r="L20944" s="472"/>
      <c r="M20944" s="472"/>
    </row>
    <row r="20945" spans="12:13" x14ac:dyDescent="0.25">
      <c r="L20945" s="472"/>
      <c r="M20945" s="472"/>
    </row>
    <row r="21017" spans="12:13" x14ac:dyDescent="0.25">
      <c r="L21017" s="472"/>
      <c r="M21017" s="472"/>
    </row>
    <row r="21018" spans="12:13" x14ac:dyDescent="0.25">
      <c r="L21018" s="472"/>
      <c r="M21018" s="472"/>
    </row>
    <row r="21019" spans="12:13" x14ac:dyDescent="0.25">
      <c r="L21019" s="472"/>
      <c r="M21019" s="472"/>
    </row>
    <row r="21091" spans="12:13" x14ac:dyDescent="0.25">
      <c r="L21091" s="472"/>
      <c r="M21091" s="472"/>
    </row>
    <row r="21092" spans="12:13" x14ac:dyDescent="0.25">
      <c r="L21092" s="472"/>
      <c r="M21092" s="472"/>
    </row>
    <row r="21093" spans="12:13" x14ac:dyDescent="0.25">
      <c r="L21093" s="472"/>
      <c r="M21093" s="472"/>
    </row>
    <row r="21165" spans="12:13" x14ac:dyDescent="0.25">
      <c r="L21165" s="472"/>
      <c r="M21165" s="472"/>
    </row>
    <row r="21166" spans="12:13" x14ac:dyDescent="0.25">
      <c r="L21166" s="472"/>
      <c r="M21166" s="472"/>
    </row>
    <row r="21167" spans="12:13" x14ac:dyDescent="0.25">
      <c r="L21167" s="472"/>
      <c r="M21167" s="472"/>
    </row>
    <row r="21239" spans="12:13" x14ac:dyDescent="0.25">
      <c r="L21239" s="472"/>
      <c r="M21239" s="472"/>
    </row>
    <row r="21240" spans="12:13" x14ac:dyDescent="0.25">
      <c r="L21240" s="472"/>
      <c r="M21240" s="472"/>
    </row>
    <row r="21241" spans="12:13" x14ac:dyDescent="0.25">
      <c r="L21241" s="472"/>
      <c r="M21241" s="472"/>
    </row>
    <row r="21313" spans="12:13" x14ac:dyDescent="0.25">
      <c r="L21313" s="472"/>
      <c r="M21313" s="472"/>
    </row>
    <row r="21314" spans="12:13" x14ac:dyDescent="0.25">
      <c r="L21314" s="472"/>
      <c r="M21314" s="472"/>
    </row>
    <row r="21315" spans="12:13" x14ac:dyDescent="0.25">
      <c r="L21315" s="472"/>
      <c r="M21315" s="472"/>
    </row>
    <row r="21387" spans="12:13" x14ac:dyDescent="0.25">
      <c r="L21387" s="472"/>
      <c r="M21387" s="472"/>
    </row>
    <row r="21388" spans="12:13" x14ac:dyDescent="0.25">
      <c r="L21388" s="472"/>
      <c r="M21388" s="472"/>
    </row>
    <row r="21389" spans="12:13" x14ac:dyDescent="0.25">
      <c r="L21389" s="472"/>
      <c r="M21389" s="472"/>
    </row>
    <row r="21461" spans="12:13" x14ac:dyDescent="0.25">
      <c r="L21461" s="472"/>
      <c r="M21461" s="472"/>
    </row>
    <row r="21462" spans="12:13" x14ac:dyDescent="0.25">
      <c r="L21462" s="472"/>
      <c r="M21462" s="472"/>
    </row>
    <row r="21463" spans="12:13" x14ac:dyDescent="0.25">
      <c r="L21463" s="472"/>
      <c r="M21463" s="472"/>
    </row>
    <row r="21535" spans="12:13" x14ac:dyDescent="0.25">
      <c r="L21535" s="472"/>
      <c r="M21535" s="472"/>
    </row>
    <row r="21536" spans="12:13" x14ac:dyDescent="0.25">
      <c r="L21536" s="472"/>
      <c r="M21536" s="472"/>
    </row>
    <row r="21537" spans="12:13" x14ac:dyDescent="0.25">
      <c r="L21537" s="472"/>
      <c r="M21537" s="472"/>
    </row>
    <row r="21609" spans="12:13" x14ac:dyDescent="0.25">
      <c r="L21609" s="472"/>
      <c r="M21609" s="472"/>
    </row>
    <row r="21610" spans="12:13" x14ac:dyDescent="0.25">
      <c r="L21610" s="472"/>
      <c r="M21610" s="472"/>
    </row>
    <row r="21611" spans="12:13" x14ac:dyDescent="0.25">
      <c r="L21611" s="472"/>
      <c r="M21611" s="472"/>
    </row>
    <row r="21683" spans="12:13" x14ac:dyDescent="0.25">
      <c r="L21683" s="472"/>
      <c r="M21683" s="472"/>
    </row>
    <row r="21684" spans="12:13" x14ac:dyDescent="0.25">
      <c r="L21684" s="472"/>
      <c r="M21684" s="472"/>
    </row>
    <row r="21685" spans="12:13" x14ac:dyDescent="0.25">
      <c r="L21685" s="472"/>
      <c r="M21685" s="472"/>
    </row>
    <row r="21757" spans="12:13" x14ac:dyDescent="0.25">
      <c r="L21757" s="472"/>
      <c r="M21757" s="472"/>
    </row>
    <row r="21758" spans="12:13" x14ac:dyDescent="0.25">
      <c r="L21758" s="472"/>
      <c r="M21758" s="472"/>
    </row>
    <row r="21759" spans="12:13" x14ac:dyDescent="0.25">
      <c r="L21759" s="472"/>
      <c r="M21759" s="472"/>
    </row>
    <row r="21831" spans="12:13" x14ac:dyDescent="0.25">
      <c r="L21831" s="472"/>
      <c r="M21831" s="472"/>
    </row>
    <row r="21832" spans="12:13" x14ac:dyDescent="0.25">
      <c r="L21832" s="472"/>
      <c r="M21832" s="472"/>
    </row>
    <row r="21833" spans="12:13" x14ac:dyDescent="0.25">
      <c r="L21833" s="472"/>
      <c r="M21833" s="472"/>
    </row>
    <row r="21905" spans="12:13" x14ac:dyDescent="0.25">
      <c r="L21905" s="472"/>
      <c r="M21905" s="472"/>
    </row>
    <row r="21906" spans="12:13" x14ac:dyDescent="0.25">
      <c r="L21906" s="472"/>
      <c r="M21906" s="472"/>
    </row>
    <row r="21907" spans="12:13" x14ac:dyDescent="0.25">
      <c r="L21907" s="472"/>
      <c r="M21907" s="472"/>
    </row>
    <row r="21979" spans="12:13" x14ac:dyDescent="0.25">
      <c r="L21979" s="472"/>
      <c r="M21979" s="472"/>
    </row>
    <row r="21980" spans="12:13" x14ac:dyDescent="0.25">
      <c r="L21980" s="472"/>
      <c r="M21980" s="472"/>
    </row>
    <row r="21981" spans="12:13" x14ac:dyDescent="0.25">
      <c r="L21981" s="472"/>
      <c r="M21981" s="472"/>
    </row>
    <row r="22053" spans="12:13" x14ac:dyDescent="0.25">
      <c r="L22053" s="472"/>
      <c r="M22053" s="472"/>
    </row>
    <row r="22054" spans="12:13" x14ac:dyDescent="0.25">
      <c r="L22054" s="472"/>
      <c r="M22054" s="472"/>
    </row>
    <row r="22055" spans="12:13" x14ac:dyDescent="0.25">
      <c r="L22055" s="472"/>
      <c r="M22055" s="472"/>
    </row>
    <row r="22127" spans="12:13" x14ac:dyDescent="0.25">
      <c r="L22127" s="472"/>
      <c r="M22127" s="472"/>
    </row>
    <row r="22128" spans="12:13" x14ac:dyDescent="0.25">
      <c r="L22128" s="472"/>
      <c r="M22128" s="472"/>
    </row>
    <row r="22129" spans="12:13" x14ac:dyDescent="0.25">
      <c r="L22129" s="472"/>
      <c r="M22129" s="472"/>
    </row>
    <row r="22201" spans="12:13" x14ac:dyDescent="0.25">
      <c r="L22201" s="472"/>
      <c r="M22201" s="472"/>
    </row>
    <row r="22202" spans="12:13" x14ac:dyDescent="0.25">
      <c r="L22202" s="472"/>
      <c r="M22202" s="472"/>
    </row>
    <row r="22203" spans="12:13" x14ac:dyDescent="0.25">
      <c r="L22203" s="472"/>
      <c r="M22203" s="472"/>
    </row>
    <row r="22275" spans="12:13" x14ac:dyDescent="0.25">
      <c r="L22275" s="472"/>
      <c r="M22275" s="472"/>
    </row>
    <row r="22276" spans="12:13" x14ac:dyDescent="0.25">
      <c r="L22276" s="472"/>
      <c r="M22276" s="472"/>
    </row>
    <row r="22277" spans="12:13" x14ac:dyDescent="0.25">
      <c r="L22277" s="472"/>
      <c r="M22277" s="472"/>
    </row>
    <row r="22349" spans="12:13" x14ac:dyDescent="0.25">
      <c r="L22349" s="472"/>
      <c r="M22349" s="472"/>
    </row>
    <row r="22350" spans="12:13" x14ac:dyDescent="0.25">
      <c r="L22350" s="472"/>
      <c r="M22350" s="472"/>
    </row>
    <row r="22351" spans="12:13" x14ac:dyDescent="0.25">
      <c r="L22351" s="472"/>
      <c r="M22351" s="472"/>
    </row>
    <row r="22423" spans="12:13" x14ac:dyDescent="0.25">
      <c r="L22423" s="472"/>
      <c r="M22423" s="472"/>
    </row>
    <row r="22424" spans="12:13" x14ac:dyDescent="0.25">
      <c r="L22424" s="472"/>
      <c r="M22424" s="472"/>
    </row>
    <row r="22425" spans="12:13" x14ac:dyDescent="0.25">
      <c r="L22425" s="472"/>
      <c r="M22425" s="472"/>
    </row>
    <row r="22497" spans="12:13" x14ac:dyDescent="0.25">
      <c r="L22497" s="472"/>
      <c r="M22497" s="472"/>
    </row>
    <row r="22498" spans="12:13" x14ac:dyDescent="0.25">
      <c r="L22498" s="472"/>
      <c r="M22498" s="472"/>
    </row>
    <row r="22499" spans="12:13" x14ac:dyDescent="0.25">
      <c r="L22499" s="472"/>
      <c r="M22499" s="472"/>
    </row>
    <row r="22571" spans="12:13" x14ac:dyDescent="0.25">
      <c r="L22571" s="472"/>
      <c r="M22571" s="472"/>
    </row>
    <row r="22572" spans="12:13" x14ac:dyDescent="0.25">
      <c r="L22572" s="472"/>
      <c r="M22572" s="472"/>
    </row>
    <row r="22573" spans="12:13" x14ac:dyDescent="0.25">
      <c r="L22573" s="472"/>
      <c r="M22573" s="472"/>
    </row>
    <row r="22645" spans="12:13" x14ac:dyDescent="0.25">
      <c r="L22645" s="472"/>
      <c r="M22645" s="472"/>
    </row>
    <row r="22646" spans="12:13" x14ac:dyDescent="0.25">
      <c r="L22646" s="472"/>
      <c r="M22646" s="472"/>
    </row>
    <row r="22647" spans="12:13" x14ac:dyDescent="0.25">
      <c r="L22647" s="472"/>
      <c r="M22647" s="472"/>
    </row>
    <row r="22719" spans="12:13" x14ac:dyDescent="0.25">
      <c r="L22719" s="472"/>
      <c r="M22719" s="472"/>
    </row>
    <row r="22720" spans="12:13" x14ac:dyDescent="0.25">
      <c r="L22720" s="472"/>
      <c r="M22720" s="472"/>
    </row>
    <row r="22721" spans="12:13" x14ac:dyDescent="0.25">
      <c r="L22721" s="472"/>
      <c r="M22721" s="472"/>
    </row>
    <row r="22793" spans="12:13" x14ac:dyDescent="0.25">
      <c r="L22793" s="472"/>
      <c r="M22793" s="472"/>
    </row>
    <row r="22794" spans="12:13" x14ac:dyDescent="0.25">
      <c r="L22794" s="472"/>
      <c r="M22794" s="472"/>
    </row>
    <row r="22795" spans="12:13" x14ac:dyDescent="0.25">
      <c r="L22795" s="472"/>
      <c r="M22795" s="472"/>
    </row>
    <row r="22867" spans="12:13" x14ac:dyDescent="0.25">
      <c r="L22867" s="472"/>
      <c r="M22867" s="472"/>
    </row>
    <row r="22868" spans="12:13" x14ac:dyDescent="0.25">
      <c r="L22868" s="472"/>
      <c r="M22868" s="472"/>
    </row>
    <row r="22869" spans="12:13" x14ac:dyDescent="0.25">
      <c r="L22869" s="472"/>
      <c r="M22869" s="472"/>
    </row>
    <row r="22941" spans="12:13" x14ac:dyDescent="0.25">
      <c r="L22941" s="472"/>
      <c r="M22941" s="472"/>
    </row>
    <row r="22942" spans="12:13" x14ac:dyDescent="0.25">
      <c r="L22942" s="472"/>
      <c r="M22942" s="472"/>
    </row>
    <row r="22943" spans="12:13" x14ac:dyDescent="0.25">
      <c r="L22943" s="472"/>
      <c r="M22943" s="472"/>
    </row>
    <row r="23015" spans="12:13" x14ac:dyDescent="0.25">
      <c r="L23015" s="472"/>
      <c r="M23015" s="472"/>
    </row>
    <row r="23016" spans="12:13" x14ac:dyDescent="0.25">
      <c r="L23016" s="472"/>
      <c r="M23016" s="472"/>
    </row>
    <row r="23017" spans="12:13" x14ac:dyDescent="0.25">
      <c r="L23017" s="472"/>
      <c r="M23017" s="472"/>
    </row>
    <row r="23089" spans="12:13" x14ac:dyDescent="0.25">
      <c r="L23089" s="472"/>
      <c r="M23089" s="472"/>
    </row>
    <row r="23090" spans="12:13" x14ac:dyDescent="0.25">
      <c r="L23090" s="472"/>
      <c r="M23090" s="472"/>
    </row>
    <row r="23091" spans="12:13" x14ac:dyDescent="0.25">
      <c r="L23091" s="472"/>
      <c r="M23091" s="472"/>
    </row>
    <row r="23163" spans="12:13" x14ac:dyDescent="0.25">
      <c r="L23163" s="472"/>
      <c r="M23163" s="472"/>
    </row>
    <row r="23164" spans="12:13" x14ac:dyDescent="0.25">
      <c r="L23164" s="472"/>
      <c r="M23164" s="472"/>
    </row>
    <row r="23165" spans="12:13" x14ac:dyDescent="0.25">
      <c r="L23165" s="472"/>
      <c r="M23165" s="472"/>
    </row>
    <row r="23237" spans="12:13" x14ac:dyDescent="0.25">
      <c r="L23237" s="472"/>
      <c r="M23237" s="472"/>
    </row>
    <row r="23238" spans="12:13" x14ac:dyDescent="0.25">
      <c r="L23238" s="472"/>
      <c r="M23238" s="472"/>
    </row>
    <row r="23239" spans="12:13" x14ac:dyDescent="0.25">
      <c r="L23239" s="472"/>
      <c r="M23239" s="472"/>
    </row>
    <row r="23311" spans="12:13" x14ac:dyDescent="0.25">
      <c r="L23311" s="472"/>
      <c r="M23311" s="472"/>
    </row>
    <row r="23312" spans="12:13" x14ac:dyDescent="0.25">
      <c r="L23312" s="472"/>
      <c r="M23312" s="472"/>
    </row>
    <row r="23313" spans="12:13" x14ac:dyDescent="0.25">
      <c r="L23313" s="472"/>
      <c r="M23313" s="472"/>
    </row>
    <row r="23385" spans="12:13" x14ac:dyDescent="0.25">
      <c r="L23385" s="472"/>
      <c r="M23385" s="472"/>
    </row>
    <row r="23386" spans="12:13" x14ac:dyDescent="0.25">
      <c r="L23386" s="472"/>
      <c r="M23386" s="472"/>
    </row>
    <row r="23387" spans="12:13" x14ac:dyDescent="0.25">
      <c r="L23387" s="472"/>
      <c r="M23387" s="472"/>
    </row>
    <row r="23459" spans="12:13" x14ac:dyDescent="0.25">
      <c r="L23459" s="472"/>
      <c r="M23459" s="472"/>
    </row>
    <row r="23460" spans="12:13" x14ac:dyDescent="0.25">
      <c r="L23460" s="472"/>
      <c r="M23460" s="472"/>
    </row>
    <row r="23461" spans="12:13" x14ac:dyDescent="0.25">
      <c r="L23461" s="472"/>
      <c r="M23461" s="472"/>
    </row>
    <row r="23533" spans="12:13" x14ac:dyDescent="0.25">
      <c r="L23533" s="472"/>
      <c r="M23533" s="472"/>
    </row>
    <row r="23534" spans="12:13" x14ac:dyDescent="0.25">
      <c r="L23534" s="472"/>
      <c r="M23534" s="472"/>
    </row>
    <row r="23535" spans="12:13" x14ac:dyDescent="0.25">
      <c r="L23535" s="472"/>
      <c r="M23535" s="472"/>
    </row>
    <row r="23607" spans="12:13" x14ac:dyDescent="0.25">
      <c r="L23607" s="472"/>
      <c r="M23607" s="472"/>
    </row>
    <row r="23608" spans="12:13" x14ac:dyDescent="0.25">
      <c r="L23608" s="472"/>
      <c r="M23608" s="472"/>
    </row>
    <row r="23609" spans="12:13" x14ac:dyDescent="0.25">
      <c r="L23609" s="472"/>
      <c r="M23609" s="472"/>
    </row>
    <row r="23681" spans="12:13" x14ac:dyDescent="0.25">
      <c r="L23681" s="472"/>
      <c r="M23681" s="472"/>
    </row>
    <row r="23682" spans="12:13" x14ac:dyDescent="0.25">
      <c r="L23682" s="472"/>
      <c r="M23682" s="472"/>
    </row>
    <row r="23683" spans="12:13" x14ac:dyDescent="0.25">
      <c r="L23683" s="472"/>
      <c r="M23683" s="472"/>
    </row>
    <row r="23755" spans="12:13" x14ac:dyDescent="0.25">
      <c r="L23755" s="472"/>
      <c r="M23755" s="472"/>
    </row>
    <row r="23756" spans="12:13" x14ac:dyDescent="0.25">
      <c r="L23756" s="472"/>
      <c r="M23756" s="472"/>
    </row>
    <row r="23757" spans="12:13" x14ac:dyDescent="0.25">
      <c r="L23757" s="472"/>
      <c r="M23757" s="472"/>
    </row>
    <row r="23829" spans="12:13" x14ac:dyDescent="0.25">
      <c r="L23829" s="472"/>
      <c r="M23829" s="472"/>
    </row>
    <row r="23830" spans="12:13" x14ac:dyDescent="0.25">
      <c r="L23830" s="472"/>
      <c r="M23830" s="472"/>
    </row>
    <row r="23831" spans="12:13" x14ac:dyDescent="0.25">
      <c r="L23831" s="472"/>
      <c r="M23831" s="472"/>
    </row>
    <row r="23903" spans="12:13" x14ac:dyDescent="0.25">
      <c r="L23903" s="472"/>
      <c r="M23903" s="472"/>
    </row>
    <row r="23904" spans="12:13" x14ac:dyDescent="0.25">
      <c r="L23904" s="472"/>
      <c r="M23904" s="472"/>
    </row>
    <row r="23905" spans="12:13" x14ac:dyDescent="0.25">
      <c r="L23905" s="472"/>
      <c r="M23905" s="472"/>
    </row>
    <row r="23977" spans="12:13" x14ac:dyDescent="0.25">
      <c r="L23977" s="472"/>
      <c r="M23977" s="472"/>
    </row>
    <row r="23978" spans="12:13" x14ac:dyDescent="0.25">
      <c r="L23978" s="472"/>
      <c r="M23978" s="472"/>
    </row>
    <row r="23979" spans="12:13" x14ac:dyDescent="0.25">
      <c r="L23979" s="472"/>
      <c r="M23979" s="472"/>
    </row>
    <row r="24051" spans="12:13" x14ac:dyDescent="0.25">
      <c r="L24051" s="472"/>
      <c r="M24051" s="472"/>
    </row>
    <row r="24052" spans="12:13" x14ac:dyDescent="0.25">
      <c r="L24052" s="472"/>
      <c r="M24052" s="472"/>
    </row>
    <row r="24053" spans="12:13" x14ac:dyDescent="0.25">
      <c r="L24053" s="472"/>
      <c r="M24053" s="472"/>
    </row>
    <row r="24125" spans="12:13" x14ac:dyDescent="0.25">
      <c r="L24125" s="472"/>
      <c r="M24125" s="472"/>
    </row>
    <row r="24126" spans="12:13" x14ac:dyDescent="0.25">
      <c r="L24126" s="472"/>
      <c r="M24126" s="472"/>
    </row>
    <row r="24127" spans="12:13" x14ac:dyDescent="0.25">
      <c r="L24127" s="472"/>
      <c r="M24127" s="472"/>
    </row>
    <row r="24199" spans="12:13" x14ac:dyDescent="0.25">
      <c r="L24199" s="472"/>
      <c r="M24199" s="472"/>
    </row>
    <row r="24200" spans="12:13" x14ac:dyDescent="0.25">
      <c r="L24200" s="472"/>
      <c r="M24200" s="472"/>
    </row>
    <row r="24201" spans="12:13" x14ac:dyDescent="0.25">
      <c r="L24201" s="472"/>
      <c r="M24201" s="472"/>
    </row>
    <row r="24273" spans="12:13" x14ac:dyDescent="0.25">
      <c r="L24273" s="472"/>
      <c r="M24273" s="472"/>
    </row>
    <row r="24274" spans="12:13" x14ac:dyDescent="0.25">
      <c r="L24274" s="472"/>
      <c r="M24274" s="472"/>
    </row>
    <row r="24275" spans="12:13" x14ac:dyDescent="0.25">
      <c r="L24275" s="472"/>
      <c r="M24275" s="472"/>
    </row>
    <row r="24347" spans="12:13" x14ac:dyDescent="0.25">
      <c r="L24347" s="472"/>
      <c r="M24347" s="472"/>
    </row>
    <row r="24348" spans="12:13" x14ac:dyDescent="0.25">
      <c r="L24348" s="472"/>
      <c r="M24348" s="472"/>
    </row>
    <row r="24349" spans="12:13" x14ac:dyDescent="0.25">
      <c r="L24349" s="472"/>
      <c r="M24349" s="472"/>
    </row>
    <row r="24421" spans="12:13" x14ac:dyDescent="0.25">
      <c r="L24421" s="472"/>
      <c r="M24421" s="472"/>
    </row>
    <row r="24422" spans="12:13" x14ac:dyDescent="0.25">
      <c r="L24422" s="472"/>
      <c r="M24422" s="472"/>
    </row>
    <row r="24423" spans="12:13" x14ac:dyDescent="0.25">
      <c r="L24423" s="472"/>
      <c r="M24423" s="472"/>
    </row>
    <row r="24495" spans="12:13" x14ac:dyDescent="0.25">
      <c r="L24495" s="472"/>
      <c r="M24495" s="472"/>
    </row>
    <row r="24496" spans="12:13" x14ac:dyDescent="0.25">
      <c r="L24496" s="472"/>
      <c r="M24496" s="472"/>
    </row>
    <row r="24497" spans="12:13" x14ac:dyDescent="0.25">
      <c r="L24497" s="472"/>
      <c r="M24497" s="472"/>
    </row>
    <row r="24569" spans="12:13" x14ac:dyDescent="0.25">
      <c r="L24569" s="472"/>
      <c r="M24569" s="472"/>
    </row>
    <row r="24570" spans="12:13" x14ac:dyDescent="0.25">
      <c r="L24570" s="472"/>
      <c r="M24570" s="472"/>
    </row>
    <row r="24571" spans="12:13" x14ac:dyDescent="0.25">
      <c r="L24571" s="472"/>
      <c r="M24571" s="472"/>
    </row>
    <row r="24643" spans="12:13" x14ac:dyDescent="0.25">
      <c r="L24643" s="472"/>
      <c r="M24643" s="472"/>
    </row>
    <row r="24644" spans="12:13" x14ac:dyDescent="0.25">
      <c r="L24644" s="472"/>
      <c r="M24644" s="472"/>
    </row>
    <row r="24645" spans="12:13" x14ac:dyDescent="0.25">
      <c r="L24645" s="472"/>
      <c r="M24645" s="472"/>
    </row>
    <row r="24717" spans="12:13" x14ac:dyDescent="0.25">
      <c r="L24717" s="472"/>
      <c r="M24717" s="472"/>
    </row>
    <row r="24718" spans="12:13" x14ac:dyDescent="0.25">
      <c r="L24718" s="472"/>
      <c r="M24718" s="472"/>
    </row>
    <row r="24719" spans="12:13" x14ac:dyDescent="0.25">
      <c r="L24719" s="472"/>
      <c r="M24719" s="472"/>
    </row>
    <row r="24791" spans="12:13" x14ac:dyDescent="0.25">
      <c r="L24791" s="472"/>
      <c r="M24791" s="472"/>
    </row>
    <row r="24792" spans="12:13" x14ac:dyDescent="0.25">
      <c r="L24792" s="472"/>
      <c r="M24792" s="472"/>
    </row>
    <row r="24793" spans="12:13" x14ac:dyDescent="0.25">
      <c r="L24793" s="472"/>
      <c r="M24793" s="472"/>
    </row>
    <row r="24865" spans="12:13" x14ac:dyDescent="0.25">
      <c r="L24865" s="472"/>
      <c r="M24865" s="472"/>
    </row>
    <row r="24866" spans="12:13" x14ac:dyDescent="0.25">
      <c r="L24866" s="472"/>
      <c r="M24866" s="472"/>
    </row>
    <row r="24867" spans="12:13" x14ac:dyDescent="0.25">
      <c r="L24867" s="472"/>
      <c r="M24867" s="472"/>
    </row>
    <row r="24939" spans="12:13" x14ac:dyDescent="0.25">
      <c r="L24939" s="472"/>
      <c r="M24939" s="472"/>
    </row>
    <row r="24940" spans="12:13" x14ac:dyDescent="0.25">
      <c r="L24940" s="472"/>
      <c r="M24940" s="472"/>
    </row>
    <row r="24941" spans="12:13" x14ac:dyDescent="0.25">
      <c r="L24941" s="472"/>
      <c r="M24941" s="472"/>
    </row>
    <row r="25013" spans="12:13" x14ac:dyDescent="0.25">
      <c r="L25013" s="472"/>
      <c r="M25013" s="472"/>
    </row>
    <row r="25014" spans="12:13" x14ac:dyDescent="0.25">
      <c r="L25014" s="472"/>
      <c r="M25014" s="472"/>
    </row>
    <row r="25015" spans="12:13" x14ac:dyDescent="0.25">
      <c r="L25015" s="472"/>
      <c r="M25015" s="472"/>
    </row>
    <row r="25087" spans="12:13" x14ac:dyDescent="0.25">
      <c r="L25087" s="472"/>
      <c r="M25087" s="472"/>
    </row>
    <row r="25088" spans="12:13" x14ac:dyDescent="0.25">
      <c r="L25088" s="472"/>
      <c r="M25088" s="472"/>
    </row>
    <row r="25089" spans="12:13" x14ac:dyDescent="0.25">
      <c r="L25089" s="472"/>
      <c r="M25089" s="472"/>
    </row>
    <row r="25161" spans="12:13" x14ac:dyDescent="0.25">
      <c r="L25161" s="472"/>
      <c r="M25161" s="472"/>
    </row>
    <row r="25162" spans="12:13" x14ac:dyDescent="0.25">
      <c r="L25162" s="472"/>
      <c r="M25162" s="472"/>
    </row>
    <row r="25163" spans="12:13" x14ac:dyDescent="0.25">
      <c r="L25163" s="472"/>
      <c r="M25163" s="472"/>
    </row>
    <row r="25235" spans="12:13" x14ac:dyDescent="0.25">
      <c r="L25235" s="472"/>
      <c r="M25235" s="472"/>
    </row>
    <row r="25236" spans="12:13" x14ac:dyDescent="0.25">
      <c r="L25236" s="472"/>
      <c r="M25236" s="472"/>
    </row>
    <row r="25237" spans="12:13" x14ac:dyDescent="0.25">
      <c r="L25237" s="472"/>
      <c r="M25237" s="472"/>
    </row>
    <row r="25309" spans="12:13" x14ac:dyDescent="0.25">
      <c r="L25309" s="472"/>
      <c r="M25309" s="472"/>
    </row>
    <row r="25310" spans="12:13" x14ac:dyDescent="0.25">
      <c r="L25310" s="472"/>
      <c r="M25310" s="472"/>
    </row>
    <row r="25311" spans="12:13" x14ac:dyDescent="0.25">
      <c r="L25311" s="472"/>
      <c r="M25311" s="472"/>
    </row>
    <row r="25383" spans="12:13" x14ac:dyDescent="0.25">
      <c r="L25383" s="472"/>
      <c r="M25383" s="472"/>
    </row>
    <row r="25384" spans="12:13" x14ac:dyDescent="0.25">
      <c r="L25384" s="472"/>
      <c r="M25384" s="472"/>
    </row>
    <row r="25385" spans="12:13" x14ac:dyDescent="0.25">
      <c r="L25385" s="472"/>
      <c r="M25385" s="472"/>
    </row>
    <row r="25457" spans="12:13" x14ac:dyDescent="0.25">
      <c r="L25457" s="472"/>
      <c r="M25457" s="472"/>
    </row>
    <row r="25458" spans="12:13" x14ac:dyDescent="0.25">
      <c r="L25458" s="472"/>
      <c r="M25458" s="472"/>
    </row>
    <row r="25459" spans="12:13" x14ac:dyDescent="0.25">
      <c r="L25459" s="472"/>
      <c r="M25459" s="472"/>
    </row>
    <row r="25531" spans="12:13" x14ac:dyDescent="0.25">
      <c r="L25531" s="472"/>
      <c r="M25531" s="472"/>
    </row>
    <row r="25532" spans="12:13" x14ac:dyDescent="0.25">
      <c r="L25532" s="472"/>
      <c r="M25532" s="472"/>
    </row>
    <row r="25533" spans="12:13" x14ac:dyDescent="0.25">
      <c r="L25533" s="472"/>
      <c r="M25533" s="472"/>
    </row>
    <row r="25605" spans="12:13" x14ac:dyDescent="0.25">
      <c r="L25605" s="472"/>
      <c r="M25605" s="472"/>
    </row>
    <row r="25606" spans="12:13" x14ac:dyDescent="0.25">
      <c r="L25606" s="472"/>
      <c r="M25606" s="472"/>
    </row>
    <row r="25607" spans="12:13" x14ac:dyDescent="0.25">
      <c r="L25607" s="472"/>
      <c r="M25607" s="472"/>
    </row>
    <row r="25679" spans="12:13" x14ac:dyDescent="0.25">
      <c r="L25679" s="472"/>
      <c r="M25679" s="472"/>
    </row>
    <row r="25680" spans="12:13" x14ac:dyDescent="0.25">
      <c r="L25680" s="472"/>
      <c r="M25680" s="472"/>
    </row>
    <row r="25681" spans="12:13" x14ac:dyDescent="0.25">
      <c r="L25681" s="472"/>
      <c r="M25681" s="472"/>
    </row>
    <row r="25753" spans="12:13" x14ac:dyDescent="0.25">
      <c r="L25753" s="472"/>
      <c r="M25753" s="472"/>
    </row>
    <row r="25754" spans="12:13" x14ac:dyDescent="0.25">
      <c r="L25754" s="472"/>
      <c r="M25754" s="472"/>
    </row>
    <row r="25755" spans="12:13" x14ac:dyDescent="0.25">
      <c r="L25755" s="472"/>
      <c r="M25755" s="472"/>
    </row>
    <row r="25827" spans="12:13" x14ac:dyDescent="0.25">
      <c r="L25827" s="472"/>
      <c r="M25827" s="472"/>
    </row>
    <row r="25828" spans="12:13" x14ac:dyDescent="0.25">
      <c r="L25828" s="472"/>
      <c r="M25828" s="472"/>
    </row>
    <row r="25829" spans="12:13" x14ac:dyDescent="0.25">
      <c r="L25829" s="472"/>
      <c r="M25829" s="472"/>
    </row>
    <row r="25901" spans="12:13" x14ac:dyDescent="0.25">
      <c r="L25901" s="472"/>
      <c r="M25901" s="472"/>
    </row>
    <row r="25902" spans="12:13" x14ac:dyDescent="0.25">
      <c r="L25902" s="472"/>
      <c r="M25902" s="472"/>
    </row>
    <row r="25903" spans="12:13" x14ac:dyDescent="0.25">
      <c r="L25903" s="472"/>
      <c r="M25903" s="472"/>
    </row>
    <row r="25975" spans="12:13" x14ac:dyDescent="0.25">
      <c r="L25975" s="472"/>
      <c r="M25975" s="472"/>
    </row>
    <row r="25976" spans="12:13" x14ac:dyDescent="0.25">
      <c r="L25976" s="472"/>
      <c r="M25976" s="472"/>
    </row>
    <row r="25977" spans="12:13" x14ac:dyDescent="0.25">
      <c r="L25977" s="472"/>
      <c r="M25977" s="472"/>
    </row>
    <row r="26049" spans="12:13" x14ac:dyDescent="0.25">
      <c r="L26049" s="472"/>
      <c r="M26049" s="472"/>
    </row>
    <row r="26050" spans="12:13" x14ac:dyDescent="0.25">
      <c r="L26050" s="472"/>
      <c r="M26050" s="472"/>
    </row>
    <row r="26051" spans="12:13" x14ac:dyDescent="0.25">
      <c r="L26051" s="472"/>
      <c r="M26051" s="472"/>
    </row>
    <row r="26123" spans="12:13" x14ac:dyDescent="0.25">
      <c r="L26123" s="472"/>
      <c r="M26123" s="472"/>
    </row>
    <row r="26124" spans="12:13" x14ac:dyDescent="0.25">
      <c r="L26124" s="472"/>
      <c r="M26124" s="472"/>
    </row>
    <row r="26125" spans="12:13" x14ac:dyDescent="0.25">
      <c r="L26125" s="472"/>
      <c r="M26125" s="472"/>
    </row>
    <row r="26197" spans="12:13" x14ac:dyDescent="0.25">
      <c r="L26197" s="472"/>
      <c r="M26197" s="472"/>
    </row>
    <row r="26198" spans="12:13" x14ac:dyDescent="0.25">
      <c r="L26198" s="472"/>
      <c r="M26198" s="472"/>
    </row>
    <row r="26199" spans="12:13" x14ac:dyDescent="0.25">
      <c r="L26199" s="472"/>
      <c r="M26199" s="472"/>
    </row>
    <row r="26271" spans="12:13" x14ac:dyDescent="0.25">
      <c r="L26271" s="472"/>
      <c r="M26271" s="472"/>
    </row>
    <row r="26272" spans="12:13" x14ac:dyDescent="0.25">
      <c r="L26272" s="472"/>
      <c r="M26272" s="472"/>
    </row>
    <row r="26273" spans="12:13" x14ac:dyDescent="0.25">
      <c r="L26273" s="472"/>
      <c r="M26273" s="472"/>
    </row>
    <row r="26345" spans="12:13" x14ac:dyDescent="0.25">
      <c r="L26345" s="472"/>
      <c r="M26345" s="472"/>
    </row>
    <row r="26346" spans="12:13" x14ac:dyDescent="0.25">
      <c r="L26346" s="472"/>
      <c r="M26346" s="472"/>
    </row>
    <row r="26347" spans="12:13" x14ac:dyDescent="0.25">
      <c r="L26347" s="472"/>
      <c r="M26347" s="472"/>
    </row>
    <row r="26419" spans="12:13" x14ac:dyDescent="0.25">
      <c r="L26419" s="472"/>
      <c r="M26419" s="472"/>
    </row>
    <row r="26420" spans="12:13" x14ac:dyDescent="0.25">
      <c r="L26420" s="472"/>
      <c r="M26420" s="472"/>
    </row>
    <row r="26421" spans="12:13" x14ac:dyDescent="0.25">
      <c r="L26421" s="472"/>
      <c r="M26421" s="472"/>
    </row>
    <row r="26493" spans="12:13" x14ac:dyDescent="0.25">
      <c r="L26493" s="472"/>
      <c r="M26493" s="472"/>
    </row>
    <row r="26494" spans="12:13" x14ac:dyDescent="0.25">
      <c r="L26494" s="472"/>
      <c r="M26494" s="472"/>
    </row>
    <row r="26495" spans="12:13" x14ac:dyDescent="0.25">
      <c r="L26495" s="472"/>
      <c r="M26495" s="472"/>
    </row>
    <row r="26567" spans="12:13" x14ac:dyDescent="0.25">
      <c r="L26567" s="472"/>
      <c r="M26567" s="472"/>
    </row>
    <row r="26568" spans="12:13" x14ac:dyDescent="0.25">
      <c r="L26568" s="472"/>
      <c r="M26568" s="472"/>
    </row>
    <row r="26569" spans="12:13" x14ac:dyDescent="0.25">
      <c r="L26569" s="472"/>
      <c r="M26569" s="472"/>
    </row>
    <row r="26641" spans="12:13" x14ac:dyDescent="0.25">
      <c r="L26641" s="472"/>
      <c r="M26641" s="472"/>
    </row>
    <row r="26642" spans="12:13" x14ac:dyDescent="0.25">
      <c r="L26642" s="472"/>
      <c r="M26642" s="472"/>
    </row>
    <row r="26643" spans="12:13" x14ac:dyDescent="0.25">
      <c r="L26643" s="472"/>
      <c r="M26643" s="472"/>
    </row>
    <row r="26715" spans="12:13" x14ac:dyDescent="0.25">
      <c r="L26715" s="472"/>
      <c r="M26715" s="472"/>
    </row>
    <row r="26716" spans="12:13" x14ac:dyDescent="0.25">
      <c r="L26716" s="472"/>
      <c r="M26716" s="472"/>
    </row>
    <row r="26717" spans="12:13" x14ac:dyDescent="0.25">
      <c r="L26717" s="472"/>
      <c r="M26717" s="472"/>
    </row>
    <row r="26789" spans="12:13" x14ac:dyDescent="0.25">
      <c r="L26789" s="472"/>
      <c r="M26789" s="472"/>
    </row>
    <row r="26790" spans="12:13" x14ac:dyDescent="0.25">
      <c r="L26790" s="472"/>
      <c r="M26790" s="472"/>
    </row>
    <row r="26791" spans="12:13" x14ac:dyDescent="0.25">
      <c r="L26791" s="472"/>
      <c r="M26791" s="472"/>
    </row>
    <row r="26863" spans="12:13" x14ac:dyDescent="0.25">
      <c r="L26863" s="472"/>
      <c r="M26863" s="472"/>
    </row>
    <row r="26864" spans="12:13" x14ac:dyDescent="0.25">
      <c r="L26864" s="472"/>
      <c r="M26864" s="472"/>
    </row>
    <row r="26865" spans="12:13" x14ac:dyDescent="0.25">
      <c r="L26865" s="472"/>
      <c r="M26865" s="472"/>
    </row>
    <row r="26937" spans="12:13" x14ac:dyDescent="0.25">
      <c r="L26937" s="472"/>
      <c r="M26937" s="472"/>
    </row>
    <row r="26938" spans="12:13" x14ac:dyDescent="0.25">
      <c r="L26938" s="472"/>
      <c r="M26938" s="472"/>
    </row>
    <row r="26939" spans="12:13" x14ac:dyDescent="0.25">
      <c r="L26939" s="472"/>
      <c r="M26939" s="472"/>
    </row>
    <row r="27011" spans="12:13" x14ac:dyDescent="0.25">
      <c r="L27011" s="472"/>
      <c r="M27011" s="472"/>
    </row>
    <row r="27012" spans="12:13" x14ac:dyDescent="0.25">
      <c r="L27012" s="472"/>
      <c r="M27012" s="472"/>
    </row>
    <row r="27013" spans="12:13" x14ac:dyDescent="0.25">
      <c r="L27013" s="472"/>
      <c r="M27013" s="472"/>
    </row>
    <row r="27085" spans="12:13" x14ac:dyDescent="0.25">
      <c r="L27085" s="472"/>
      <c r="M27085" s="472"/>
    </row>
    <row r="27086" spans="12:13" x14ac:dyDescent="0.25">
      <c r="L27086" s="472"/>
      <c r="M27086" s="472"/>
    </row>
    <row r="27087" spans="12:13" x14ac:dyDescent="0.25">
      <c r="L27087" s="472"/>
      <c r="M27087" s="472"/>
    </row>
    <row r="27159" spans="12:13" x14ac:dyDescent="0.25">
      <c r="L27159" s="472"/>
      <c r="M27159" s="472"/>
    </row>
    <row r="27160" spans="12:13" x14ac:dyDescent="0.25">
      <c r="L27160" s="472"/>
      <c r="M27160" s="472"/>
    </row>
    <row r="27161" spans="12:13" x14ac:dyDescent="0.25">
      <c r="L27161" s="472"/>
      <c r="M27161" s="472"/>
    </row>
    <row r="27233" spans="12:13" x14ac:dyDescent="0.25">
      <c r="L27233" s="472"/>
      <c r="M27233" s="472"/>
    </row>
    <row r="27234" spans="12:13" x14ac:dyDescent="0.25">
      <c r="L27234" s="472"/>
      <c r="M27234" s="472"/>
    </row>
    <row r="27235" spans="12:13" x14ac:dyDescent="0.25">
      <c r="L27235" s="472"/>
      <c r="M27235" s="472"/>
    </row>
    <row r="27307" spans="12:13" x14ac:dyDescent="0.25">
      <c r="L27307" s="472"/>
      <c r="M27307" s="472"/>
    </row>
    <row r="27308" spans="12:13" x14ac:dyDescent="0.25">
      <c r="L27308" s="472"/>
      <c r="M27308" s="472"/>
    </row>
    <row r="27309" spans="12:13" x14ac:dyDescent="0.25">
      <c r="L27309" s="472"/>
      <c r="M27309" s="472"/>
    </row>
    <row r="27381" spans="12:13" x14ac:dyDescent="0.25">
      <c r="L27381" s="472"/>
      <c r="M27381" s="472"/>
    </row>
    <row r="27382" spans="12:13" x14ac:dyDescent="0.25">
      <c r="L27382" s="472"/>
      <c r="M27382" s="472"/>
    </row>
    <row r="27383" spans="12:13" x14ac:dyDescent="0.25">
      <c r="L27383" s="472"/>
      <c r="M27383" s="472"/>
    </row>
    <row r="27455" spans="12:13" x14ac:dyDescent="0.25">
      <c r="L27455" s="472"/>
      <c r="M27455" s="472"/>
    </row>
    <row r="27456" spans="12:13" x14ac:dyDescent="0.25">
      <c r="L27456" s="472"/>
      <c r="M27456" s="472"/>
    </row>
    <row r="27457" spans="12:13" x14ac:dyDescent="0.25">
      <c r="L27457" s="472"/>
      <c r="M27457" s="472"/>
    </row>
    <row r="27529" spans="12:13" x14ac:dyDescent="0.25">
      <c r="L27529" s="472"/>
      <c r="M27529" s="472"/>
    </row>
    <row r="27530" spans="12:13" x14ac:dyDescent="0.25">
      <c r="L27530" s="472"/>
      <c r="M27530" s="472"/>
    </row>
    <row r="27531" spans="12:13" x14ac:dyDescent="0.25">
      <c r="L27531" s="472"/>
      <c r="M27531" s="472"/>
    </row>
    <row r="27603" spans="12:13" x14ac:dyDescent="0.25">
      <c r="L27603" s="472"/>
      <c r="M27603" s="472"/>
    </row>
    <row r="27604" spans="12:13" x14ac:dyDescent="0.25">
      <c r="L27604" s="472"/>
      <c r="M27604" s="472"/>
    </row>
    <row r="27605" spans="12:13" x14ac:dyDescent="0.25">
      <c r="L27605" s="472"/>
      <c r="M27605" s="472"/>
    </row>
    <row r="27677" spans="12:13" x14ac:dyDescent="0.25">
      <c r="L27677" s="472"/>
      <c r="M27677" s="472"/>
    </row>
    <row r="27678" spans="12:13" x14ac:dyDescent="0.25">
      <c r="L27678" s="472"/>
      <c r="M27678" s="472"/>
    </row>
    <row r="27679" spans="12:13" x14ac:dyDescent="0.25">
      <c r="L27679" s="472"/>
      <c r="M27679" s="472"/>
    </row>
    <row r="27751" spans="12:13" x14ac:dyDescent="0.25">
      <c r="L27751" s="472"/>
      <c r="M27751" s="472"/>
    </row>
    <row r="27752" spans="12:13" x14ac:dyDescent="0.25">
      <c r="L27752" s="472"/>
      <c r="M27752" s="472"/>
    </row>
    <row r="27753" spans="12:13" x14ac:dyDescent="0.25">
      <c r="L27753" s="472"/>
      <c r="M27753" s="472"/>
    </row>
    <row r="27825" spans="12:13" x14ac:dyDescent="0.25">
      <c r="L27825" s="472"/>
      <c r="M27825" s="472"/>
    </row>
    <row r="27826" spans="12:13" x14ac:dyDescent="0.25">
      <c r="L27826" s="472"/>
      <c r="M27826" s="472"/>
    </row>
    <row r="27827" spans="12:13" x14ac:dyDescent="0.25">
      <c r="L27827" s="472"/>
      <c r="M27827" s="472"/>
    </row>
    <row r="27899" spans="12:13" x14ac:dyDescent="0.25">
      <c r="L27899" s="472"/>
      <c r="M27899" s="472"/>
    </row>
    <row r="27900" spans="12:13" x14ac:dyDescent="0.25">
      <c r="L27900" s="472"/>
      <c r="M27900" s="472"/>
    </row>
    <row r="27901" spans="12:13" x14ac:dyDescent="0.25">
      <c r="L27901" s="472"/>
      <c r="M27901" s="472"/>
    </row>
    <row r="27973" spans="12:13" x14ac:dyDescent="0.25">
      <c r="L27973" s="472"/>
      <c r="M27973" s="472"/>
    </row>
    <row r="27974" spans="12:13" x14ac:dyDescent="0.25">
      <c r="L27974" s="472"/>
      <c r="M27974" s="472"/>
    </row>
    <row r="27975" spans="12:13" x14ac:dyDescent="0.25">
      <c r="L27975" s="472"/>
      <c r="M27975" s="472"/>
    </row>
    <row r="28047" spans="12:13" x14ac:dyDescent="0.25">
      <c r="L28047" s="472"/>
      <c r="M28047" s="472"/>
    </row>
    <row r="28048" spans="12:13" x14ac:dyDescent="0.25">
      <c r="L28048" s="472"/>
      <c r="M28048" s="472"/>
    </row>
    <row r="28049" spans="12:13" x14ac:dyDescent="0.25">
      <c r="L28049" s="472"/>
      <c r="M28049" s="472"/>
    </row>
    <row r="28121" spans="12:13" x14ac:dyDescent="0.25">
      <c r="L28121" s="472"/>
      <c r="M28121" s="472"/>
    </row>
    <row r="28122" spans="12:13" x14ac:dyDescent="0.25">
      <c r="L28122" s="472"/>
      <c r="M28122" s="472"/>
    </row>
    <row r="28123" spans="12:13" x14ac:dyDescent="0.25">
      <c r="L28123" s="472"/>
      <c r="M28123" s="472"/>
    </row>
    <row r="28195" spans="12:13" x14ac:dyDescent="0.25">
      <c r="L28195" s="472"/>
      <c r="M28195" s="472"/>
    </row>
    <row r="28196" spans="12:13" x14ac:dyDescent="0.25">
      <c r="L28196" s="472"/>
      <c r="M28196" s="472"/>
    </row>
    <row r="28197" spans="12:13" x14ac:dyDescent="0.25">
      <c r="L28197" s="472"/>
      <c r="M28197" s="472"/>
    </row>
    <row r="28269" spans="12:13" x14ac:dyDescent="0.25">
      <c r="L28269" s="472"/>
      <c r="M28269" s="472"/>
    </row>
    <row r="28270" spans="12:13" x14ac:dyDescent="0.25">
      <c r="L28270" s="472"/>
      <c r="M28270" s="472"/>
    </row>
    <row r="28271" spans="12:13" x14ac:dyDescent="0.25">
      <c r="L28271" s="472"/>
      <c r="M28271" s="472"/>
    </row>
    <row r="28343" spans="12:13" x14ac:dyDescent="0.25">
      <c r="L28343" s="472"/>
      <c r="M28343" s="472"/>
    </row>
    <row r="28344" spans="12:13" x14ac:dyDescent="0.25">
      <c r="L28344" s="472"/>
      <c r="M28344" s="472"/>
    </row>
    <row r="28345" spans="12:13" x14ac:dyDescent="0.25">
      <c r="L28345" s="472"/>
      <c r="M28345" s="472"/>
    </row>
    <row r="28417" spans="12:13" x14ac:dyDescent="0.25">
      <c r="L28417" s="472"/>
      <c r="M28417" s="472"/>
    </row>
    <row r="28418" spans="12:13" x14ac:dyDescent="0.25">
      <c r="L28418" s="472"/>
      <c r="M28418" s="472"/>
    </row>
    <row r="28419" spans="12:13" x14ac:dyDescent="0.25">
      <c r="L28419" s="472"/>
      <c r="M28419" s="472"/>
    </row>
    <row r="28491" spans="12:13" x14ac:dyDescent="0.25">
      <c r="L28491" s="472"/>
      <c r="M28491" s="472"/>
    </row>
    <row r="28492" spans="12:13" x14ac:dyDescent="0.25">
      <c r="L28492" s="472"/>
      <c r="M28492" s="472"/>
    </row>
    <row r="28493" spans="12:13" x14ac:dyDescent="0.25">
      <c r="L28493" s="472"/>
      <c r="M28493" s="472"/>
    </row>
    <row r="28565" spans="12:13" x14ac:dyDescent="0.25">
      <c r="L28565" s="472"/>
      <c r="M28565" s="472"/>
    </row>
    <row r="28566" spans="12:13" x14ac:dyDescent="0.25">
      <c r="L28566" s="472"/>
      <c r="M28566" s="472"/>
    </row>
    <row r="28567" spans="12:13" x14ac:dyDescent="0.25">
      <c r="L28567" s="472"/>
      <c r="M28567" s="472"/>
    </row>
    <row r="28639" spans="12:13" x14ac:dyDescent="0.25">
      <c r="L28639" s="472"/>
      <c r="M28639" s="472"/>
    </row>
    <row r="28640" spans="12:13" x14ac:dyDescent="0.25">
      <c r="L28640" s="472"/>
      <c r="M28640" s="472"/>
    </row>
    <row r="28641" spans="12:13" x14ac:dyDescent="0.25">
      <c r="L28641" s="472"/>
      <c r="M28641" s="472"/>
    </row>
    <row r="28713" spans="12:13" x14ac:dyDescent="0.25">
      <c r="L28713" s="472"/>
      <c r="M28713" s="472"/>
    </row>
    <row r="28714" spans="12:13" x14ac:dyDescent="0.25">
      <c r="L28714" s="472"/>
      <c r="M28714" s="472"/>
    </row>
    <row r="28715" spans="12:13" x14ac:dyDescent="0.25">
      <c r="L28715" s="472"/>
      <c r="M28715" s="472"/>
    </row>
    <row r="28787" spans="12:13" x14ac:dyDescent="0.25">
      <c r="L28787" s="472"/>
      <c r="M28787" s="472"/>
    </row>
    <row r="28788" spans="12:13" x14ac:dyDescent="0.25">
      <c r="L28788" s="472"/>
      <c r="M28788" s="472"/>
    </row>
    <row r="28789" spans="12:13" x14ac:dyDescent="0.25">
      <c r="L28789" s="472"/>
      <c r="M28789" s="472"/>
    </row>
    <row r="28861" spans="12:13" x14ac:dyDescent="0.25">
      <c r="L28861" s="472"/>
      <c r="M28861" s="472"/>
    </row>
    <row r="28862" spans="12:13" x14ac:dyDescent="0.25">
      <c r="L28862" s="472"/>
      <c r="M28862" s="472"/>
    </row>
    <row r="28863" spans="12:13" x14ac:dyDescent="0.25">
      <c r="L28863" s="472"/>
      <c r="M28863" s="472"/>
    </row>
    <row r="28935" spans="12:13" x14ac:dyDescent="0.25">
      <c r="L28935" s="472"/>
      <c r="M28935" s="472"/>
    </row>
    <row r="28936" spans="12:13" x14ac:dyDescent="0.25">
      <c r="L28936" s="472"/>
      <c r="M28936" s="472"/>
    </row>
    <row r="28937" spans="12:13" x14ac:dyDescent="0.25">
      <c r="L28937" s="472"/>
      <c r="M28937" s="472"/>
    </row>
    <row r="29009" spans="12:13" x14ac:dyDescent="0.25">
      <c r="L29009" s="472"/>
      <c r="M29009" s="472"/>
    </row>
    <row r="29010" spans="12:13" x14ac:dyDescent="0.25">
      <c r="L29010" s="472"/>
      <c r="M29010" s="472"/>
    </row>
    <row r="29011" spans="12:13" x14ac:dyDescent="0.25">
      <c r="L29011" s="472"/>
      <c r="M29011" s="472"/>
    </row>
    <row r="29083" spans="12:13" x14ac:dyDescent="0.25">
      <c r="L29083" s="472"/>
      <c r="M29083" s="472"/>
    </row>
    <row r="29084" spans="12:13" x14ac:dyDescent="0.25">
      <c r="L29084" s="472"/>
      <c r="M29084" s="472"/>
    </row>
    <row r="29085" spans="12:13" x14ac:dyDescent="0.25">
      <c r="L29085" s="472"/>
      <c r="M29085" s="472"/>
    </row>
    <row r="29157" spans="12:13" x14ac:dyDescent="0.25">
      <c r="L29157" s="472"/>
      <c r="M29157" s="472"/>
    </row>
    <row r="29158" spans="12:13" x14ac:dyDescent="0.25">
      <c r="L29158" s="472"/>
      <c r="M29158" s="472"/>
    </row>
    <row r="29159" spans="12:13" x14ac:dyDescent="0.25">
      <c r="L29159" s="472"/>
      <c r="M29159" s="472"/>
    </row>
    <row r="29231" spans="12:13" x14ac:dyDescent="0.25">
      <c r="L29231" s="472"/>
      <c r="M29231" s="472"/>
    </row>
    <row r="29232" spans="12:13" x14ac:dyDescent="0.25">
      <c r="L29232" s="472"/>
      <c r="M29232" s="472"/>
    </row>
    <row r="29233" spans="12:13" x14ac:dyDescent="0.25">
      <c r="L29233" s="472"/>
      <c r="M29233" s="472"/>
    </row>
    <row r="29305" spans="12:13" x14ac:dyDescent="0.25">
      <c r="L29305" s="472"/>
      <c r="M29305" s="472"/>
    </row>
    <row r="29306" spans="12:13" x14ac:dyDescent="0.25">
      <c r="L29306" s="472"/>
      <c r="M29306" s="472"/>
    </row>
    <row r="29307" spans="12:13" x14ac:dyDescent="0.25">
      <c r="L29307" s="472"/>
      <c r="M29307" s="472"/>
    </row>
    <row r="29379" spans="12:13" x14ac:dyDescent="0.25">
      <c r="L29379" s="472"/>
      <c r="M29379" s="472"/>
    </row>
    <row r="29380" spans="12:13" x14ac:dyDescent="0.25">
      <c r="L29380" s="472"/>
      <c r="M29380" s="472"/>
    </row>
    <row r="29381" spans="12:13" x14ac:dyDescent="0.25">
      <c r="L29381" s="472"/>
      <c r="M29381" s="472"/>
    </row>
    <row r="29453" spans="12:13" x14ac:dyDescent="0.25">
      <c r="L29453" s="472"/>
      <c r="M29453" s="472"/>
    </row>
    <row r="29454" spans="12:13" x14ac:dyDescent="0.25">
      <c r="L29454" s="472"/>
      <c r="M29454" s="472"/>
    </row>
    <row r="29455" spans="12:13" x14ac:dyDescent="0.25">
      <c r="L29455" s="472"/>
      <c r="M29455" s="472"/>
    </row>
    <row r="29527" spans="12:13" x14ac:dyDescent="0.25">
      <c r="L29527" s="472"/>
      <c r="M29527" s="472"/>
    </row>
    <row r="29528" spans="12:13" x14ac:dyDescent="0.25">
      <c r="L29528" s="472"/>
      <c r="M29528" s="472"/>
    </row>
    <row r="29529" spans="12:13" x14ac:dyDescent="0.25">
      <c r="L29529" s="472"/>
      <c r="M29529" s="472"/>
    </row>
    <row r="29601" spans="12:13" x14ac:dyDescent="0.25">
      <c r="L29601" s="472"/>
      <c r="M29601" s="472"/>
    </row>
    <row r="29602" spans="12:13" x14ac:dyDescent="0.25">
      <c r="L29602" s="472"/>
      <c r="M29602" s="472"/>
    </row>
    <row r="29603" spans="12:13" x14ac:dyDescent="0.25">
      <c r="L29603" s="472"/>
      <c r="M29603" s="472"/>
    </row>
    <row r="29675" spans="12:13" x14ac:dyDescent="0.25">
      <c r="L29675" s="472"/>
      <c r="M29675" s="472"/>
    </row>
    <row r="29676" spans="12:13" x14ac:dyDescent="0.25">
      <c r="L29676" s="472"/>
      <c r="M29676" s="472"/>
    </row>
    <row r="29677" spans="12:13" x14ac:dyDescent="0.25">
      <c r="L29677" s="472"/>
      <c r="M29677" s="472"/>
    </row>
    <row r="29749" spans="12:13" x14ac:dyDescent="0.25">
      <c r="L29749" s="472"/>
      <c r="M29749" s="472"/>
    </row>
    <row r="29750" spans="12:13" x14ac:dyDescent="0.25">
      <c r="L29750" s="472"/>
      <c r="M29750" s="472"/>
    </row>
    <row r="29751" spans="12:13" x14ac:dyDescent="0.25">
      <c r="L29751" s="472"/>
      <c r="M29751" s="472"/>
    </row>
    <row r="29823" spans="12:13" x14ac:dyDescent="0.25">
      <c r="L29823" s="472"/>
      <c r="M29823" s="472"/>
    </row>
    <row r="29824" spans="12:13" x14ac:dyDescent="0.25">
      <c r="L29824" s="472"/>
      <c r="M29824" s="472"/>
    </row>
    <row r="29825" spans="12:13" x14ac:dyDescent="0.25">
      <c r="L29825" s="472"/>
      <c r="M29825" s="472"/>
    </row>
    <row r="29897" spans="12:13" x14ac:dyDescent="0.25">
      <c r="L29897" s="472"/>
      <c r="M29897" s="472"/>
    </row>
    <row r="29898" spans="12:13" x14ac:dyDescent="0.25">
      <c r="L29898" s="472"/>
      <c r="M29898" s="472"/>
    </row>
    <row r="29899" spans="12:13" x14ac:dyDescent="0.25">
      <c r="L29899" s="472"/>
      <c r="M29899" s="472"/>
    </row>
    <row r="29971" spans="12:13" x14ac:dyDescent="0.25">
      <c r="L29971" s="472"/>
      <c r="M29971" s="472"/>
    </row>
    <row r="29972" spans="12:13" x14ac:dyDescent="0.25">
      <c r="L29972" s="472"/>
      <c r="M29972" s="472"/>
    </row>
    <row r="29973" spans="12:13" x14ac:dyDescent="0.25">
      <c r="L29973" s="472"/>
      <c r="M29973" s="472"/>
    </row>
    <row r="30045" spans="12:13" x14ac:dyDescent="0.25">
      <c r="L30045" s="472"/>
      <c r="M30045" s="472"/>
    </row>
    <row r="30046" spans="12:13" x14ac:dyDescent="0.25">
      <c r="L30046" s="472"/>
      <c r="M30046" s="472"/>
    </row>
    <row r="30047" spans="12:13" x14ac:dyDescent="0.25">
      <c r="L30047" s="472"/>
      <c r="M30047" s="472"/>
    </row>
    <row r="30119" spans="12:13" x14ac:dyDescent="0.25">
      <c r="L30119" s="472"/>
      <c r="M30119" s="472"/>
    </row>
    <row r="30120" spans="12:13" x14ac:dyDescent="0.25">
      <c r="L30120" s="472"/>
      <c r="M30120" s="472"/>
    </row>
    <row r="30121" spans="12:13" x14ac:dyDescent="0.25">
      <c r="L30121" s="472"/>
      <c r="M30121" s="472"/>
    </row>
    <row r="30193" spans="12:13" x14ac:dyDescent="0.25">
      <c r="L30193" s="472"/>
      <c r="M30193" s="472"/>
    </row>
    <row r="30194" spans="12:13" x14ac:dyDescent="0.25">
      <c r="L30194" s="472"/>
      <c r="M30194" s="472"/>
    </row>
    <row r="30195" spans="12:13" x14ac:dyDescent="0.25">
      <c r="L30195" s="472"/>
      <c r="M30195" s="472"/>
    </row>
    <row r="30267" spans="12:13" x14ac:dyDescent="0.25">
      <c r="L30267" s="472"/>
      <c r="M30267" s="472"/>
    </row>
    <row r="30268" spans="12:13" x14ac:dyDescent="0.25">
      <c r="L30268" s="472"/>
      <c r="M30268" s="472"/>
    </row>
    <row r="30269" spans="12:13" x14ac:dyDescent="0.25">
      <c r="L30269" s="472"/>
      <c r="M30269" s="472"/>
    </row>
    <row r="30341" spans="12:13" x14ac:dyDescent="0.25">
      <c r="L30341" s="472"/>
      <c r="M30341" s="472"/>
    </row>
    <row r="30342" spans="12:13" x14ac:dyDescent="0.25">
      <c r="L30342" s="472"/>
      <c r="M30342" s="472"/>
    </row>
    <row r="30343" spans="12:13" x14ac:dyDescent="0.25">
      <c r="L30343" s="472"/>
      <c r="M30343" s="472"/>
    </row>
    <row r="30415" spans="12:13" x14ac:dyDescent="0.25">
      <c r="L30415" s="472"/>
      <c r="M30415" s="472"/>
    </row>
    <row r="30416" spans="12:13" x14ac:dyDescent="0.25">
      <c r="L30416" s="472"/>
      <c r="M30416" s="472"/>
    </row>
    <row r="30417" spans="12:13" x14ac:dyDescent="0.25">
      <c r="L30417" s="472"/>
      <c r="M30417" s="472"/>
    </row>
    <row r="30489" spans="12:13" x14ac:dyDescent="0.25">
      <c r="L30489" s="472"/>
      <c r="M30489" s="472"/>
    </row>
    <row r="30490" spans="12:13" x14ac:dyDescent="0.25">
      <c r="L30490" s="472"/>
      <c r="M30490" s="472"/>
    </row>
    <row r="30491" spans="12:13" x14ac:dyDescent="0.25">
      <c r="L30491" s="472"/>
      <c r="M30491" s="472"/>
    </row>
    <row r="30563" spans="12:13" x14ac:dyDescent="0.25">
      <c r="L30563" s="472"/>
      <c r="M30563" s="472"/>
    </row>
    <row r="30564" spans="12:13" x14ac:dyDescent="0.25">
      <c r="L30564" s="472"/>
      <c r="M30564" s="472"/>
    </row>
    <row r="30565" spans="12:13" x14ac:dyDescent="0.25">
      <c r="L30565" s="472"/>
      <c r="M30565" s="472"/>
    </row>
    <row r="30637" spans="12:13" x14ac:dyDescent="0.25">
      <c r="L30637" s="472"/>
      <c r="M30637" s="472"/>
    </row>
    <row r="30638" spans="12:13" x14ac:dyDescent="0.25">
      <c r="L30638" s="472"/>
      <c r="M30638" s="472"/>
    </row>
    <row r="30639" spans="12:13" x14ac:dyDescent="0.25">
      <c r="L30639" s="472"/>
      <c r="M30639" s="472"/>
    </row>
    <row r="30711" spans="12:13" x14ac:dyDescent="0.25">
      <c r="L30711" s="472"/>
      <c r="M30711" s="472"/>
    </row>
    <row r="30712" spans="12:13" x14ac:dyDescent="0.25">
      <c r="L30712" s="472"/>
      <c r="M30712" s="472"/>
    </row>
    <row r="30713" spans="12:13" x14ac:dyDescent="0.25">
      <c r="L30713" s="472"/>
      <c r="M30713" s="472"/>
    </row>
    <row r="30785" spans="12:13" x14ac:dyDescent="0.25">
      <c r="L30785" s="472"/>
      <c r="M30785" s="472"/>
    </row>
    <row r="30786" spans="12:13" x14ac:dyDescent="0.25">
      <c r="L30786" s="472"/>
      <c r="M30786" s="472"/>
    </row>
    <row r="30787" spans="12:13" x14ac:dyDescent="0.25">
      <c r="L30787" s="472"/>
      <c r="M30787" s="472"/>
    </row>
    <row r="30859" spans="12:13" x14ac:dyDescent="0.25">
      <c r="L30859" s="472"/>
      <c r="M30859" s="472"/>
    </row>
    <row r="30860" spans="12:13" x14ac:dyDescent="0.25">
      <c r="L30860" s="472"/>
      <c r="M30860" s="472"/>
    </row>
    <row r="30861" spans="12:13" x14ac:dyDescent="0.25">
      <c r="L30861" s="472"/>
      <c r="M30861" s="472"/>
    </row>
    <row r="30933" spans="12:13" x14ac:dyDescent="0.25">
      <c r="L30933" s="472"/>
      <c r="M30933" s="472"/>
    </row>
    <row r="30934" spans="12:13" x14ac:dyDescent="0.25">
      <c r="L30934" s="472"/>
      <c r="M30934" s="472"/>
    </row>
    <row r="30935" spans="12:13" x14ac:dyDescent="0.25">
      <c r="L30935" s="472"/>
      <c r="M30935" s="472"/>
    </row>
    <row r="31007" spans="12:13" x14ac:dyDescent="0.25">
      <c r="L31007" s="472"/>
      <c r="M31007" s="472"/>
    </row>
    <row r="31008" spans="12:13" x14ac:dyDescent="0.25">
      <c r="L31008" s="472"/>
      <c r="M31008" s="472"/>
    </row>
    <row r="31009" spans="12:13" x14ac:dyDescent="0.25">
      <c r="L31009" s="472"/>
      <c r="M31009" s="472"/>
    </row>
    <row r="31081" spans="12:13" x14ac:dyDescent="0.25">
      <c r="L31081" s="472"/>
      <c r="M31081" s="472"/>
    </row>
    <row r="31082" spans="12:13" x14ac:dyDescent="0.25">
      <c r="L31082" s="472"/>
      <c r="M31082" s="472"/>
    </row>
    <row r="31083" spans="12:13" x14ac:dyDescent="0.25">
      <c r="L31083" s="472"/>
      <c r="M31083" s="472"/>
    </row>
    <row r="31155" spans="12:13" x14ac:dyDescent="0.25">
      <c r="L31155" s="472"/>
      <c r="M31155" s="472"/>
    </row>
    <row r="31156" spans="12:13" x14ac:dyDescent="0.25">
      <c r="L31156" s="472"/>
      <c r="M31156" s="472"/>
    </row>
    <row r="31157" spans="12:13" x14ac:dyDescent="0.25">
      <c r="L31157" s="472"/>
      <c r="M31157" s="472"/>
    </row>
    <row r="31229" spans="12:13" x14ac:dyDescent="0.25">
      <c r="L31229" s="472"/>
      <c r="M31229" s="472"/>
    </row>
    <row r="31230" spans="12:13" x14ac:dyDescent="0.25">
      <c r="L31230" s="472"/>
      <c r="M31230" s="472"/>
    </row>
    <row r="31231" spans="12:13" x14ac:dyDescent="0.25">
      <c r="L31231" s="472"/>
      <c r="M31231" s="472"/>
    </row>
    <row r="31303" spans="12:13" x14ac:dyDescent="0.25">
      <c r="L31303" s="472"/>
      <c r="M31303" s="472"/>
    </row>
    <row r="31304" spans="12:13" x14ac:dyDescent="0.25">
      <c r="L31304" s="472"/>
      <c r="M31304" s="472"/>
    </row>
    <row r="31305" spans="12:13" x14ac:dyDescent="0.25">
      <c r="L31305" s="472"/>
      <c r="M31305" s="472"/>
    </row>
    <row r="31377" spans="12:13" x14ac:dyDescent="0.25">
      <c r="L31377" s="472"/>
      <c r="M31377" s="472"/>
    </row>
    <row r="31378" spans="12:13" x14ac:dyDescent="0.25">
      <c r="L31378" s="472"/>
      <c r="M31378" s="472"/>
    </row>
    <row r="31379" spans="12:13" x14ac:dyDescent="0.25">
      <c r="L31379" s="472"/>
      <c r="M31379" s="472"/>
    </row>
    <row r="31451" spans="12:13" x14ac:dyDescent="0.25">
      <c r="L31451" s="472"/>
      <c r="M31451" s="472"/>
    </row>
    <row r="31452" spans="12:13" x14ac:dyDescent="0.25">
      <c r="L31452" s="472"/>
      <c r="M31452" s="472"/>
    </row>
    <row r="31453" spans="12:13" x14ac:dyDescent="0.25">
      <c r="L31453" s="472"/>
      <c r="M31453" s="472"/>
    </row>
    <row r="31525" spans="12:13" x14ac:dyDescent="0.25">
      <c r="L31525" s="472"/>
      <c r="M31525" s="472"/>
    </row>
    <row r="31526" spans="12:13" x14ac:dyDescent="0.25">
      <c r="L31526" s="472"/>
      <c r="M31526" s="472"/>
    </row>
    <row r="31527" spans="12:13" x14ac:dyDescent="0.25">
      <c r="L31527" s="472"/>
      <c r="M31527" s="472"/>
    </row>
    <row r="31599" spans="12:13" x14ac:dyDescent="0.25">
      <c r="L31599" s="472"/>
      <c r="M31599" s="472"/>
    </row>
    <row r="31600" spans="12:13" x14ac:dyDescent="0.25">
      <c r="L31600" s="472"/>
      <c r="M31600" s="472"/>
    </row>
    <row r="31601" spans="12:13" x14ac:dyDescent="0.25">
      <c r="L31601" s="472"/>
      <c r="M31601" s="472"/>
    </row>
    <row r="31673" spans="12:13" x14ac:dyDescent="0.25">
      <c r="L31673" s="472"/>
      <c r="M31673" s="472"/>
    </row>
    <row r="31674" spans="12:13" x14ac:dyDescent="0.25">
      <c r="L31674" s="472"/>
      <c r="M31674" s="472"/>
    </row>
    <row r="31675" spans="12:13" x14ac:dyDescent="0.25">
      <c r="L31675" s="472"/>
      <c r="M31675" s="472"/>
    </row>
    <row r="31747" spans="12:13" x14ac:dyDescent="0.25">
      <c r="L31747" s="472"/>
      <c r="M31747" s="472"/>
    </row>
    <row r="31748" spans="12:13" x14ac:dyDescent="0.25">
      <c r="L31748" s="472"/>
      <c r="M31748" s="472"/>
    </row>
    <row r="31749" spans="12:13" x14ac:dyDescent="0.25">
      <c r="L31749" s="472"/>
      <c r="M31749" s="472"/>
    </row>
    <row r="31821" spans="12:13" x14ac:dyDescent="0.25">
      <c r="L31821" s="472"/>
      <c r="M31821" s="472"/>
    </row>
    <row r="31822" spans="12:13" x14ac:dyDescent="0.25">
      <c r="L31822" s="472"/>
      <c r="M31822" s="472"/>
    </row>
    <row r="31823" spans="12:13" x14ac:dyDescent="0.25">
      <c r="L31823" s="472"/>
      <c r="M31823" s="472"/>
    </row>
    <row r="31895" spans="12:13" x14ac:dyDescent="0.25">
      <c r="L31895" s="472"/>
      <c r="M31895" s="472"/>
    </row>
    <row r="31896" spans="12:13" x14ac:dyDescent="0.25">
      <c r="L31896" s="472"/>
      <c r="M31896" s="472"/>
    </row>
    <row r="31897" spans="12:13" x14ac:dyDescent="0.25">
      <c r="L31897" s="472"/>
      <c r="M31897" s="472"/>
    </row>
    <row r="31969" spans="12:13" x14ac:dyDescent="0.25">
      <c r="L31969" s="472"/>
      <c r="M31969" s="472"/>
    </row>
    <row r="31970" spans="12:13" x14ac:dyDescent="0.25">
      <c r="L31970" s="472"/>
      <c r="M31970" s="472"/>
    </row>
    <row r="31971" spans="12:13" x14ac:dyDescent="0.25">
      <c r="L31971" s="472"/>
      <c r="M31971" s="472"/>
    </row>
    <row r="32043" spans="12:13" x14ac:dyDescent="0.25">
      <c r="L32043" s="472"/>
      <c r="M32043" s="472"/>
    </row>
    <row r="32044" spans="12:13" x14ac:dyDescent="0.25">
      <c r="L32044" s="472"/>
      <c r="M32044" s="472"/>
    </row>
    <row r="32045" spans="12:13" x14ac:dyDescent="0.25">
      <c r="L32045" s="472"/>
      <c r="M32045" s="472"/>
    </row>
    <row r="32117" spans="12:13" x14ac:dyDescent="0.25">
      <c r="L32117" s="472"/>
      <c r="M32117" s="472"/>
    </row>
    <row r="32118" spans="12:13" x14ac:dyDescent="0.25">
      <c r="L32118" s="472"/>
      <c r="M32118" s="472"/>
    </row>
    <row r="32119" spans="12:13" x14ac:dyDescent="0.25">
      <c r="L32119" s="472"/>
      <c r="M32119" s="472"/>
    </row>
    <row r="32191" spans="12:13" x14ac:dyDescent="0.25">
      <c r="L32191" s="472"/>
      <c r="M32191" s="472"/>
    </row>
    <row r="32192" spans="12:13" x14ac:dyDescent="0.25">
      <c r="L32192" s="472"/>
      <c r="M32192" s="472"/>
    </row>
    <row r="32193" spans="12:13" x14ac:dyDescent="0.25">
      <c r="L32193" s="472"/>
      <c r="M32193" s="472"/>
    </row>
    <row r="32265" spans="12:13" x14ac:dyDescent="0.25">
      <c r="L32265" s="472"/>
      <c r="M32265" s="472"/>
    </row>
    <row r="32266" spans="12:13" x14ac:dyDescent="0.25">
      <c r="L32266" s="472"/>
      <c r="M32266" s="472"/>
    </row>
    <row r="32267" spans="12:13" x14ac:dyDescent="0.25">
      <c r="L32267" s="472"/>
      <c r="M32267" s="472"/>
    </row>
    <row r="32339" spans="12:13" x14ac:dyDescent="0.25">
      <c r="L32339" s="472"/>
      <c r="M32339" s="472"/>
    </row>
    <row r="32340" spans="12:13" x14ac:dyDescent="0.25">
      <c r="L32340" s="472"/>
      <c r="M32340" s="472"/>
    </row>
    <row r="32341" spans="12:13" x14ac:dyDescent="0.25">
      <c r="L32341" s="472"/>
      <c r="M32341" s="472"/>
    </row>
    <row r="32413" spans="12:13" x14ac:dyDescent="0.25">
      <c r="L32413" s="472"/>
      <c r="M32413" s="472"/>
    </row>
    <row r="32414" spans="12:13" x14ac:dyDescent="0.25">
      <c r="L32414" s="472"/>
      <c r="M32414" s="472"/>
    </row>
    <row r="32415" spans="12:13" x14ac:dyDescent="0.25">
      <c r="L32415" s="472"/>
      <c r="M32415" s="472"/>
    </row>
    <row r="32487" spans="12:13" x14ac:dyDescent="0.25">
      <c r="L32487" s="472"/>
      <c r="M32487" s="472"/>
    </row>
    <row r="32488" spans="12:13" x14ac:dyDescent="0.25">
      <c r="L32488" s="472"/>
      <c r="M32488" s="472"/>
    </row>
    <row r="32489" spans="12:13" x14ac:dyDescent="0.25">
      <c r="L32489" s="472"/>
      <c r="M32489" s="472"/>
    </row>
    <row r="32561" spans="12:13" x14ac:dyDescent="0.25">
      <c r="L32561" s="472"/>
      <c r="M32561" s="472"/>
    </row>
    <row r="32562" spans="12:13" x14ac:dyDescent="0.25">
      <c r="L32562" s="472"/>
      <c r="M32562" s="472"/>
    </row>
    <row r="32563" spans="12:13" x14ac:dyDescent="0.25">
      <c r="L32563" s="472"/>
      <c r="M32563" s="472"/>
    </row>
    <row r="32635" spans="12:13" x14ac:dyDescent="0.25">
      <c r="L32635" s="472"/>
      <c r="M32635" s="472"/>
    </row>
    <row r="32636" spans="12:13" x14ac:dyDescent="0.25">
      <c r="L32636" s="472"/>
      <c r="M32636" s="472"/>
    </row>
    <row r="32637" spans="12:13" x14ac:dyDescent="0.25">
      <c r="L32637" s="472"/>
      <c r="M32637" s="472"/>
    </row>
    <row r="32709" spans="12:13" x14ac:dyDescent="0.25">
      <c r="L32709" s="472"/>
      <c r="M32709" s="472"/>
    </row>
    <row r="32710" spans="12:13" x14ac:dyDescent="0.25">
      <c r="L32710" s="472"/>
      <c r="M32710" s="472"/>
    </row>
    <row r="32711" spans="12:13" x14ac:dyDescent="0.25">
      <c r="L32711" s="472"/>
      <c r="M32711" s="472"/>
    </row>
    <row r="32783" spans="12:13" x14ac:dyDescent="0.25">
      <c r="L32783" s="472"/>
      <c r="M32783" s="472"/>
    </row>
    <row r="32784" spans="12:13" x14ac:dyDescent="0.25">
      <c r="L32784" s="472"/>
      <c r="M32784" s="472"/>
    </row>
    <row r="32785" spans="12:13" x14ac:dyDescent="0.25">
      <c r="L32785" s="472"/>
      <c r="M32785" s="472"/>
    </row>
    <row r="32857" spans="12:13" x14ac:dyDescent="0.25">
      <c r="L32857" s="472"/>
      <c r="M32857" s="472"/>
    </row>
    <row r="32858" spans="12:13" x14ac:dyDescent="0.25">
      <c r="L32858" s="472"/>
      <c r="M32858" s="472"/>
    </row>
    <row r="32859" spans="12:13" x14ac:dyDescent="0.25">
      <c r="L32859" s="472"/>
      <c r="M32859" s="472"/>
    </row>
    <row r="32931" spans="12:13" x14ac:dyDescent="0.25">
      <c r="L32931" s="472"/>
      <c r="M32931" s="472"/>
    </row>
    <row r="32932" spans="12:13" x14ac:dyDescent="0.25">
      <c r="L32932" s="472"/>
      <c r="M32932" s="472"/>
    </row>
    <row r="32933" spans="12:13" x14ac:dyDescent="0.25">
      <c r="L32933" s="472"/>
      <c r="M32933" s="472"/>
    </row>
    <row r="33005" spans="12:13" x14ac:dyDescent="0.25">
      <c r="L33005" s="472"/>
      <c r="M33005" s="472"/>
    </row>
    <row r="33006" spans="12:13" x14ac:dyDescent="0.25">
      <c r="L33006" s="472"/>
      <c r="M33006" s="472"/>
    </row>
    <row r="33007" spans="12:13" x14ac:dyDescent="0.25">
      <c r="L33007" s="472"/>
      <c r="M33007" s="472"/>
    </row>
    <row r="33079" spans="12:13" x14ac:dyDescent="0.25">
      <c r="L33079" s="472"/>
      <c r="M33079" s="472"/>
    </row>
    <row r="33080" spans="12:13" x14ac:dyDescent="0.25">
      <c r="L33080" s="472"/>
      <c r="M33080" s="472"/>
    </row>
    <row r="33081" spans="12:13" x14ac:dyDescent="0.25">
      <c r="L33081" s="472"/>
      <c r="M33081" s="472"/>
    </row>
    <row r="33153" spans="12:13" x14ac:dyDescent="0.25">
      <c r="L33153" s="472"/>
      <c r="M33153" s="472"/>
    </row>
    <row r="33154" spans="12:13" x14ac:dyDescent="0.25">
      <c r="L33154" s="472"/>
      <c r="M33154" s="472"/>
    </row>
    <row r="33155" spans="12:13" x14ac:dyDescent="0.25">
      <c r="L33155" s="472"/>
      <c r="M33155" s="472"/>
    </row>
    <row r="33227" spans="12:13" x14ac:dyDescent="0.25">
      <c r="L33227" s="472"/>
      <c r="M33227" s="472"/>
    </row>
    <row r="33228" spans="12:13" x14ac:dyDescent="0.25">
      <c r="L33228" s="472"/>
      <c r="M33228" s="472"/>
    </row>
    <row r="33229" spans="12:13" x14ac:dyDescent="0.25">
      <c r="L33229" s="472"/>
      <c r="M33229" s="472"/>
    </row>
    <row r="33301" spans="12:13" x14ac:dyDescent="0.25">
      <c r="L33301" s="472"/>
      <c r="M33301" s="472"/>
    </row>
    <row r="33302" spans="12:13" x14ac:dyDescent="0.25">
      <c r="L33302" s="472"/>
      <c r="M33302" s="472"/>
    </row>
    <row r="33303" spans="12:13" x14ac:dyDescent="0.25">
      <c r="L33303" s="472"/>
      <c r="M33303" s="472"/>
    </row>
    <row r="33375" spans="12:13" x14ac:dyDescent="0.25">
      <c r="L33375" s="472"/>
      <c r="M33375" s="472"/>
    </row>
    <row r="33376" spans="12:13" x14ac:dyDescent="0.25">
      <c r="L33376" s="472"/>
      <c r="M33376" s="472"/>
    </row>
    <row r="33377" spans="12:13" x14ac:dyDescent="0.25">
      <c r="L33377" s="472"/>
      <c r="M33377" s="472"/>
    </row>
    <row r="33449" spans="12:13" x14ac:dyDescent="0.25">
      <c r="L33449" s="472"/>
      <c r="M33449" s="472"/>
    </row>
    <row r="33450" spans="12:13" x14ac:dyDescent="0.25">
      <c r="L33450" s="472"/>
      <c r="M33450" s="472"/>
    </row>
    <row r="33451" spans="12:13" x14ac:dyDescent="0.25">
      <c r="L33451" s="472"/>
      <c r="M33451" s="472"/>
    </row>
    <row r="33523" spans="12:13" x14ac:dyDescent="0.25">
      <c r="L33523" s="472"/>
      <c r="M33523" s="472"/>
    </row>
    <row r="33524" spans="12:13" x14ac:dyDescent="0.25">
      <c r="L33524" s="472"/>
      <c r="M33524" s="472"/>
    </row>
    <row r="33525" spans="12:13" x14ac:dyDescent="0.25">
      <c r="L33525" s="472"/>
      <c r="M33525" s="472"/>
    </row>
    <row r="33597" spans="12:13" x14ac:dyDescent="0.25">
      <c r="L33597" s="472"/>
      <c r="M33597" s="472"/>
    </row>
    <row r="33598" spans="12:13" x14ac:dyDescent="0.25">
      <c r="L33598" s="472"/>
      <c r="M33598" s="472"/>
    </row>
    <row r="33599" spans="12:13" x14ac:dyDescent="0.25">
      <c r="L33599" s="472"/>
      <c r="M33599" s="472"/>
    </row>
    <row r="33671" spans="12:13" x14ac:dyDescent="0.25">
      <c r="L33671" s="472"/>
      <c r="M33671" s="472"/>
    </row>
    <row r="33672" spans="12:13" x14ac:dyDescent="0.25">
      <c r="L33672" s="472"/>
      <c r="M33672" s="472"/>
    </row>
    <row r="33673" spans="12:13" x14ac:dyDescent="0.25">
      <c r="L33673" s="472"/>
      <c r="M33673" s="472"/>
    </row>
    <row r="33745" spans="12:13" x14ac:dyDescent="0.25">
      <c r="L33745" s="472"/>
      <c r="M33745" s="472"/>
    </row>
    <row r="33746" spans="12:13" x14ac:dyDescent="0.25">
      <c r="L33746" s="472"/>
      <c r="M33746" s="472"/>
    </row>
    <row r="33747" spans="12:13" x14ac:dyDescent="0.25">
      <c r="L33747" s="472"/>
      <c r="M33747" s="472"/>
    </row>
    <row r="33819" spans="12:13" x14ac:dyDescent="0.25">
      <c r="L33819" s="472"/>
      <c r="M33819" s="472"/>
    </row>
    <row r="33820" spans="12:13" x14ac:dyDescent="0.25">
      <c r="L33820" s="472"/>
      <c r="M33820" s="472"/>
    </row>
    <row r="33821" spans="12:13" x14ac:dyDescent="0.25">
      <c r="L33821" s="472"/>
      <c r="M33821" s="472"/>
    </row>
    <row r="33893" spans="12:13" x14ac:dyDescent="0.25">
      <c r="L33893" s="472"/>
      <c r="M33893" s="472"/>
    </row>
    <row r="33894" spans="12:13" x14ac:dyDescent="0.25">
      <c r="L33894" s="472"/>
      <c r="M33894" s="472"/>
    </row>
    <row r="33895" spans="12:13" x14ac:dyDescent="0.25">
      <c r="L33895" s="472"/>
      <c r="M33895" s="472"/>
    </row>
    <row r="33967" spans="12:13" x14ac:dyDescent="0.25">
      <c r="L33967" s="472"/>
      <c r="M33967" s="472"/>
    </row>
    <row r="33968" spans="12:13" x14ac:dyDescent="0.25">
      <c r="L33968" s="472"/>
      <c r="M33968" s="472"/>
    </row>
    <row r="33969" spans="12:13" x14ac:dyDescent="0.25">
      <c r="L33969" s="472"/>
      <c r="M33969" s="472"/>
    </row>
    <row r="34041" spans="12:13" x14ac:dyDescent="0.25">
      <c r="L34041" s="472"/>
      <c r="M34041" s="472"/>
    </row>
    <row r="34042" spans="12:13" x14ac:dyDescent="0.25">
      <c r="L34042" s="472"/>
      <c r="M34042" s="472"/>
    </row>
    <row r="34043" spans="12:13" x14ac:dyDescent="0.25">
      <c r="L34043" s="472"/>
      <c r="M34043" s="472"/>
    </row>
    <row r="34115" spans="12:13" x14ac:dyDescent="0.25">
      <c r="L34115" s="472"/>
      <c r="M34115" s="472"/>
    </row>
    <row r="34116" spans="12:13" x14ac:dyDescent="0.25">
      <c r="L34116" s="472"/>
      <c r="M34116" s="472"/>
    </row>
    <row r="34117" spans="12:13" x14ac:dyDescent="0.25">
      <c r="L34117" s="472"/>
      <c r="M34117" s="472"/>
    </row>
    <row r="34189" spans="12:13" x14ac:dyDescent="0.25">
      <c r="L34189" s="472"/>
      <c r="M34189" s="472"/>
    </row>
    <row r="34190" spans="12:13" x14ac:dyDescent="0.25">
      <c r="L34190" s="472"/>
      <c r="M34190" s="472"/>
    </row>
    <row r="34191" spans="12:13" x14ac:dyDescent="0.25">
      <c r="L34191" s="472"/>
      <c r="M34191" s="472"/>
    </row>
    <row r="34263" spans="12:13" x14ac:dyDescent="0.25">
      <c r="L34263" s="472"/>
      <c r="M34263" s="472"/>
    </row>
    <row r="34264" spans="12:13" x14ac:dyDescent="0.25">
      <c r="L34264" s="472"/>
      <c r="M34264" s="472"/>
    </row>
    <row r="34265" spans="12:13" x14ac:dyDescent="0.25">
      <c r="L34265" s="472"/>
      <c r="M34265" s="472"/>
    </row>
    <row r="34337" spans="12:13" x14ac:dyDescent="0.25">
      <c r="L34337" s="472"/>
      <c r="M34337" s="472"/>
    </row>
    <row r="34338" spans="12:13" x14ac:dyDescent="0.25">
      <c r="L34338" s="472"/>
      <c r="M34338" s="472"/>
    </row>
    <row r="34339" spans="12:13" x14ac:dyDescent="0.25">
      <c r="L34339" s="472"/>
      <c r="M34339" s="472"/>
    </row>
    <row r="34411" spans="12:13" x14ac:dyDescent="0.25">
      <c r="L34411" s="472"/>
      <c r="M34411" s="472"/>
    </row>
    <row r="34412" spans="12:13" x14ac:dyDescent="0.25">
      <c r="L34412" s="472"/>
      <c r="M34412" s="472"/>
    </row>
    <row r="34413" spans="12:13" x14ac:dyDescent="0.25">
      <c r="L34413" s="472"/>
      <c r="M34413" s="472"/>
    </row>
    <row r="34485" spans="12:13" x14ac:dyDescent="0.25">
      <c r="L34485" s="472"/>
      <c r="M34485" s="472"/>
    </row>
    <row r="34486" spans="12:13" x14ac:dyDescent="0.25">
      <c r="L34486" s="472"/>
      <c r="M34486" s="472"/>
    </row>
    <row r="34487" spans="12:13" x14ac:dyDescent="0.25">
      <c r="L34487" s="472"/>
      <c r="M34487" s="472"/>
    </row>
    <row r="34559" spans="12:13" x14ac:dyDescent="0.25">
      <c r="L34559" s="472"/>
      <c r="M34559" s="472"/>
    </row>
    <row r="34560" spans="12:13" x14ac:dyDescent="0.25">
      <c r="L34560" s="472"/>
      <c r="M34560" s="472"/>
    </row>
    <row r="34561" spans="12:13" x14ac:dyDescent="0.25">
      <c r="L34561" s="472"/>
      <c r="M34561" s="472"/>
    </row>
    <row r="34633" spans="12:13" x14ac:dyDescent="0.25">
      <c r="L34633" s="472"/>
      <c r="M34633" s="472"/>
    </row>
    <row r="34634" spans="12:13" x14ac:dyDescent="0.25">
      <c r="L34634" s="472"/>
      <c r="M34634" s="472"/>
    </row>
    <row r="34635" spans="12:13" x14ac:dyDescent="0.25">
      <c r="L34635" s="472"/>
      <c r="M34635" s="472"/>
    </row>
    <row r="34707" spans="12:13" x14ac:dyDescent="0.25">
      <c r="L34707" s="472"/>
      <c r="M34707" s="472"/>
    </row>
    <row r="34708" spans="12:13" x14ac:dyDescent="0.25">
      <c r="L34708" s="472"/>
      <c r="M34708" s="472"/>
    </row>
    <row r="34709" spans="12:13" x14ac:dyDescent="0.25">
      <c r="L34709" s="472"/>
      <c r="M34709" s="472"/>
    </row>
    <row r="34781" spans="12:13" x14ac:dyDescent="0.25">
      <c r="L34781" s="472"/>
      <c r="M34781" s="472"/>
    </row>
    <row r="34782" spans="12:13" x14ac:dyDescent="0.25">
      <c r="L34782" s="472"/>
      <c r="M34782" s="472"/>
    </row>
    <row r="34783" spans="12:13" x14ac:dyDescent="0.25">
      <c r="L34783" s="472"/>
      <c r="M34783" s="472"/>
    </row>
    <row r="34855" spans="12:13" x14ac:dyDescent="0.25">
      <c r="L34855" s="472"/>
      <c r="M34855" s="472"/>
    </row>
    <row r="34856" spans="12:13" x14ac:dyDescent="0.25">
      <c r="L34856" s="472"/>
      <c r="M34856" s="472"/>
    </row>
    <row r="34857" spans="12:13" x14ac:dyDescent="0.25">
      <c r="L34857" s="472"/>
      <c r="M34857" s="472"/>
    </row>
    <row r="34929" spans="12:13" x14ac:dyDescent="0.25">
      <c r="L34929" s="472"/>
      <c r="M34929" s="472"/>
    </row>
    <row r="34930" spans="12:13" x14ac:dyDescent="0.25">
      <c r="L34930" s="472"/>
      <c r="M34930" s="472"/>
    </row>
    <row r="34931" spans="12:13" x14ac:dyDescent="0.25">
      <c r="L34931" s="472"/>
      <c r="M34931" s="472"/>
    </row>
    <row r="35003" spans="12:13" x14ac:dyDescent="0.25">
      <c r="L35003" s="472"/>
      <c r="M35003" s="472"/>
    </row>
    <row r="35004" spans="12:13" x14ac:dyDescent="0.25">
      <c r="L35004" s="472"/>
      <c r="M35004" s="472"/>
    </row>
    <row r="35005" spans="12:13" x14ac:dyDescent="0.25">
      <c r="L35005" s="472"/>
      <c r="M35005" s="472"/>
    </row>
    <row r="35077" spans="12:13" x14ac:dyDescent="0.25">
      <c r="L35077" s="472"/>
      <c r="M35077" s="472"/>
    </row>
    <row r="35078" spans="12:13" x14ac:dyDescent="0.25">
      <c r="L35078" s="472"/>
      <c r="M35078" s="472"/>
    </row>
    <row r="35079" spans="12:13" x14ac:dyDescent="0.25">
      <c r="L35079" s="472"/>
      <c r="M35079" s="472"/>
    </row>
    <row r="35151" spans="12:13" x14ac:dyDescent="0.25">
      <c r="L35151" s="472"/>
      <c r="M35151" s="472"/>
    </row>
    <row r="35152" spans="12:13" x14ac:dyDescent="0.25">
      <c r="L35152" s="472"/>
      <c r="M35152" s="472"/>
    </row>
    <row r="35153" spans="12:13" x14ac:dyDescent="0.25">
      <c r="L35153" s="472"/>
      <c r="M35153" s="472"/>
    </row>
    <row r="35225" spans="12:13" x14ac:dyDescent="0.25">
      <c r="L35225" s="472"/>
      <c r="M35225" s="472"/>
    </row>
    <row r="35226" spans="12:13" x14ac:dyDescent="0.25">
      <c r="L35226" s="472"/>
      <c r="M35226" s="472"/>
    </row>
    <row r="35227" spans="12:13" x14ac:dyDescent="0.25">
      <c r="L35227" s="472"/>
      <c r="M35227" s="472"/>
    </row>
    <row r="35299" spans="12:13" x14ac:dyDescent="0.25">
      <c r="L35299" s="472"/>
      <c r="M35299" s="472"/>
    </row>
    <row r="35300" spans="12:13" x14ac:dyDescent="0.25">
      <c r="L35300" s="472"/>
      <c r="M35300" s="472"/>
    </row>
    <row r="35301" spans="12:13" x14ac:dyDescent="0.25">
      <c r="L35301" s="472"/>
      <c r="M35301" s="472"/>
    </row>
    <row r="35373" spans="12:13" x14ac:dyDescent="0.25">
      <c r="L35373" s="472"/>
      <c r="M35373" s="472"/>
    </row>
    <row r="35374" spans="12:13" x14ac:dyDescent="0.25">
      <c r="L35374" s="472"/>
      <c r="M35374" s="472"/>
    </row>
    <row r="35375" spans="12:13" x14ac:dyDescent="0.25">
      <c r="L35375" s="472"/>
      <c r="M35375" s="472"/>
    </row>
    <row r="35447" spans="12:13" x14ac:dyDescent="0.25">
      <c r="L35447" s="472"/>
      <c r="M35447" s="472"/>
    </row>
    <row r="35448" spans="12:13" x14ac:dyDescent="0.25">
      <c r="L35448" s="472"/>
      <c r="M35448" s="472"/>
    </row>
    <row r="35449" spans="12:13" x14ac:dyDescent="0.25">
      <c r="L35449" s="472"/>
      <c r="M35449" s="472"/>
    </row>
    <row r="35521" spans="12:13" x14ac:dyDescent="0.25">
      <c r="L35521" s="472"/>
      <c r="M35521" s="472"/>
    </row>
    <row r="35522" spans="12:13" x14ac:dyDescent="0.25">
      <c r="L35522" s="472"/>
      <c r="M35522" s="472"/>
    </row>
    <row r="35523" spans="12:13" x14ac:dyDescent="0.25">
      <c r="L35523" s="472"/>
      <c r="M35523" s="472"/>
    </row>
    <row r="35595" spans="12:13" x14ac:dyDescent="0.25">
      <c r="L35595" s="472"/>
      <c r="M35595" s="472"/>
    </row>
    <row r="35596" spans="12:13" x14ac:dyDescent="0.25">
      <c r="L35596" s="472"/>
      <c r="M35596" s="472"/>
    </row>
    <row r="35597" spans="12:13" x14ac:dyDescent="0.25">
      <c r="L35597" s="472"/>
      <c r="M35597" s="472"/>
    </row>
    <row r="35669" spans="12:13" x14ac:dyDescent="0.25">
      <c r="L35669" s="472"/>
      <c r="M35669" s="472"/>
    </row>
    <row r="35670" spans="12:13" x14ac:dyDescent="0.25">
      <c r="L35670" s="472"/>
      <c r="M35670" s="472"/>
    </row>
    <row r="35671" spans="12:13" x14ac:dyDescent="0.25">
      <c r="L35671" s="472"/>
      <c r="M35671" s="472"/>
    </row>
    <row r="35743" spans="12:13" x14ac:dyDescent="0.25">
      <c r="L35743" s="472"/>
      <c r="M35743" s="472"/>
    </row>
    <row r="35744" spans="12:13" x14ac:dyDescent="0.25">
      <c r="L35744" s="472"/>
      <c r="M35744" s="472"/>
    </row>
    <row r="35745" spans="12:13" x14ac:dyDescent="0.25">
      <c r="L35745" s="472"/>
      <c r="M35745" s="472"/>
    </row>
    <row r="35817" spans="12:13" x14ac:dyDescent="0.25">
      <c r="L35817" s="472"/>
      <c r="M35817" s="472"/>
    </row>
    <row r="35818" spans="12:13" x14ac:dyDescent="0.25">
      <c r="L35818" s="472"/>
      <c r="M35818" s="472"/>
    </row>
    <row r="35819" spans="12:13" x14ac:dyDescent="0.25">
      <c r="L35819" s="472"/>
      <c r="M35819" s="472"/>
    </row>
    <row r="35891" spans="12:13" x14ac:dyDescent="0.25">
      <c r="L35891" s="472"/>
      <c r="M35891" s="472"/>
    </row>
    <row r="35892" spans="12:13" x14ac:dyDescent="0.25">
      <c r="L35892" s="472"/>
      <c r="M35892" s="472"/>
    </row>
    <row r="35893" spans="12:13" x14ac:dyDescent="0.25">
      <c r="L35893" s="472"/>
      <c r="M35893" s="472"/>
    </row>
    <row r="35965" spans="12:13" x14ac:dyDescent="0.25">
      <c r="L35965" s="472"/>
      <c r="M35965" s="472"/>
    </row>
    <row r="35966" spans="12:13" x14ac:dyDescent="0.25">
      <c r="L35966" s="472"/>
      <c r="M35966" s="472"/>
    </row>
    <row r="35967" spans="12:13" x14ac:dyDescent="0.25">
      <c r="L35967" s="472"/>
      <c r="M35967" s="472"/>
    </row>
    <row r="36039" spans="12:13" x14ac:dyDescent="0.25">
      <c r="L36039" s="472"/>
      <c r="M36039" s="472"/>
    </row>
    <row r="36040" spans="12:13" x14ac:dyDescent="0.25">
      <c r="L36040" s="472"/>
      <c r="M36040" s="472"/>
    </row>
    <row r="36041" spans="12:13" x14ac:dyDescent="0.25">
      <c r="L36041" s="472"/>
      <c r="M36041" s="472"/>
    </row>
    <row r="36113" spans="12:13" x14ac:dyDescent="0.25">
      <c r="L36113" s="472"/>
      <c r="M36113" s="472"/>
    </row>
    <row r="36114" spans="12:13" x14ac:dyDescent="0.25">
      <c r="L36114" s="472"/>
      <c r="M36114" s="472"/>
    </row>
    <row r="36115" spans="12:13" x14ac:dyDescent="0.25">
      <c r="L36115" s="472"/>
      <c r="M36115" s="472"/>
    </row>
    <row r="36187" spans="12:13" x14ac:dyDescent="0.25">
      <c r="L36187" s="472"/>
      <c r="M36187" s="472"/>
    </row>
    <row r="36188" spans="12:13" x14ac:dyDescent="0.25">
      <c r="L36188" s="472"/>
      <c r="M36188" s="472"/>
    </row>
    <row r="36189" spans="12:13" x14ac:dyDescent="0.25">
      <c r="L36189" s="472"/>
      <c r="M36189" s="472"/>
    </row>
    <row r="36261" spans="12:13" x14ac:dyDescent="0.25">
      <c r="L36261" s="472"/>
      <c r="M36261" s="472"/>
    </row>
    <row r="36262" spans="12:13" x14ac:dyDescent="0.25">
      <c r="L36262" s="472"/>
      <c r="M36262" s="472"/>
    </row>
    <row r="36263" spans="12:13" x14ac:dyDescent="0.25">
      <c r="L36263" s="472"/>
      <c r="M36263" s="472"/>
    </row>
    <row r="36335" spans="12:13" x14ac:dyDescent="0.25">
      <c r="L36335" s="472"/>
      <c r="M36335" s="472"/>
    </row>
    <row r="36336" spans="12:13" x14ac:dyDescent="0.25">
      <c r="L36336" s="472"/>
      <c r="M36336" s="472"/>
    </row>
    <row r="36337" spans="12:13" x14ac:dyDescent="0.25">
      <c r="L36337" s="472"/>
      <c r="M36337" s="472"/>
    </row>
    <row r="36409" spans="12:13" x14ac:dyDescent="0.25">
      <c r="L36409" s="472"/>
      <c r="M36409" s="472"/>
    </row>
    <row r="36410" spans="12:13" x14ac:dyDescent="0.25">
      <c r="L36410" s="472"/>
      <c r="M36410" s="472"/>
    </row>
    <row r="36411" spans="12:13" x14ac:dyDescent="0.25">
      <c r="L36411" s="472"/>
      <c r="M36411" s="472"/>
    </row>
    <row r="36483" spans="12:13" x14ac:dyDescent="0.25">
      <c r="L36483" s="472"/>
      <c r="M36483" s="472"/>
    </row>
    <row r="36484" spans="12:13" x14ac:dyDescent="0.25">
      <c r="L36484" s="472"/>
      <c r="M36484" s="472"/>
    </row>
    <row r="36485" spans="12:13" x14ac:dyDescent="0.25">
      <c r="L36485" s="472"/>
      <c r="M36485" s="472"/>
    </row>
    <row r="36557" spans="12:13" x14ac:dyDescent="0.25">
      <c r="L36557" s="472"/>
      <c r="M36557" s="472"/>
    </row>
    <row r="36558" spans="12:13" x14ac:dyDescent="0.25">
      <c r="L36558" s="472"/>
      <c r="M36558" s="472"/>
    </row>
    <row r="36559" spans="12:13" x14ac:dyDescent="0.25">
      <c r="L36559" s="472"/>
      <c r="M36559" s="472"/>
    </row>
    <row r="36631" spans="12:13" x14ac:dyDescent="0.25">
      <c r="L36631" s="472"/>
      <c r="M36631" s="472"/>
    </row>
    <row r="36632" spans="12:13" x14ac:dyDescent="0.25">
      <c r="L36632" s="472"/>
      <c r="M36632" s="472"/>
    </row>
    <row r="36633" spans="12:13" x14ac:dyDescent="0.25">
      <c r="L36633" s="472"/>
      <c r="M36633" s="472"/>
    </row>
    <row r="36705" spans="12:13" x14ac:dyDescent="0.25">
      <c r="L36705" s="472"/>
      <c r="M36705" s="472"/>
    </row>
    <row r="36706" spans="12:13" x14ac:dyDescent="0.25">
      <c r="L36706" s="472"/>
      <c r="M36706" s="472"/>
    </row>
    <row r="36707" spans="12:13" x14ac:dyDescent="0.25">
      <c r="L36707" s="472"/>
      <c r="M36707" s="472"/>
    </row>
    <row r="36779" spans="12:13" x14ac:dyDescent="0.25">
      <c r="L36779" s="472"/>
      <c r="M36779" s="472"/>
    </row>
    <row r="36780" spans="12:13" x14ac:dyDescent="0.25">
      <c r="L36780" s="472"/>
      <c r="M36780" s="472"/>
    </row>
    <row r="36781" spans="12:13" x14ac:dyDescent="0.25">
      <c r="L36781" s="472"/>
      <c r="M36781" s="472"/>
    </row>
    <row r="36853" spans="12:13" x14ac:dyDescent="0.25">
      <c r="L36853" s="472"/>
      <c r="M36853" s="472"/>
    </row>
    <row r="36854" spans="12:13" x14ac:dyDescent="0.25">
      <c r="L36854" s="472"/>
      <c r="M36854" s="472"/>
    </row>
    <row r="36855" spans="12:13" x14ac:dyDescent="0.25">
      <c r="L36855" s="472"/>
      <c r="M36855" s="472"/>
    </row>
    <row r="36927" spans="12:13" x14ac:dyDescent="0.25">
      <c r="L36927" s="472"/>
      <c r="M36927" s="472"/>
    </row>
    <row r="36928" spans="12:13" x14ac:dyDescent="0.25">
      <c r="L36928" s="472"/>
      <c r="M36928" s="472"/>
    </row>
    <row r="36929" spans="12:13" x14ac:dyDescent="0.25">
      <c r="L36929" s="472"/>
      <c r="M36929" s="472"/>
    </row>
    <row r="37001" spans="12:13" x14ac:dyDescent="0.25">
      <c r="L37001" s="472"/>
      <c r="M37001" s="472"/>
    </row>
    <row r="37002" spans="12:13" x14ac:dyDescent="0.25">
      <c r="L37002" s="472"/>
      <c r="M37002" s="472"/>
    </row>
    <row r="37003" spans="12:13" x14ac:dyDescent="0.25">
      <c r="L37003" s="472"/>
      <c r="M37003" s="472"/>
    </row>
    <row r="37075" spans="12:13" x14ac:dyDescent="0.25">
      <c r="L37075" s="472"/>
      <c r="M37075" s="472"/>
    </row>
    <row r="37076" spans="12:13" x14ac:dyDescent="0.25">
      <c r="L37076" s="472"/>
      <c r="M37076" s="472"/>
    </row>
    <row r="37077" spans="12:13" x14ac:dyDescent="0.25">
      <c r="L37077" s="472"/>
      <c r="M37077" s="472"/>
    </row>
    <row r="37149" spans="12:13" x14ac:dyDescent="0.25">
      <c r="L37149" s="472"/>
      <c r="M37149" s="472"/>
    </row>
    <row r="37150" spans="12:13" x14ac:dyDescent="0.25">
      <c r="L37150" s="472"/>
      <c r="M37150" s="472"/>
    </row>
    <row r="37151" spans="12:13" x14ac:dyDescent="0.25">
      <c r="L37151" s="472"/>
      <c r="M37151" s="472"/>
    </row>
    <row r="37223" spans="12:13" x14ac:dyDescent="0.25">
      <c r="L37223" s="472"/>
      <c r="M37223" s="472"/>
    </row>
    <row r="37224" spans="12:13" x14ac:dyDescent="0.25">
      <c r="L37224" s="472"/>
      <c r="M37224" s="472"/>
    </row>
    <row r="37225" spans="12:13" x14ac:dyDescent="0.25">
      <c r="L37225" s="472"/>
      <c r="M37225" s="472"/>
    </row>
    <row r="37297" spans="12:13" x14ac:dyDescent="0.25">
      <c r="L37297" s="472"/>
      <c r="M37297" s="472"/>
    </row>
    <row r="37298" spans="12:13" x14ac:dyDescent="0.25">
      <c r="L37298" s="472"/>
      <c r="M37298" s="472"/>
    </row>
    <row r="37299" spans="12:13" x14ac:dyDescent="0.25">
      <c r="L37299" s="472"/>
      <c r="M37299" s="472"/>
    </row>
    <row r="37371" spans="12:13" x14ac:dyDescent="0.25">
      <c r="L37371" s="472"/>
      <c r="M37371" s="472"/>
    </row>
    <row r="37372" spans="12:13" x14ac:dyDescent="0.25">
      <c r="L37372" s="472"/>
      <c r="M37372" s="472"/>
    </row>
    <row r="37373" spans="12:13" x14ac:dyDescent="0.25">
      <c r="L37373" s="472"/>
      <c r="M37373" s="472"/>
    </row>
    <row r="37445" spans="12:13" x14ac:dyDescent="0.25">
      <c r="L37445" s="472"/>
      <c r="M37445" s="472"/>
    </row>
    <row r="37446" spans="12:13" x14ac:dyDescent="0.25">
      <c r="L37446" s="472"/>
      <c r="M37446" s="472"/>
    </row>
    <row r="37447" spans="12:13" x14ac:dyDescent="0.25">
      <c r="L37447" s="472"/>
      <c r="M37447" s="472"/>
    </row>
    <row r="37519" spans="12:13" x14ac:dyDescent="0.25">
      <c r="L37519" s="472"/>
      <c r="M37519" s="472"/>
    </row>
    <row r="37520" spans="12:13" x14ac:dyDescent="0.25">
      <c r="L37520" s="472"/>
      <c r="M37520" s="472"/>
    </row>
    <row r="37521" spans="12:13" x14ac:dyDescent="0.25">
      <c r="L37521" s="472"/>
      <c r="M37521" s="472"/>
    </row>
    <row r="37593" spans="12:13" x14ac:dyDescent="0.25">
      <c r="L37593" s="472"/>
      <c r="M37593" s="472"/>
    </row>
    <row r="37594" spans="12:13" x14ac:dyDescent="0.25">
      <c r="L37594" s="472"/>
      <c r="M37594" s="472"/>
    </row>
    <row r="37595" spans="12:13" x14ac:dyDescent="0.25">
      <c r="L37595" s="472"/>
      <c r="M37595" s="472"/>
    </row>
    <row r="37667" spans="12:13" x14ac:dyDescent="0.25">
      <c r="L37667" s="472"/>
      <c r="M37667" s="472"/>
    </row>
    <row r="37668" spans="12:13" x14ac:dyDescent="0.25">
      <c r="L37668" s="472"/>
      <c r="M37668" s="472"/>
    </row>
    <row r="37669" spans="12:13" x14ac:dyDescent="0.25">
      <c r="L37669" s="472"/>
      <c r="M37669" s="472"/>
    </row>
    <row r="37741" spans="12:13" x14ac:dyDescent="0.25">
      <c r="L37741" s="472"/>
      <c r="M37741" s="472"/>
    </row>
    <row r="37742" spans="12:13" x14ac:dyDescent="0.25">
      <c r="L37742" s="472"/>
      <c r="M37742" s="472"/>
    </row>
    <row r="37743" spans="12:13" x14ac:dyDescent="0.25">
      <c r="L37743" s="472"/>
      <c r="M37743" s="472"/>
    </row>
    <row r="37815" spans="12:13" x14ac:dyDescent="0.25">
      <c r="L37815" s="472"/>
      <c r="M37815" s="472"/>
    </row>
    <row r="37816" spans="12:13" x14ac:dyDescent="0.25">
      <c r="L37816" s="472"/>
      <c r="M37816" s="472"/>
    </row>
    <row r="37817" spans="12:13" x14ac:dyDescent="0.25">
      <c r="L37817" s="472"/>
      <c r="M37817" s="472"/>
    </row>
    <row r="37889" spans="12:13" x14ac:dyDescent="0.25">
      <c r="L37889" s="472"/>
      <c r="M37889" s="472"/>
    </row>
    <row r="37890" spans="12:13" x14ac:dyDescent="0.25">
      <c r="L37890" s="472"/>
      <c r="M37890" s="472"/>
    </row>
    <row r="37891" spans="12:13" x14ac:dyDescent="0.25">
      <c r="L37891" s="472"/>
      <c r="M37891" s="472"/>
    </row>
    <row r="37963" spans="12:13" x14ac:dyDescent="0.25">
      <c r="L37963" s="472"/>
      <c r="M37963" s="472"/>
    </row>
    <row r="37964" spans="12:13" x14ac:dyDescent="0.25">
      <c r="L37964" s="472"/>
      <c r="M37964" s="472"/>
    </row>
    <row r="37965" spans="12:13" x14ac:dyDescent="0.25">
      <c r="L37965" s="472"/>
      <c r="M37965" s="472"/>
    </row>
    <row r="38037" spans="12:13" x14ac:dyDescent="0.25">
      <c r="L38037" s="472"/>
      <c r="M38037" s="472"/>
    </row>
    <row r="38038" spans="12:13" x14ac:dyDescent="0.25">
      <c r="L38038" s="472"/>
      <c r="M38038" s="472"/>
    </row>
    <row r="38039" spans="12:13" x14ac:dyDescent="0.25">
      <c r="L38039" s="472"/>
      <c r="M38039" s="472"/>
    </row>
    <row r="38111" spans="12:13" x14ac:dyDescent="0.25">
      <c r="L38111" s="472"/>
      <c r="M38111" s="472"/>
    </row>
    <row r="38112" spans="12:13" x14ac:dyDescent="0.25">
      <c r="L38112" s="472"/>
      <c r="M38112" s="472"/>
    </row>
    <row r="38113" spans="12:13" x14ac:dyDescent="0.25">
      <c r="L38113" s="472"/>
      <c r="M38113" s="472"/>
    </row>
    <row r="38185" spans="12:13" x14ac:dyDescent="0.25">
      <c r="L38185" s="472"/>
      <c r="M38185" s="472"/>
    </row>
    <row r="38186" spans="12:13" x14ac:dyDescent="0.25">
      <c r="L38186" s="472"/>
      <c r="M38186" s="472"/>
    </row>
    <row r="38187" spans="12:13" x14ac:dyDescent="0.25">
      <c r="L38187" s="472"/>
      <c r="M38187" s="472"/>
    </row>
    <row r="38259" spans="12:13" x14ac:dyDescent="0.25">
      <c r="L38259" s="472"/>
      <c r="M38259" s="472"/>
    </row>
    <row r="38260" spans="12:13" x14ac:dyDescent="0.25">
      <c r="L38260" s="472"/>
      <c r="M38260" s="472"/>
    </row>
    <row r="38261" spans="12:13" x14ac:dyDescent="0.25">
      <c r="L38261" s="472"/>
      <c r="M38261" s="472"/>
    </row>
    <row r="38333" spans="12:13" x14ac:dyDescent="0.25">
      <c r="L38333" s="472"/>
      <c r="M38333" s="472"/>
    </row>
    <row r="38334" spans="12:13" x14ac:dyDescent="0.25">
      <c r="L38334" s="472"/>
      <c r="M38334" s="472"/>
    </row>
    <row r="38335" spans="12:13" x14ac:dyDescent="0.25">
      <c r="L38335" s="472"/>
      <c r="M38335" s="472"/>
    </row>
    <row r="38407" spans="12:13" x14ac:dyDescent="0.25">
      <c r="L38407" s="472"/>
      <c r="M38407" s="472"/>
    </row>
    <row r="38408" spans="12:13" x14ac:dyDescent="0.25">
      <c r="L38408" s="472"/>
      <c r="M38408" s="472"/>
    </row>
    <row r="38409" spans="12:13" x14ac:dyDescent="0.25">
      <c r="L38409" s="472"/>
      <c r="M38409" s="472"/>
    </row>
    <row r="38481" spans="12:13" x14ac:dyDescent="0.25">
      <c r="L38481" s="472"/>
      <c r="M38481" s="472"/>
    </row>
    <row r="38482" spans="12:13" x14ac:dyDescent="0.25">
      <c r="L38482" s="472"/>
      <c r="M38482" s="472"/>
    </row>
    <row r="38483" spans="12:13" x14ac:dyDescent="0.25">
      <c r="L38483" s="472"/>
      <c r="M38483" s="472"/>
    </row>
    <row r="38555" spans="12:13" x14ac:dyDescent="0.25">
      <c r="L38555" s="472"/>
      <c r="M38555" s="472"/>
    </row>
    <row r="38556" spans="12:13" x14ac:dyDescent="0.25">
      <c r="L38556" s="472"/>
      <c r="M38556" s="472"/>
    </row>
    <row r="38557" spans="12:13" x14ac:dyDescent="0.25">
      <c r="L38557" s="472"/>
      <c r="M38557" s="472"/>
    </row>
    <row r="38629" spans="12:13" x14ac:dyDescent="0.25">
      <c r="L38629" s="472"/>
      <c r="M38629" s="472"/>
    </row>
    <row r="38630" spans="12:13" x14ac:dyDescent="0.25">
      <c r="L38630" s="472"/>
      <c r="M38630" s="472"/>
    </row>
    <row r="38631" spans="12:13" x14ac:dyDescent="0.25">
      <c r="L38631" s="472"/>
      <c r="M38631" s="472"/>
    </row>
    <row r="38703" spans="12:13" x14ac:dyDescent="0.25">
      <c r="L38703" s="472"/>
      <c r="M38703" s="472"/>
    </row>
    <row r="38704" spans="12:13" x14ac:dyDescent="0.25">
      <c r="L38704" s="472"/>
      <c r="M38704" s="472"/>
    </row>
    <row r="38705" spans="12:13" x14ac:dyDescent="0.25">
      <c r="L38705" s="472"/>
      <c r="M38705" s="472"/>
    </row>
    <row r="38777" spans="12:13" x14ac:dyDescent="0.25">
      <c r="L38777" s="472"/>
      <c r="M38777" s="472"/>
    </row>
    <row r="38778" spans="12:13" x14ac:dyDescent="0.25">
      <c r="L38778" s="472"/>
      <c r="M38778" s="472"/>
    </row>
    <row r="38779" spans="12:13" x14ac:dyDescent="0.25">
      <c r="L38779" s="472"/>
      <c r="M38779" s="472"/>
    </row>
    <row r="38851" spans="12:13" x14ac:dyDescent="0.25">
      <c r="L38851" s="472"/>
      <c r="M38851" s="472"/>
    </row>
    <row r="38852" spans="12:13" x14ac:dyDescent="0.25">
      <c r="L38852" s="472"/>
      <c r="M38852" s="472"/>
    </row>
    <row r="38853" spans="12:13" x14ac:dyDescent="0.25">
      <c r="L38853" s="472"/>
      <c r="M38853" s="472"/>
    </row>
    <row r="38925" spans="12:13" x14ac:dyDescent="0.25">
      <c r="L38925" s="472"/>
      <c r="M38925" s="472"/>
    </row>
    <row r="38926" spans="12:13" x14ac:dyDescent="0.25">
      <c r="L38926" s="472"/>
      <c r="M38926" s="472"/>
    </row>
    <row r="38927" spans="12:13" x14ac:dyDescent="0.25">
      <c r="L38927" s="472"/>
      <c r="M38927" s="472"/>
    </row>
    <row r="38999" spans="12:13" x14ac:dyDescent="0.25">
      <c r="L38999" s="472"/>
      <c r="M38999" s="472"/>
    </row>
    <row r="39000" spans="12:13" x14ac:dyDescent="0.25">
      <c r="L39000" s="472"/>
      <c r="M39000" s="472"/>
    </row>
    <row r="39001" spans="12:13" x14ac:dyDescent="0.25">
      <c r="L39001" s="472"/>
      <c r="M39001" s="472"/>
    </row>
    <row r="39073" spans="12:13" x14ac:dyDescent="0.25">
      <c r="L39073" s="472"/>
      <c r="M39073" s="472"/>
    </row>
    <row r="39074" spans="12:13" x14ac:dyDescent="0.25">
      <c r="L39074" s="472"/>
      <c r="M39074" s="472"/>
    </row>
    <row r="39075" spans="12:13" x14ac:dyDescent="0.25">
      <c r="L39075" s="472"/>
      <c r="M39075" s="472"/>
    </row>
    <row r="39147" spans="12:13" x14ac:dyDescent="0.25">
      <c r="L39147" s="472"/>
      <c r="M39147" s="472"/>
    </row>
    <row r="39148" spans="12:13" x14ac:dyDescent="0.25">
      <c r="L39148" s="472"/>
      <c r="M39148" s="472"/>
    </row>
    <row r="39149" spans="12:13" x14ac:dyDescent="0.25">
      <c r="L39149" s="472"/>
      <c r="M39149" s="472"/>
    </row>
    <row r="39221" spans="12:13" x14ac:dyDescent="0.25">
      <c r="L39221" s="472"/>
      <c r="M39221" s="472"/>
    </row>
    <row r="39222" spans="12:13" x14ac:dyDescent="0.25">
      <c r="L39222" s="472"/>
      <c r="M39222" s="472"/>
    </row>
    <row r="39223" spans="12:13" x14ac:dyDescent="0.25">
      <c r="L39223" s="472"/>
      <c r="M39223" s="472"/>
    </row>
    <row r="39295" spans="12:13" x14ac:dyDescent="0.25">
      <c r="L39295" s="472"/>
      <c r="M39295" s="472"/>
    </row>
    <row r="39296" spans="12:13" x14ac:dyDescent="0.25">
      <c r="L39296" s="472"/>
      <c r="M39296" s="472"/>
    </row>
    <row r="39297" spans="12:13" x14ac:dyDescent="0.25">
      <c r="L39297" s="472"/>
      <c r="M39297" s="472"/>
    </row>
    <row r="39369" spans="12:13" x14ac:dyDescent="0.25">
      <c r="L39369" s="472"/>
      <c r="M39369" s="472"/>
    </row>
    <row r="39370" spans="12:13" x14ac:dyDescent="0.25">
      <c r="L39370" s="472"/>
      <c r="M39370" s="472"/>
    </row>
    <row r="39371" spans="12:13" x14ac:dyDescent="0.25">
      <c r="L39371" s="472"/>
      <c r="M39371" s="472"/>
    </row>
    <row r="39443" spans="12:13" x14ac:dyDescent="0.25">
      <c r="L39443" s="472"/>
      <c r="M39443" s="472"/>
    </row>
    <row r="39444" spans="12:13" x14ac:dyDescent="0.25">
      <c r="L39444" s="472"/>
      <c r="M39444" s="472"/>
    </row>
    <row r="39445" spans="12:13" x14ac:dyDescent="0.25">
      <c r="L39445" s="472"/>
      <c r="M39445" s="472"/>
    </row>
    <row r="39517" spans="12:13" x14ac:dyDescent="0.25">
      <c r="L39517" s="472"/>
      <c r="M39517" s="472"/>
    </row>
    <row r="39518" spans="12:13" x14ac:dyDescent="0.25">
      <c r="L39518" s="472"/>
      <c r="M39518" s="472"/>
    </row>
    <row r="39519" spans="12:13" x14ac:dyDescent="0.25">
      <c r="L39519" s="472"/>
      <c r="M39519" s="472"/>
    </row>
    <row r="39591" spans="12:13" x14ac:dyDescent="0.25">
      <c r="L39591" s="472"/>
      <c r="M39591" s="472"/>
    </row>
    <row r="39592" spans="12:13" x14ac:dyDescent="0.25">
      <c r="L39592" s="472"/>
      <c r="M39592" s="472"/>
    </row>
    <row r="39593" spans="12:13" x14ac:dyDescent="0.25">
      <c r="L39593" s="472"/>
      <c r="M39593" s="472"/>
    </row>
    <row r="39665" spans="12:13" x14ac:dyDescent="0.25">
      <c r="L39665" s="472"/>
      <c r="M39665" s="472"/>
    </row>
    <row r="39666" spans="12:13" x14ac:dyDescent="0.25">
      <c r="L39666" s="472"/>
      <c r="M39666" s="472"/>
    </row>
    <row r="39667" spans="12:13" x14ac:dyDescent="0.25">
      <c r="L39667" s="472"/>
      <c r="M39667" s="472"/>
    </row>
    <row r="39739" spans="12:13" x14ac:dyDescent="0.25">
      <c r="L39739" s="472"/>
      <c r="M39739" s="472"/>
    </row>
    <row r="39740" spans="12:13" x14ac:dyDescent="0.25">
      <c r="L39740" s="472"/>
      <c r="M39740" s="472"/>
    </row>
    <row r="39741" spans="12:13" x14ac:dyDescent="0.25">
      <c r="L39741" s="472"/>
      <c r="M39741" s="472"/>
    </row>
    <row r="39813" spans="12:13" x14ac:dyDescent="0.25">
      <c r="L39813" s="472"/>
      <c r="M39813" s="472"/>
    </row>
    <row r="39814" spans="12:13" x14ac:dyDescent="0.25">
      <c r="L39814" s="472"/>
      <c r="M39814" s="472"/>
    </row>
    <row r="39815" spans="12:13" x14ac:dyDescent="0.25">
      <c r="L39815" s="472"/>
      <c r="M39815" s="472"/>
    </row>
    <row r="39887" spans="12:13" x14ac:dyDescent="0.25">
      <c r="L39887" s="472"/>
      <c r="M39887" s="472"/>
    </row>
    <row r="39888" spans="12:13" x14ac:dyDescent="0.25">
      <c r="L39888" s="472"/>
      <c r="M39888" s="472"/>
    </row>
    <row r="39889" spans="12:13" x14ac:dyDescent="0.25">
      <c r="L39889" s="472"/>
      <c r="M39889" s="472"/>
    </row>
    <row r="39961" spans="12:13" x14ac:dyDescent="0.25">
      <c r="L39961" s="472"/>
      <c r="M39961" s="472"/>
    </row>
    <row r="39962" spans="12:13" x14ac:dyDescent="0.25">
      <c r="L39962" s="472"/>
      <c r="M39962" s="472"/>
    </row>
    <row r="39963" spans="12:13" x14ac:dyDescent="0.25">
      <c r="L39963" s="472"/>
      <c r="M39963" s="472"/>
    </row>
    <row r="40035" spans="12:13" x14ac:dyDescent="0.25">
      <c r="L40035" s="472"/>
      <c r="M40035" s="472"/>
    </row>
    <row r="40036" spans="12:13" x14ac:dyDescent="0.25">
      <c r="L40036" s="472"/>
      <c r="M40036" s="472"/>
    </row>
    <row r="40037" spans="12:13" x14ac:dyDescent="0.25">
      <c r="L40037" s="472"/>
      <c r="M40037" s="472"/>
    </row>
    <row r="40109" spans="12:13" x14ac:dyDescent="0.25">
      <c r="L40109" s="472"/>
      <c r="M40109" s="472"/>
    </row>
    <row r="40110" spans="12:13" x14ac:dyDescent="0.25">
      <c r="L40110" s="472"/>
      <c r="M40110" s="472"/>
    </row>
    <row r="40111" spans="12:13" x14ac:dyDescent="0.25">
      <c r="L40111" s="472"/>
      <c r="M40111" s="472"/>
    </row>
    <row r="40183" spans="12:13" x14ac:dyDescent="0.25">
      <c r="L40183" s="472"/>
      <c r="M40183" s="472"/>
    </row>
    <row r="40184" spans="12:13" x14ac:dyDescent="0.25">
      <c r="L40184" s="472"/>
      <c r="M40184" s="472"/>
    </row>
    <row r="40185" spans="12:13" x14ac:dyDescent="0.25">
      <c r="L40185" s="472"/>
      <c r="M40185" s="472"/>
    </row>
    <row r="40257" spans="12:13" x14ac:dyDescent="0.25">
      <c r="L40257" s="472"/>
      <c r="M40257" s="472"/>
    </row>
    <row r="40258" spans="12:13" x14ac:dyDescent="0.25">
      <c r="L40258" s="472"/>
      <c r="M40258" s="472"/>
    </row>
    <row r="40259" spans="12:13" x14ac:dyDescent="0.25">
      <c r="L40259" s="472"/>
      <c r="M40259" s="472"/>
    </row>
    <row r="40331" spans="12:13" x14ac:dyDescent="0.25">
      <c r="L40331" s="472"/>
      <c r="M40331" s="472"/>
    </row>
    <row r="40332" spans="12:13" x14ac:dyDescent="0.25">
      <c r="L40332" s="472"/>
      <c r="M40332" s="472"/>
    </row>
    <row r="40333" spans="12:13" x14ac:dyDescent="0.25">
      <c r="L40333" s="472"/>
      <c r="M40333" s="472"/>
    </row>
    <row r="40405" spans="12:13" x14ac:dyDescent="0.25">
      <c r="L40405" s="472"/>
      <c r="M40405" s="472"/>
    </row>
    <row r="40406" spans="12:13" x14ac:dyDescent="0.25">
      <c r="L40406" s="472"/>
      <c r="M40406" s="472"/>
    </row>
    <row r="40407" spans="12:13" x14ac:dyDescent="0.25">
      <c r="L40407" s="472"/>
      <c r="M40407" s="472"/>
    </row>
    <row r="40479" spans="12:13" x14ac:dyDescent="0.25">
      <c r="L40479" s="472"/>
      <c r="M40479" s="472"/>
    </row>
    <row r="40480" spans="12:13" x14ac:dyDescent="0.25">
      <c r="L40480" s="472"/>
      <c r="M40480" s="472"/>
    </row>
    <row r="40481" spans="12:13" x14ac:dyDescent="0.25">
      <c r="L40481" s="472"/>
      <c r="M40481" s="472"/>
    </row>
    <row r="40553" spans="12:13" x14ac:dyDescent="0.25">
      <c r="L40553" s="472"/>
      <c r="M40553" s="472"/>
    </row>
    <row r="40554" spans="12:13" x14ac:dyDescent="0.25">
      <c r="L40554" s="472"/>
      <c r="M40554" s="472"/>
    </row>
    <row r="40555" spans="12:13" x14ac:dyDescent="0.25">
      <c r="L40555" s="472"/>
      <c r="M40555" s="472"/>
    </row>
    <row r="40627" spans="12:13" x14ac:dyDescent="0.25">
      <c r="L40627" s="472"/>
      <c r="M40627" s="472"/>
    </row>
    <row r="40628" spans="12:13" x14ac:dyDescent="0.25">
      <c r="L40628" s="472"/>
      <c r="M40628" s="472"/>
    </row>
    <row r="40629" spans="12:13" x14ac:dyDescent="0.25">
      <c r="L40629" s="472"/>
      <c r="M40629" s="472"/>
    </row>
    <row r="40701" spans="12:13" x14ac:dyDescent="0.25">
      <c r="L40701" s="472"/>
      <c r="M40701" s="472"/>
    </row>
    <row r="40702" spans="12:13" x14ac:dyDescent="0.25">
      <c r="L40702" s="472"/>
      <c r="M40702" s="472"/>
    </row>
    <row r="40703" spans="12:13" x14ac:dyDescent="0.25">
      <c r="L40703" s="472"/>
      <c r="M40703" s="472"/>
    </row>
    <row r="40775" spans="12:13" x14ac:dyDescent="0.25">
      <c r="L40775" s="472"/>
      <c r="M40775" s="472"/>
    </row>
    <row r="40776" spans="12:13" x14ac:dyDescent="0.25">
      <c r="L40776" s="472"/>
      <c r="M40776" s="472"/>
    </row>
    <row r="40777" spans="12:13" x14ac:dyDescent="0.25">
      <c r="L40777" s="472"/>
      <c r="M40777" s="472"/>
    </row>
    <row r="40849" spans="12:13" x14ac:dyDescent="0.25">
      <c r="L40849" s="472"/>
      <c r="M40849" s="472"/>
    </row>
    <row r="40850" spans="12:13" x14ac:dyDescent="0.25">
      <c r="L40850" s="472"/>
      <c r="M40850" s="472"/>
    </row>
    <row r="40851" spans="12:13" x14ac:dyDescent="0.25">
      <c r="L40851" s="472"/>
      <c r="M40851" s="472"/>
    </row>
    <row r="40923" spans="12:13" x14ac:dyDescent="0.25">
      <c r="L40923" s="472"/>
      <c r="M40923" s="472"/>
    </row>
    <row r="40924" spans="12:13" x14ac:dyDescent="0.25">
      <c r="L40924" s="472"/>
      <c r="M40924" s="472"/>
    </row>
    <row r="40925" spans="12:13" x14ac:dyDescent="0.25">
      <c r="L40925" s="472"/>
      <c r="M40925" s="472"/>
    </row>
    <row r="40997" spans="12:13" x14ac:dyDescent="0.25">
      <c r="L40997" s="472"/>
      <c r="M40997" s="472"/>
    </row>
    <row r="40998" spans="12:13" x14ac:dyDescent="0.25">
      <c r="L40998" s="472"/>
      <c r="M40998" s="472"/>
    </row>
    <row r="40999" spans="12:13" x14ac:dyDescent="0.25">
      <c r="L40999" s="472"/>
      <c r="M40999" s="472"/>
    </row>
    <row r="41071" spans="12:13" x14ac:dyDescent="0.25">
      <c r="L41071" s="472"/>
      <c r="M41071" s="472"/>
    </row>
    <row r="41072" spans="12:13" x14ac:dyDescent="0.25">
      <c r="L41072" s="472"/>
      <c r="M41072" s="472"/>
    </row>
    <row r="41073" spans="12:13" x14ac:dyDescent="0.25">
      <c r="L41073" s="472"/>
      <c r="M41073" s="472"/>
    </row>
    <row r="41145" spans="12:13" x14ac:dyDescent="0.25">
      <c r="L41145" s="472"/>
      <c r="M41145" s="472"/>
    </row>
    <row r="41146" spans="12:13" x14ac:dyDescent="0.25">
      <c r="L41146" s="472"/>
      <c r="M41146" s="472"/>
    </row>
    <row r="41147" spans="12:13" x14ac:dyDescent="0.25">
      <c r="L41147" s="472"/>
      <c r="M41147" s="472"/>
    </row>
    <row r="41219" spans="12:13" x14ac:dyDescent="0.25">
      <c r="L41219" s="472"/>
      <c r="M41219" s="472"/>
    </row>
    <row r="41220" spans="12:13" x14ac:dyDescent="0.25">
      <c r="L41220" s="472"/>
      <c r="M41220" s="472"/>
    </row>
    <row r="41221" spans="12:13" x14ac:dyDescent="0.25">
      <c r="L41221" s="472"/>
      <c r="M41221" s="472"/>
    </row>
    <row r="41293" spans="12:13" x14ac:dyDescent="0.25">
      <c r="L41293" s="472"/>
      <c r="M41293" s="472"/>
    </row>
    <row r="41294" spans="12:13" x14ac:dyDescent="0.25">
      <c r="L41294" s="472"/>
      <c r="M41294" s="472"/>
    </row>
    <row r="41295" spans="12:13" x14ac:dyDescent="0.25">
      <c r="L41295" s="472"/>
      <c r="M41295" s="472"/>
    </row>
    <row r="41367" spans="12:13" x14ac:dyDescent="0.25">
      <c r="L41367" s="472"/>
      <c r="M41367" s="472"/>
    </row>
    <row r="41368" spans="12:13" x14ac:dyDescent="0.25">
      <c r="L41368" s="472"/>
      <c r="M41368" s="472"/>
    </row>
    <row r="41369" spans="12:13" x14ac:dyDescent="0.25">
      <c r="L41369" s="472"/>
      <c r="M41369" s="472"/>
    </row>
    <row r="41441" spans="12:13" x14ac:dyDescent="0.25">
      <c r="L41441" s="472"/>
      <c r="M41441" s="472"/>
    </row>
    <row r="41442" spans="12:13" x14ac:dyDescent="0.25">
      <c r="L41442" s="472"/>
      <c r="M41442" s="472"/>
    </row>
    <row r="41443" spans="12:13" x14ac:dyDescent="0.25">
      <c r="L41443" s="472"/>
      <c r="M41443" s="472"/>
    </row>
    <row r="41515" spans="12:13" x14ac:dyDescent="0.25">
      <c r="L41515" s="472"/>
      <c r="M41515" s="472"/>
    </row>
    <row r="41516" spans="12:13" x14ac:dyDescent="0.25">
      <c r="L41516" s="472"/>
      <c r="M41516" s="472"/>
    </row>
    <row r="41517" spans="12:13" x14ac:dyDescent="0.25">
      <c r="L41517" s="472"/>
      <c r="M41517" s="472"/>
    </row>
    <row r="41589" spans="12:13" x14ac:dyDescent="0.25">
      <c r="L41589" s="472"/>
      <c r="M41589" s="472"/>
    </row>
    <row r="41590" spans="12:13" x14ac:dyDescent="0.25">
      <c r="L41590" s="472"/>
      <c r="M41590" s="472"/>
    </row>
    <row r="41591" spans="12:13" x14ac:dyDescent="0.25">
      <c r="L41591" s="472"/>
      <c r="M41591" s="472"/>
    </row>
    <row r="41663" spans="12:13" x14ac:dyDescent="0.25">
      <c r="L41663" s="472"/>
      <c r="M41663" s="472"/>
    </row>
    <row r="41664" spans="12:13" x14ac:dyDescent="0.25">
      <c r="L41664" s="472"/>
      <c r="M41664" s="472"/>
    </row>
    <row r="41665" spans="12:13" x14ac:dyDescent="0.25">
      <c r="L41665" s="472"/>
      <c r="M41665" s="472"/>
    </row>
    <row r="41737" spans="12:13" x14ac:dyDescent="0.25">
      <c r="L41737" s="472"/>
      <c r="M41737" s="472"/>
    </row>
    <row r="41738" spans="12:13" x14ac:dyDescent="0.25">
      <c r="L41738" s="472"/>
      <c r="M41738" s="472"/>
    </row>
    <row r="41739" spans="12:13" x14ac:dyDescent="0.25">
      <c r="L41739" s="472"/>
      <c r="M41739" s="472"/>
    </row>
    <row r="41811" spans="12:13" x14ac:dyDescent="0.25">
      <c r="L41811" s="472"/>
      <c r="M41811" s="472"/>
    </row>
    <row r="41812" spans="12:13" x14ac:dyDescent="0.25">
      <c r="L41812" s="472"/>
      <c r="M41812" s="472"/>
    </row>
    <row r="41813" spans="12:13" x14ac:dyDescent="0.25">
      <c r="L41813" s="472"/>
      <c r="M41813" s="472"/>
    </row>
    <row r="41885" spans="12:13" x14ac:dyDescent="0.25">
      <c r="L41885" s="472"/>
      <c r="M41885" s="472"/>
    </row>
    <row r="41886" spans="12:13" x14ac:dyDescent="0.25">
      <c r="L41886" s="472"/>
      <c r="M41886" s="472"/>
    </row>
    <row r="41887" spans="12:13" x14ac:dyDescent="0.25">
      <c r="L41887" s="472"/>
      <c r="M41887" s="472"/>
    </row>
    <row r="41959" spans="12:13" x14ac:dyDescent="0.25">
      <c r="L41959" s="472"/>
      <c r="M41959" s="472"/>
    </row>
    <row r="41960" spans="12:13" x14ac:dyDescent="0.25">
      <c r="L41960" s="472"/>
      <c r="M41960" s="472"/>
    </row>
    <row r="41961" spans="12:13" x14ac:dyDescent="0.25">
      <c r="L41961" s="472"/>
      <c r="M41961" s="472"/>
    </row>
    <row r="42033" spans="12:13" x14ac:dyDescent="0.25">
      <c r="L42033" s="472"/>
      <c r="M42033" s="472"/>
    </row>
    <row r="42034" spans="12:13" x14ac:dyDescent="0.25">
      <c r="L42034" s="472"/>
      <c r="M42034" s="472"/>
    </row>
    <row r="42035" spans="12:13" x14ac:dyDescent="0.25">
      <c r="L42035" s="472"/>
      <c r="M42035" s="472"/>
    </row>
    <row r="42107" spans="12:13" x14ac:dyDescent="0.25">
      <c r="L42107" s="472"/>
      <c r="M42107" s="472"/>
    </row>
    <row r="42108" spans="12:13" x14ac:dyDescent="0.25">
      <c r="L42108" s="472"/>
      <c r="M42108" s="472"/>
    </row>
    <row r="42109" spans="12:13" x14ac:dyDescent="0.25">
      <c r="L42109" s="472"/>
      <c r="M42109" s="472"/>
    </row>
    <row r="42181" spans="12:13" x14ac:dyDescent="0.25">
      <c r="L42181" s="472"/>
      <c r="M42181" s="472"/>
    </row>
    <row r="42182" spans="12:13" x14ac:dyDescent="0.25">
      <c r="L42182" s="472"/>
      <c r="M42182" s="472"/>
    </row>
    <row r="42183" spans="12:13" x14ac:dyDescent="0.25">
      <c r="L42183" s="472"/>
      <c r="M42183" s="472"/>
    </row>
    <row r="42255" spans="12:13" x14ac:dyDescent="0.25">
      <c r="L42255" s="472"/>
      <c r="M42255" s="472"/>
    </row>
    <row r="42256" spans="12:13" x14ac:dyDescent="0.25">
      <c r="L42256" s="472"/>
      <c r="M42256" s="472"/>
    </row>
    <row r="42257" spans="12:13" x14ac:dyDescent="0.25">
      <c r="L42257" s="472"/>
      <c r="M42257" s="472"/>
    </row>
    <row r="42329" spans="12:13" x14ac:dyDescent="0.25">
      <c r="L42329" s="472"/>
      <c r="M42329" s="472"/>
    </row>
    <row r="42330" spans="12:13" x14ac:dyDescent="0.25">
      <c r="L42330" s="472"/>
      <c r="M42330" s="472"/>
    </row>
    <row r="42331" spans="12:13" x14ac:dyDescent="0.25">
      <c r="L42331" s="472"/>
      <c r="M42331" s="472"/>
    </row>
    <row r="42403" spans="12:13" x14ac:dyDescent="0.25">
      <c r="L42403" s="472"/>
      <c r="M42403" s="472"/>
    </row>
    <row r="42404" spans="12:13" x14ac:dyDescent="0.25">
      <c r="L42404" s="472"/>
      <c r="M42404" s="472"/>
    </row>
    <row r="42405" spans="12:13" x14ac:dyDescent="0.25">
      <c r="L42405" s="472"/>
      <c r="M42405" s="472"/>
    </row>
    <row r="42477" spans="12:13" x14ac:dyDescent="0.25">
      <c r="L42477" s="472"/>
      <c r="M42477" s="472"/>
    </row>
    <row r="42478" spans="12:13" x14ac:dyDescent="0.25">
      <c r="L42478" s="472"/>
      <c r="M42478" s="472"/>
    </row>
    <row r="42479" spans="12:13" x14ac:dyDescent="0.25">
      <c r="L42479" s="472"/>
      <c r="M42479" s="472"/>
    </row>
    <row r="42551" spans="12:13" x14ac:dyDescent="0.25">
      <c r="L42551" s="472"/>
      <c r="M42551" s="472"/>
    </row>
    <row r="42552" spans="12:13" x14ac:dyDescent="0.25">
      <c r="L42552" s="472"/>
      <c r="M42552" s="472"/>
    </row>
    <row r="42553" spans="12:13" x14ac:dyDescent="0.25">
      <c r="L42553" s="472"/>
      <c r="M42553" s="472"/>
    </row>
    <row r="42625" spans="12:13" x14ac:dyDescent="0.25">
      <c r="L42625" s="472"/>
      <c r="M42625" s="472"/>
    </row>
    <row r="42626" spans="12:13" x14ac:dyDescent="0.25">
      <c r="L42626" s="472"/>
      <c r="M42626" s="472"/>
    </row>
    <row r="42627" spans="12:13" x14ac:dyDescent="0.25">
      <c r="L42627" s="472"/>
      <c r="M42627" s="472"/>
    </row>
    <row r="42699" spans="12:13" x14ac:dyDescent="0.25">
      <c r="L42699" s="472"/>
      <c r="M42699" s="472"/>
    </row>
    <row r="42700" spans="12:13" x14ac:dyDescent="0.25">
      <c r="L42700" s="472"/>
      <c r="M42700" s="472"/>
    </row>
    <row r="42701" spans="12:13" x14ac:dyDescent="0.25">
      <c r="L42701" s="472"/>
      <c r="M42701" s="472"/>
    </row>
    <row r="42773" spans="12:13" x14ac:dyDescent="0.25">
      <c r="L42773" s="472"/>
      <c r="M42773" s="472"/>
    </row>
    <row r="42774" spans="12:13" x14ac:dyDescent="0.25">
      <c r="L42774" s="472"/>
      <c r="M42774" s="472"/>
    </row>
    <row r="42775" spans="12:13" x14ac:dyDescent="0.25">
      <c r="L42775" s="472"/>
      <c r="M42775" s="472"/>
    </row>
    <row r="42847" spans="12:13" x14ac:dyDescent="0.25">
      <c r="L42847" s="472"/>
      <c r="M42847" s="472"/>
    </row>
    <row r="42848" spans="12:13" x14ac:dyDescent="0.25">
      <c r="L42848" s="472"/>
      <c r="M42848" s="472"/>
    </row>
    <row r="42849" spans="12:13" x14ac:dyDescent="0.25">
      <c r="L42849" s="472"/>
      <c r="M42849" s="472"/>
    </row>
    <row r="42921" spans="12:13" x14ac:dyDescent="0.25">
      <c r="L42921" s="472"/>
      <c r="M42921" s="472"/>
    </row>
    <row r="42922" spans="12:13" x14ac:dyDescent="0.25">
      <c r="L42922" s="472"/>
      <c r="M42922" s="472"/>
    </row>
    <row r="42923" spans="12:13" x14ac:dyDescent="0.25">
      <c r="L42923" s="472"/>
      <c r="M42923" s="472"/>
    </row>
    <row r="42995" spans="12:13" x14ac:dyDescent="0.25">
      <c r="L42995" s="472"/>
      <c r="M42995" s="472"/>
    </row>
    <row r="42996" spans="12:13" x14ac:dyDescent="0.25">
      <c r="L42996" s="472"/>
      <c r="M42996" s="472"/>
    </row>
    <row r="42997" spans="12:13" x14ac:dyDescent="0.25">
      <c r="L42997" s="472"/>
      <c r="M42997" s="472"/>
    </row>
    <row r="43069" spans="12:13" x14ac:dyDescent="0.25">
      <c r="L43069" s="472"/>
      <c r="M43069" s="472"/>
    </row>
    <row r="43070" spans="12:13" x14ac:dyDescent="0.25">
      <c r="L43070" s="472"/>
      <c r="M43070" s="472"/>
    </row>
    <row r="43071" spans="12:13" x14ac:dyDescent="0.25">
      <c r="L43071" s="472"/>
      <c r="M43071" s="472"/>
    </row>
    <row r="43143" spans="12:13" x14ac:dyDescent="0.25">
      <c r="L43143" s="472"/>
      <c r="M43143" s="472"/>
    </row>
    <row r="43144" spans="12:13" x14ac:dyDescent="0.25">
      <c r="L43144" s="472"/>
      <c r="M43144" s="472"/>
    </row>
    <row r="43145" spans="12:13" x14ac:dyDescent="0.25">
      <c r="L43145" s="472"/>
      <c r="M43145" s="472"/>
    </row>
    <row r="43217" spans="12:13" x14ac:dyDescent="0.25">
      <c r="L43217" s="472"/>
      <c r="M43217" s="472"/>
    </row>
    <row r="43218" spans="12:13" x14ac:dyDescent="0.25">
      <c r="L43218" s="472"/>
      <c r="M43218" s="472"/>
    </row>
    <row r="43219" spans="12:13" x14ac:dyDescent="0.25">
      <c r="L43219" s="472"/>
      <c r="M43219" s="472"/>
    </row>
    <row r="43291" spans="12:13" x14ac:dyDescent="0.25">
      <c r="L43291" s="472"/>
      <c r="M43291" s="472"/>
    </row>
    <row r="43292" spans="12:13" x14ac:dyDescent="0.25">
      <c r="L43292" s="472"/>
      <c r="M43292" s="472"/>
    </row>
    <row r="43293" spans="12:13" x14ac:dyDescent="0.25">
      <c r="L43293" s="472"/>
      <c r="M43293" s="472"/>
    </row>
    <row r="43365" spans="12:13" x14ac:dyDescent="0.25">
      <c r="L43365" s="472"/>
      <c r="M43365" s="472"/>
    </row>
    <row r="43366" spans="12:13" x14ac:dyDescent="0.25">
      <c r="L43366" s="472"/>
      <c r="M43366" s="472"/>
    </row>
    <row r="43367" spans="12:13" x14ac:dyDescent="0.25">
      <c r="L43367" s="472"/>
      <c r="M43367" s="472"/>
    </row>
    <row r="43439" spans="12:13" x14ac:dyDescent="0.25">
      <c r="L43439" s="472"/>
      <c r="M43439" s="472"/>
    </row>
    <row r="43440" spans="12:13" x14ac:dyDescent="0.25">
      <c r="L43440" s="472"/>
      <c r="M43440" s="472"/>
    </row>
    <row r="43441" spans="12:13" x14ac:dyDescent="0.25">
      <c r="L43441" s="472"/>
      <c r="M43441" s="472"/>
    </row>
    <row r="43513" spans="12:13" x14ac:dyDescent="0.25">
      <c r="L43513" s="472"/>
      <c r="M43513" s="472"/>
    </row>
    <row r="43514" spans="12:13" x14ac:dyDescent="0.25">
      <c r="L43514" s="472"/>
      <c r="M43514" s="472"/>
    </row>
    <row r="43515" spans="12:13" x14ac:dyDescent="0.25">
      <c r="L43515" s="472"/>
      <c r="M43515" s="472"/>
    </row>
    <row r="43587" spans="12:13" x14ac:dyDescent="0.25">
      <c r="L43587" s="472"/>
      <c r="M43587" s="472"/>
    </row>
    <row r="43588" spans="12:13" x14ac:dyDescent="0.25">
      <c r="L43588" s="472"/>
      <c r="M43588" s="472"/>
    </row>
    <row r="43589" spans="12:13" x14ac:dyDescent="0.25">
      <c r="L43589" s="472"/>
      <c r="M43589" s="472"/>
    </row>
    <row r="43661" spans="12:13" x14ac:dyDescent="0.25">
      <c r="L43661" s="472"/>
      <c r="M43661" s="472"/>
    </row>
    <row r="43662" spans="12:13" x14ac:dyDescent="0.25">
      <c r="L43662" s="472"/>
      <c r="M43662" s="472"/>
    </row>
    <row r="43663" spans="12:13" x14ac:dyDescent="0.25">
      <c r="L43663" s="472"/>
      <c r="M43663" s="472"/>
    </row>
    <row r="43735" spans="12:13" x14ac:dyDescent="0.25">
      <c r="L43735" s="472"/>
      <c r="M43735" s="472"/>
    </row>
    <row r="43736" spans="12:13" x14ac:dyDescent="0.25">
      <c r="L43736" s="472"/>
      <c r="M43736" s="472"/>
    </row>
    <row r="43737" spans="12:13" x14ac:dyDescent="0.25">
      <c r="L43737" s="472"/>
      <c r="M43737" s="472"/>
    </row>
    <row r="43809" spans="12:13" x14ac:dyDescent="0.25">
      <c r="L43809" s="472"/>
      <c r="M43809" s="472"/>
    </row>
    <row r="43810" spans="12:13" x14ac:dyDescent="0.25">
      <c r="L43810" s="472"/>
      <c r="M43810" s="472"/>
    </row>
    <row r="43811" spans="12:13" x14ac:dyDescent="0.25">
      <c r="L43811" s="472"/>
      <c r="M43811" s="472"/>
    </row>
    <row r="43883" spans="12:13" x14ac:dyDescent="0.25">
      <c r="L43883" s="472"/>
      <c r="M43883" s="472"/>
    </row>
    <row r="43884" spans="12:13" x14ac:dyDescent="0.25">
      <c r="L43884" s="472"/>
      <c r="M43884" s="472"/>
    </row>
    <row r="43885" spans="12:13" x14ac:dyDescent="0.25">
      <c r="L43885" s="472"/>
      <c r="M43885" s="472"/>
    </row>
    <row r="43957" spans="12:13" x14ac:dyDescent="0.25">
      <c r="L43957" s="472"/>
      <c r="M43957" s="472"/>
    </row>
    <row r="43958" spans="12:13" x14ac:dyDescent="0.25">
      <c r="L43958" s="472"/>
      <c r="M43958" s="472"/>
    </row>
    <row r="43959" spans="12:13" x14ac:dyDescent="0.25">
      <c r="L43959" s="472"/>
      <c r="M43959" s="472"/>
    </row>
    <row r="44031" spans="12:13" x14ac:dyDescent="0.25">
      <c r="L44031" s="472"/>
      <c r="M44031" s="472"/>
    </row>
    <row r="44032" spans="12:13" x14ac:dyDescent="0.25">
      <c r="L44032" s="472"/>
      <c r="M44032" s="472"/>
    </row>
    <row r="44033" spans="12:13" x14ac:dyDescent="0.25">
      <c r="L44033" s="472"/>
      <c r="M44033" s="472"/>
    </row>
    <row r="44105" spans="12:13" x14ac:dyDescent="0.25">
      <c r="L44105" s="472"/>
      <c r="M44105" s="472"/>
    </row>
    <row r="44106" spans="12:13" x14ac:dyDescent="0.25">
      <c r="L44106" s="472"/>
      <c r="M44106" s="472"/>
    </row>
    <row r="44107" spans="12:13" x14ac:dyDescent="0.25">
      <c r="L44107" s="472"/>
      <c r="M44107" s="472"/>
    </row>
    <row r="44179" spans="12:13" x14ac:dyDescent="0.25">
      <c r="L44179" s="472"/>
      <c r="M44179" s="472"/>
    </row>
    <row r="44180" spans="12:13" x14ac:dyDescent="0.25">
      <c r="L44180" s="472"/>
      <c r="M44180" s="472"/>
    </row>
    <row r="44181" spans="12:13" x14ac:dyDescent="0.25">
      <c r="L44181" s="472"/>
      <c r="M44181" s="472"/>
    </row>
    <row r="44253" spans="12:13" x14ac:dyDescent="0.25">
      <c r="L44253" s="472"/>
      <c r="M44253" s="472"/>
    </row>
    <row r="44254" spans="12:13" x14ac:dyDescent="0.25">
      <c r="L44254" s="472"/>
      <c r="M44254" s="472"/>
    </row>
    <row r="44255" spans="12:13" x14ac:dyDescent="0.25">
      <c r="L44255" s="472"/>
      <c r="M44255" s="472"/>
    </row>
    <row r="44327" spans="12:13" x14ac:dyDescent="0.25">
      <c r="L44327" s="472"/>
      <c r="M44327" s="472"/>
    </row>
    <row r="44328" spans="12:13" x14ac:dyDescent="0.25">
      <c r="L44328" s="472"/>
      <c r="M44328" s="472"/>
    </row>
    <row r="44329" spans="12:13" x14ac:dyDescent="0.25">
      <c r="L44329" s="472"/>
      <c r="M44329" s="472"/>
    </row>
    <row r="44401" spans="12:13" x14ac:dyDescent="0.25">
      <c r="L44401" s="472"/>
      <c r="M44401" s="472"/>
    </row>
    <row r="44402" spans="12:13" x14ac:dyDescent="0.25">
      <c r="L44402" s="472"/>
      <c r="M44402" s="472"/>
    </row>
    <row r="44403" spans="12:13" x14ac:dyDescent="0.25">
      <c r="L44403" s="472"/>
      <c r="M44403" s="472"/>
    </row>
    <row r="44475" spans="12:13" x14ac:dyDescent="0.25">
      <c r="L44475" s="472"/>
      <c r="M44475" s="472"/>
    </row>
    <row r="44476" spans="12:13" x14ac:dyDescent="0.25">
      <c r="L44476" s="472"/>
      <c r="M44476" s="472"/>
    </row>
    <row r="44477" spans="12:13" x14ac:dyDescent="0.25">
      <c r="L44477" s="472"/>
      <c r="M44477" s="472"/>
    </row>
    <row r="44549" spans="12:13" x14ac:dyDescent="0.25">
      <c r="L44549" s="472"/>
      <c r="M44549" s="472"/>
    </row>
    <row r="44550" spans="12:13" x14ac:dyDescent="0.25">
      <c r="L44550" s="472"/>
      <c r="M44550" s="472"/>
    </row>
    <row r="44551" spans="12:13" x14ac:dyDescent="0.25">
      <c r="L44551" s="472"/>
      <c r="M44551" s="472"/>
    </row>
    <row r="44623" spans="12:13" x14ac:dyDescent="0.25">
      <c r="L44623" s="472"/>
      <c r="M44623" s="472"/>
    </row>
    <row r="44624" spans="12:13" x14ac:dyDescent="0.25">
      <c r="L44624" s="472"/>
      <c r="M44624" s="472"/>
    </row>
    <row r="44625" spans="12:13" x14ac:dyDescent="0.25">
      <c r="L44625" s="472"/>
      <c r="M44625" s="472"/>
    </row>
    <row r="44697" spans="12:13" x14ac:dyDescent="0.25">
      <c r="L44697" s="472"/>
      <c r="M44697" s="472"/>
    </row>
    <row r="44698" spans="12:13" x14ac:dyDescent="0.25">
      <c r="L44698" s="472"/>
      <c r="M44698" s="472"/>
    </row>
    <row r="44699" spans="12:13" x14ac:dyDescent="0.25">
      <c r="L44699" s="472"/>
      <c r="M44699" s="472"/>
    </row>
    <row r="44771" spans="12:13" x14ac:dyDescent="0.25">
      <c r="L44771" s="472"/>
      <c r="M44771" s="472"/>
    </row>
    <row r="44772" spans="12:13" x14ac:dyDescent="0.25">
      <c r="L44772" s="472"/>
      <c r="M44772" s="472"/>
    </row>
    <row r="44773" spans="12:13" x14ac:dyDescent="0.25">
      <c r="L44773" s="472"/>
      <c r="M44773" s="472"/>
    </row>
    <row r="44845" spans="12:13" x14ac:dyDescent="0.25">
      <c r="L44845" s="472"/>
      <c r="M44845" s="472"/>
    </row>
    <row r="44846" spans="12:13" x14ac:dyDescent="0.25">
      <c r="L44846" s="472"/>
      <c r="M44846" s="472"/>
    </row>
    <row r="44847" spans="12:13" x14ac:dyDescent="0.25">
      <c r="L44847" s="472"/>
      <c r="M44847" s="472"/>
    </row>
    <row r="44919" spans="12:13" x14ac:dyDescent="0.25">
      <c r="L44919" s="472"/>
      <c r="M44919" s="472"/>
    </row>
    <row r="44920" spans="12:13" x14ac:dyDescent="0.25">
      <c r="L44920" s="472"/>
      <c r="M44920" s="472"/>
    </row>
    <row r="44921" spans="12:13" x14ac:dyDescent="0.25">
      <c r="L44921" s="472"/>
      <c r="M44921" s="472"/>
    </row>
    <row r="44993" spans="12:13" x14ac:dyDescent="0.25">
      <c r="L44993" s="472"/>
      <c r="M44993" s="472"/>
    </row>
    <row r="44994" spans="12:13" x14ac:dyDescent="0.25">
      <c r="L44994" s="472"/>
      <c r="M44994" s="472"/>
    </row>
    <row r="44995" spans="12:13" x14ac:dyDescent="0.25">
      <c r="L44995" s="472"/>
      <c r="M44995" s="472"/>
    </row>
    <row r="45067" spans="12:13" x14ac:dyDescent="0.25">
      <c r="L45067" s="472"/>
      <c r="M45067" s="472"/>
    </row>
    <row r="45068" spans="12:13" x14ac:dyDescent="0.25">
      <c r="L45068" s="472"/>
      <c r="M45068" s="472"/>
    </row>
    <row r="45069" spans="12:13" x14ac:dyDescent="0.25">
      <c r="L45069" s="472"/>
      <c r="M45069" s="472"/>
    </row>
    <row r="45141" spans="12:13" x14ac:dyDescent="0.25">
      <c r="L45141" s="472"/>
      <c r="M45141" s="472"/>
    </row>
    <row r="45142" spans="12:13" x14ac:dyDescent="0.25">
      <c r="L45142" s="472"/>
      <c r="M45142" s="472"/>
    </row>
    <row r="45143" spans="12:13" x14ac:dyDescent="0.25">
      <c r="L45143" s="472"/>
      <c r="M45143" s="472"/>
    </row>
    <row r="45215" spans="12:13" x14ac:dyDescent="0.25">
      <c r="L45215" s="472"/>
      <c r="M45215" s="472"/>
    </row>
    <row r="45216" spans="12:13" x14ac:dyDescent="0.25">
      <c r="L45216" s="472"/>
      <c r="M45216" s="472"/>
    </row>
    <row r="45217" spans="12:13" x14ac:dyDescent="0.25">
      <c r="L45217" s="472"/>
      <c r="M45217" s="472"/>
    </row>
    <row r="45289" spans="12:13" x14ac:dyDescent="0.25">
      <c r="L45289" s="472"/>
      <c r="M45289" s="472"/>
    </row>
    <row r="45290" spans="12:13" x14ac:dyDescent="0.25">
      <c r="L45290" s="472"/>
      <c r="M45290" s="472"/>
    </row>
    <row r="45291" spans="12:13" x14ac:dyDescent="0.25">
      <c r="L45291" s="472"/>
      <c r="M45291" s="472"/>
    </row>
    <row r="45363" spans="12:13" x14ac:dyDescent="0.25">
      <c r="L45363" s="472"/>
      <c r="M45363" s="472"/>
    </row>
    <row r="45364" spans="12:13" x14ac:dyDescent="0.25">
      <c r="L45364" s="472"/>
      <c r="M45364" s="472"/>
    </row>
    <row r="45365" spans="12:13" x14ac:dyDescent="0.25">
      <c r="L45365" s="472"/>
      <c r="M45365" s="472"/>
    </row>
    <row r="45437" spans="12:13" x14ac:dyDescent="0.25">
      <c r="L45437" s="472"/>
      <c r="M45437" s="472"/>
    </row>
    <row r="45438" spans="12:13" x14ac:dyDescent="0.25">
      <c r="L45438" s="472"/>
      <c r="M45438" s="472"/>
    </row>
    <row r="45439" spans="12:13" x14ac:dyDescent="0.25">
      <c r="L45439" s="472"/>
      <c r="M45439" s="472"/>
    </row>
    <row r="45511" spans="12:13" x14ac:dyDescent="0.25">
      <c r="L45511" s="472"/>
      <c r="M45511" s="472"/>
    </row>
    <row r="45512" spans="12:13" x14ac:dyDescent="0.25">
      <c r="L45512" s="472"/>
      <c r="M45512" s="472"/>
    </row>
    <row r="45513" spans="12:13" x14ac:dyDescent="0.25">
      <c r="L45513" s="472"/>
      <c r="M45513" s="472"/>
    </row>
    <row r="45585" spans="12:13" x14ac:dyDescent="0.25">
      <c r="L45585" s="472"/>
      <c r="M45585" s="472"/>
    </row>
    <row r="45586" spans="12:13" x14ac:dyDescent="0.25">
      <c r="L45586" s="472"/>
      <c r="M45586" s="472"/>
    </row>
    <row r="45587" spans="12:13" x14ac:dyDescent="0.25">
      <c r="L45587" s="472"/>
      <c r="M45587" s="472"/>
    </row>
    <row r="45659" spans="12:13" x14ac:dyDescent="0.25">
      <c r="L45659" s="472"/>
      <c r="M45659" s="472"/>
    </row>
    <row r="45660" spans="12:13" x14ac:dyDescent="0.25">
      <c r="L45660" s="472"/>
      <c r="M45660" s="472"/>
    </row>
    <row r="45661" spans="12:13" x14ac:dyDescent="0.25">
      <c r="L45661" s="472"/>
      <c r="M45661" s="472"/>
    </row>
    <row r="45733" spans="12:13" x14ac:dyDescent="0.25">
      <c r="L45733" s="472"/>
      <c r="M45733" s="472"/>
    </row>
    <row r="45734" spans="12:13" x14ac:dyDescent="0.25">
      <c r="L45734" s="472"/>
      <c r="M45734" s="472"/>
    </row>
    <row r="45735" spans="12:13" x14ac:dyDescent="0.25">
      <c r="L45735" s="472"/>
      <c r="M45735" s="472"/>
    </row>
    <row r="45807" spans="12:13" x14ac:dyDescent="0.25">
      <c r="L45807" s="472"/>
      <c r="M45807" s="472"/>
    </row>
    <row r="45808" spans="12:13" x14ac:dyDescent="0.25">
      <c r="L45808" s="472"/>
      <c r="M45808" s="472"/>
    </row>
    <row r="45809" spans="12:13" x14ac:dyDescent="0.25">
      <c r="L45809" s="472"/>
      <c r="M45809" s="472"/>
    </row>
    <row r="45881" spans="12:13" x14ac:dyDescent="0.25">
      <c r="L45881" s="472"/>
      <c r="M45881" s="472"/>
    </row>
    <row r="45882" spans="12:13" x14ac:dyDescent="0.25">
      <c r="L45882" s="472"/>
      <c r="M45882" s="472"/>
    </row>
    <row r="45883" spans="12:13" x14ac:dyDescent="0.25">
      <c r="L45883" s="472"/>
      <c r="M45883" s="472"/>
    </row>
    <row r="45955" spans="12:13" x14ac:dyDescent="0.25">
      <c r="L45955" s="472"/>
      <c r="M45955" s="472"/>
    </row>
    <row r="45956" spans="12:13" x14ac:dyDescent="0.25">
      <c r="L45956" s="472"/>
      <c r="M45956" s="472"/>
    </row>
    <row r="45957" spans="12:13" x14ac:dyDescent="0.25">
      <c r="L45957" s="472"/>
      <c r="M45957" s="472"/>
    </row>
    <row r="46029" spans="12:13" x14ac:dyDescent="0.25">
      <c r="L46029" s="472"/>
      <c r="M46029" s="472"/>
    </row>
    <row r="46030" spans="12:13" x14ac:dyDescent="0.25">
      <c r="L46030" s="472"/>
      <c r="M46030" s="472"/>
    </row>
    <row r="46031" spans="12:13" x14ac:dyDescent="0.25">
      <c r="L46031" s="472"/>
      <c r="M46031" s="472"/>
    </row>
    <row r="46103" spans="12:13" x14ac:dyDescent="0.25">
      <c r="L46103" s="472"/>
      <c r="M46103" s="472"/>
    </row>
    <row r="46104" spans="12:13" x14ac:dyDescent="0.25">
      <c r="L46104" s="472"/>
      <c r="M46104" s="472"/>
    </row>
    <row r="46105" spans="12:13" x14ac:dyDescent="0.25">
      <c r="L46105" s="472"/>
      <c r="M46105" s="472"/>
    </row>
    <row r="46177" spans="12:13" x14ac:dyDescent="0.25">
      <c r="L46177" s="472"/>
      <c r="M46177" s="472"/>
    </row>
    <row r="46178" spans="12:13" x14ac:dyDescent="0.25">
      <c r="L46178" s="472"/>
      <c r="M46178" s="472"/>
    </row>
    <row r="46179" spans="12:13" x14ac:dyDescent="0.25">
      <c r="L46179" s="472"/>
      <c r="M46179" s="472"/>
    </row>
    <row r="46251" spans="12:13" x14ac:dyDescent="0.25">
      <c r="L46251" s="472"/>
      <c r="M46251" s="472"/>
    </row>
    <row r="46252" spans="12:13" x14ac:dyDescent="0.25">
      <c r="L46252" s="472"/>
      <c r="M46252" s="472"/>
    </row>
    <row r="46253" spans="12:13" x14ac:dyDescent="0.25">
      <c r="L46253" s="472"/>
      <c r="M46253" s="472"/>
    </row>
    <row r="46325" spans="12:13" x14ac:dyDescent="0.25">
      <c r="L46325" s="472"/>
      <c r="M46325" s="472"/>
    </row>
    <row r="46326" spans="12:13" x14ac:dyDescent="0.25">
      <c r="L46326" s="472"/>
      <c r="M46326" s="472"/>
    </row>
    <row r="46327" spans="12:13" x14ac:dyDescent="0.25">
      <c r="L46327" s="472"/>
      <c r="M46327" s="472"/>
    </row>
    <row r="46399" spans="12:13" x14ac:dyDescent="0.25">
      <c r="L46399" s="472"/>
      <c r="M46399" s="472"/>
    </row>
    <row r="46400" spans="12:13" x14ac:dyDescent="0.25">
      <c r="L46400" s="472"/>
      <c r="M46400" s="472"/>
    </row>
    <row r="46401" spans="12:13" x14ac:dyDescent="0.25">
      <c r="L46401" s="472"/>
      <c r="M46401" s="472"/>
    </row>
    <row r="46473" spans="12:13" x14ac:dyDescent="0.25">
      <c r="L46473" s="472"/>
      <c r="M46473" s="472"/>
    </row>
    <row r="46474" spans="12:13" x14ac:dyDescent="0.25">
      <c r="L46474" s="472"/>
      <c r="M46474" s="472"/>
    </row>
    <row r="46475" spans="12:13" x14ac:dyDescent="0.25">
      <c r="L46475" s="472"/>
      <c r="M46475" s="472"/>
    </row>
    <row r="46547" spans="12:13" x14ac:dyDescent="0.25">
      <c r="L46547" s="472"/>
      <c r="M46547" s="472"/>
    </row>
    <row r="46548" spans="12:13" x14ac:dyDescent="0.25">
      <c r="L46548" s="472"/>
      <c r="M46548" s="472"/>
    </row>
    <row r="46549" spans="12:13" x14ac:dyDescent="0.25">
      <c r="L46549" s="472"/>
      <c r="M46549" s="472"/>
    </row>
    <row r="46621" spans="12:13" x14ac:dyDescent="0.25">
      <c r="L46621" s="472"/>
      <c r="M46621" s="472"/>
    </row>
    <row r="46622" spans="12:13" x14ac:dyDescent="0.25">
      <c r="L46622" s="472"/>
      <c r="M46622" s="472"/>
    </row>
    <row r="46623" spans="12:13" x14ac:dyDescent="0.25">
      <c r="L46623" s="472"/>
      <c r="M46623" s="472"/>
    </row>
    <row r="46695" spans="12:13" x14ac:dyDescent="0.25">
      <c r="L46695" s="472"/>
      <c r="M46695" s="472"/>
    </row>
    <row r="46696" spans="12:13" x14ac:dyDescent="0.25">
      <c r="L46696" s="472"/>
      <c r="M46696" s="472"/>
    </row>
    <row r="46697" spans="12:13" x14ac:dyDescent="0.25">
      <c r="L46697" s="472"/>
      <c r="M46697" s="472"/>
    </row>
    <row r="46769" spans="12:13" x14ac:dyDescent="0.25">
      <c r="L46769" s="472"/>
      <c r="M46769" s="472"/>
    </row>
    <row r="46770" spans="12:13" x14ac:dyDescent="0.25">
      <c r="L46770" s="472"/>
      <c r="M46770" s="472"/>
    </row>
    <row r="46771" spans="12:13" x14ac:dyDescent="0.25">
      <c r="L46771" s="472"/>
      <c r="M46771" s="472"/>
    </row>
    <row r="46843" spans="12:13" x14ac:dyDescent="0.25">
      <c r="L46843" s="472"/>
      <c r="M46843" s="472"/>
    </row>
    <row r="46844" spans="12:13" x14ac:dyDescent="0.25">
      <c r="L46844" s="472"/>
      <c r="M46844" s="472"/>
    </row>
    <row r="46845" spans="12:13" x14ac:dyDescent="0.25">
      <c r="L46845" s="472"/>
      <c r="M46845" s="472"/>
    </row>
    <row r="46917" spans="12:13" x14ac:dyDescent="0.25">
      <c r="L46917" s="472"/>
      <c r="M46917" s="472"/>
    </row>
    <row r="46918" spans="12:13" x14ac:dyDescent="0.25">
      <c r="L46918" s="472"/>
      <c r="M46918" s="472"/>
    </row>
    <row r="46919" spans="12:13" x14ac:dyDescent="0.25">
      <c r="L46919" s="472"/>
      <c r="M46919" s="472"/>
    </row>
    <row r="46991" spans="12:13" x14ac:dyDescent="0.25">
      <c r="L46991" s="472"/>
      <c r="M46991" s="472"/>
    </row>
    <row r="46992" spans="12:13" x14ac:dyDescent="0.25">
      <c r="L46992" s="472"/>
      <c r="M46992" s="472"/>
    </row>
    <row r="46993" spans="12:13" x14ac:dyDescent="0.25">
      <c r="L46993" s="472"/>
      <c r="M46993" s="472"/>
    </row>
    <row r="47065" spans="12:13" x14ac:dyDescent="0.25">
      <c r="L47065" s="472"/>
      <c r="M47065" s="472"/>
    </row>
    <row r="47066" spans="12:13" x14ac:dyDescent="0.25">
      <c r="L47066" s="472"/>
      <c r="M47066" s="472"/>
    </row>
    <row r="47067" spans="12:13" x14ac:dyDescent="0.25">
      <c r="L47067" s="472"/>
      <c r="M47067" s="472"/>
    </row>
    <row r="47139" spans="12:13" x14ac:dyDescent="0.25">
      <c r="L47139" s="472"/>
      <c r="M47139" s="472"/>
    </row>
    <row r="47140" spans="12:13" x14ac:dyDescent="0.25">
      <c r="L47140" s="472"/>
      <c r="M47140" s="472"/>
    </row>
    <row r="47141" spans="12:13" x14ac:dyDescent="0.25">
      <c r="L47141" s="472"/>
      <c r="M47141" s="472"/>
    </row>
    <row r="47213" spans="12:13" x14ac:dyDescent="0.25">
      <c r="L47213" s="472"/>
      <c r="M47213" s="472"/>
    </row>
    <row r="47214" spans="12:13" x14ac:dyDescent="0.25">
      <c r="L47214" s="472"/>
      <c r="M47214" s="472"/>
    </row>
    <row r="47215" spans="12:13" x14ac:dyDescent="0.25">
      <c r="L47215" s="472"/>
      <c r="M47215" s="472"/>
    </row>
    <row r="47287" spans="12:13" x14ac:dyDescent="0.25">
      <c r="L47287" s="472"/>
      <c r="M47287" s="472"/>
    </row>
    <row r="47288" spans="12:13" x14ac:dyDescent="0.25">
      <c r="L47288" s="472"/>
      <c r="M47288" s="472"/>
    </row>
    <row r="47289" spans="12:13" x14ac:dyDescent="0.25">
      <c r="L47289" s="472"/>
      <c r="M47289" s="472"/>
    </row>
    <row r="47361" spans="12:13" x14ac:dyDescent="0.25">
      <c r="L47361" s="472"/>
      <c r="M47361" s="472"/>
    </row>
    <row r="47362" spans="12:13" x14ac:dyDescent="0.25">
      <c r="L47362" s="472"/>
      <c r="M47362" s="472"/>
    </row>
    <row r="47363" spans="12:13" x14ac:dyDescent="0.25">
      <c r="L47363" s="472"/>
      <c r="M47363" s="472"/>
    </row>
    <row r="47435" spans="12:13" x14ac:dyDescent="0.25">
      <c r="L47435" s="472"/>
      <c r="M47435" s="472"/>
    </row>
    <row r="47436" spans="12:13" x14ac:dyDescent="0.25">
      <c r="L47436" s="472"/>
      <c r="M47436" s="472"/>
    </row>
    <row r="47437" spans="12:13" x14ac:dyDescent="0.25">
      <c r="L47437" s="472"/>
      <c r="M47437" s="472"/>
    </row>
    <row r="47509" spans="12:13" x14ac:dyDescent="0.25">
      <c r="L47509" s="472"/>
      <c r="M47509" s="472"/>
    </row>
    <row r="47510" spans="12:13" x14ac:dyDescent="0.25">
      <c r="L47510" s="472"/>
      <c r="M47510" s="472"/>
    </row>
    <row r="47511" spans="12:13" x14ac:dyDescent="0.25">
      <c r="L47511" s="472"/>
      <c r="M47511" s="472"/>
    </row>
    <row r="47583" spans="12:13" x14ac:dyDescent="0.25">
      <c r="L47583" s="472"/>
      <c r="M47583" s="472"/>
    </row>
    <row r="47584" spans="12:13" x14ac:dyDescent="0.25">
      <c r="L47584" s="472"/>
      <c r="M47584" s="472"/>
    </row>
    <row r="47585" spans="12:13" x14ac:dyDescent="0.25">
      <c r="L47585" s="472"/>
      <c r="M47585" s="472"/>
    </row>
    <row r="47657" spans="12:13" x14ac:dyDescent="0.25">
      <c r="L47657" s="472"/>
      <c r="M47657" s="472"/>
    </row>
    <row r="47658" spans="12:13" x14ac:dyDescent="0.25">
      <c r="L47658" s="472"/>
      <c r="M47658" s="472"/>
    </row>
    <row r="47659" spans="12:13" x14ac:dyDescent="0.25">
      <c r="L47659" s="472"/>
      <c r="M47659" s="472"/>
    </row>
    <row r="47731" spans="12:13" x14ac:dyDescent="0.25">
      <c r="L47731" s="472"/>
      <c r="M47731" s="472"/>
    </row>
    <row r="47732" spans="12:13" x14ac:dyDescent="0.25">
      <c r="L47732" s="472"/>
      <c r="M47732" s="472"/>
    </row>
    <row r="47733" spans="12:13" x14ac:dyDescent="0.25">
      <c r="L47733" s="472"/>
      <c r="M47733" s="472"/>
    </row>
    <row r="47805" spans="12:13" x14ac:dyDescent="0.25">
      <c r="L47805" s="472"/>
      <c r="M47805" s="472"/>
    </row>
    <row r="47806" spans="12:13" x14ac:dyDescent="0.25">
      <c r="L47806" s="472"/>
      <c r="M47806" s="472"/>
    </row>
    <row r="47807" spans="12:13" x14ac:dyDescent="0.25">
      <c r="L47807" s="472"/>
      <c r="M47807" s="472"/>
    </row>
    <row r="47879" spans="12:13" x14ac:dyDescent="0.25">
      <c r="L47879" s="472"/>
      <c r="M47879" s="472"/>
    </row>
    <row r="47880" spans="12:13" x14ac:dyDescent="0.25">
      <c r="L47880" s="472"/>
      <c r="M47880" s="472"/>
    </row>
    <row r="47881" spans="12:13" x14ac:dyDescent="0.25">
      <c r="L47881" s="472"/>
      <c r="M47881" s="472"/>
    </row>
    <row r="47953" spans="12:13" x14ac:dyDescent="0.25">
      <c r="L47953" s="472"/>
      <c r="M47953" s="472"/>
    </row>
    <row r="47954" spans="12:13" x14ac:dyDescent="0.25">
      <c r="L47954" s="472"/>
      <c r="M47954" s="472"/>
    </row>
    <row r="47955" spans="12:13" x14ac:dyDescent="0.25">
      <c r="L47955" s="472"/>
      <c r="M47955" s="472"/>
    </row>
    <row r="48027" spans="12:13" x14ac:dyDescent="0.25">
      <c r="L48027" s="472"/>
      <c r="M48027" s="472"/>
    </row>
    <row r="48028" spans="12:13" x14ac:dyDescent="0.25">
      <c r="L48028" s="472"/>
      <c r="M48028" s="472"/>
    </row>
    <row r="48029" spans="12:13" x14ac:dyDescent="0.25">
      <c r="L48029" s="472"/>
      <c r="M48029" s="472"/>
    </row>
    <row r="48101" spans="12:13" x14ac:dyDescent="0.25">
      <c r="L48101" s="472"/>
      <c r="M48101" s="472"/>
    </row>
    <row r="48102" spans="12:13" x14ac:dyDescent="0.25">
      <c r="L48102" s="472"/>
      <c r="M48102" s="472"/>
    </row>
    <row r="48103" spans="12:13" x14ac:dyDescent="0.25">
      <c r="L48103" s="472"/>
      <c r="M48103" s="472"/>
    </row>
    <row r="48175" spans="12:13" x14ac:dyDescent="0.25">
      <c r="L48175" s="472"/>
      <c r="M48175" s="472"/>
    </row>
    <row r="48176" spans="12:13" x14ac:dyDescent="0.25">
      <c r="L48176" s="472"/>
      <c r="M48176" s="472"/>
    </row>
    <row r="48177" spans="12:13" x14ac:dyDescent="0.25">
      <c r="L48177" s="472"/>
      <c r="M48177" s="472"/>
    </row>
    <row r="48249" spans="12:13" x14ac:dyDescent="0.25">
      <c r="L48249" s="472"/>
      <c r="M48249" s="472"/>
    </row>
    <row r="48250" spans="12:13" x14ac:dyDescent="0.25">
      <c r="L48250" s="472"/>
      <c r="M48250" s="472"/>
    </row>
    <row r="48251" spans="12:13" x14ac:dyDescent="0.25">
      <c r="L48251" s="472"/>
      <c r="M48251" s="472"/>
    </row>
    <row r="48323" spans="12:13" x14ac:dyDescent="0.25">
      <c r="L48323" s="472"/>
      <c r="M48323" s="472"/>
    </row>
    <row r="48324" spans="12:13" x14ac:dyDescent="0.25">
      <c r="L48324" s="472"/>
      <c r="M48324" s="472"/>
    </row>
    <row r="48325" spans="12:13" x14ac:dyDescent="0.25">
      <c r="L48325" s="472"/>
      <c r="M48325" s="472"/>
    </row>
    <row r="48397" spans="12:13" x14ac:dyDescent="0.25">
      <c r="L48397" s="472"/>
      <c r="M48397" s="472"/>
    </row>
    <row r="48398" spans="12:13" x14ac:dyDescent="0.25">
      <c r="L48398" s="472"/>
      <c r="M48398" s="472"/>
    </row>
    <row r="48399" spans="12:13" x14ac:dyDescent="0.25">
      <c r="L48399" s="472"/>
      <c r="M48399" s="472"/>
    </row>
    <row r="48471" spans="12:13" x14ac:dyDescent="0.25">
      <c r="L48471" s="472"/>
      <c r="M48471" s="472"/>
    </row>
    <row r="48472" spans="12:13" x14ac:dyDescent="0.25">
      <c r="L48472" s="472"/>
      <c r="M48472" s="472"/>
    </row>
    <row r="48473" spans="12:13" x14ac:dyDescent="0.25">
      <c r="L48473" s="472"/>
      <c r="M48473" s="472"/>
    </row>
    <row r="48545" spans="12:13" x14ac:dyDescent="0.25">
      <c r="L48545" s="472"/>
      <c r="M48545" s="472"/>
    </row>
    <row r="48546" spans="12:13" x14ac:dyDescent="0.25">
      <c r="L48546" s="472"/>
      <c r="M48546" s="472"/>
    </row>
    <row r="48547" spans="12:13" x14ac:dyDescent="0.25">
      <c r="L48547" s="472"/>
      <c r="M48547" s="472"/>
    </row>
    <row r="48619" spans="12:13" x14ac:dyDescent="0.25">
      <c r="L48619" s="472"/>
      <c r="M48619" s="472"/>
    </row>
    <row r="48620" spans="12:13" x14ac:dyDescent="0.25">
      <c r="L48620" s="472"/>
      <c r="M48620" s="472"/>
    </row>
    <row r="48621" spans="12:13" x14ac:dyDescent="0.25">
      <c r="L48621" s="472"/>
      <c r="M48621" s="472"/>
    </row>
    <row r="48693" spans="12:13" x14ac:dyDescent="0.25">
      <c r="L48693" s="472"/>
      <c r="M48693" s="472"/>
    </row>
    <row r="48694" spans="12:13" x14ac:dyDescent="0.25">
      <c r="L48694" s="472"/>
      <c r="M48694" s="472"/>
    </row>
    <row r="48695" spans="12:13" x14ac:dyDescent="0.25">
      <c r="L48695" s="472"/>
      <c r="M48695" s="472"/>
    </row>
    <row r="48767" spans="12:13" x14ac:dyDescent="0.25">
      <c r="L48767" s="472"/>
      <c r="M48767" s="472"/>
    </row>
    <row r="48768" spans="12:13" x14ac:dyDescent="0.25">
      <c r="L48768" s="472"/>
      <c r="M48768" s="472"/>
    </row>
    <row r="48769" spans="12:13" x14ac:dyDescent="0.25">
      <c r="L48769" s="472"/>
      <c r="M48769" s="472"/>
    </row>
    <row r="48841" spans="12:13" x14ac:dyDescent="0.25">
      <c r="L48841" s="472"/>
      <c r="M48841" s="472"/>
    </row>
    <row r="48842" spans="12:13" x14ac:dyDescent="0.25">
      <c r="L48842" s="472"/>
      <c r="M48842" s="472"/>
    </row>
    <row r="48843" spans="12:13" x14ac:dyDescent="0.25">
      <c r="L48843" s="472"/>
      <c r="M48843" s="472"/>
    </row>
    <row r="48915" spans="12:13" x14ac:dyDescent="0.25">
      <c r="L48915" s="472"/>
      <c r="M48915" s="472"/>
    </row>
    <row r="48916" spans="12:13" x14ac:dyDescent="0.25">
      <c r="L48916" s="472"/>
      <c r="M48916" s="472"/>
    </row>
    <row r="48917" spans="12:13" x14ac:dyDescent="0.25">
      <c r="L48917" s="472"/>
      <c r="M48917" s="472"/>
    </row>
    <row r="48989" spans="12:13" x14ac:dyDescent="0.25">
      <c r="L48989" s="472"/>
      <c r="M48989" s="472"/>
    </row>
    <row r="48990" spans="12:13" x14ac:dyDescent="0.25">
      <c r="L48990" s="472"/>
      <c r="M48990" s="472"/>
    </row>
    <row r="48991" spans="12:13" x14ac:dyDescent="0.25">
      <c r="L48991" s="472"/>
      <c r="M48991" s="472"/>
    </row>
    <row r="49063" spans="12:13" x14ac:dyDescent="0.25">
      <c r="L49063" s="472"/>
      <c r="M49063" s="472"/>
    </row>
    <row r="49064" spans="12:13" x14ac:dyDescent="0.25">
      <c r="L49064" s="472"/>
      <c r="M49064" s="472"/>
    </row>
    <row r="49065" spans="12:13" x14ac:dyDescent="0.25">
      <c r="L49065" s="472"/>
      <c r="M49065" s="472"/>
    </row>
    <row r="49137" spans="12:13" x14ac:dyDescent="0.25">
      <c r="L49137" s="472"/>
      <c r="M49137" s="472"/>
    </row>
    <row r="49138" spans="12:13" x14ac:dyDescent="0.25">
      <c r="L49138" s="472"/>
      <c r="M49138" s="472"/>
    </row>
    <row r="49139" spans="12:13" x14ac:dyDescent="0.25">
      <c r="L49139" s="472"/>
      <c r="M49139" s="472"/>
    </row>
    <row r="49211" spans="12:13" x14ac:dyDescent="0.25">
      <c r="L49211" s="472"/>
      <c r="M49211" s="472"/>
    </row>
    <row r="49212" spans="12:13" x14ac:dyDescent="0.25">
      <c r="L49212" s="472"/>
      <c r="M49212" s="472"/>
    </row>
    <row r="49213" spans="12:13" x14ac:dyDescent="0.25">
      <c r="L49213" s="472"/>
      <c r="M49213" s="472"/>
    </row>
    <row r="49285" spans="12:13" x14ac:dyDescent="0.25">
      <c r="L49285" s="472"/>
      <c r="M49285" s="472"/>
    </row>
    <row r="49286" spans="12:13" x14ac:dyDescent="0.25">
      <c r="L49286" s="472"/>
      <c r="M49286" s="472"/>
    </row>
    <row r="49287" spans="12:13" x14ac:dyDescent="0.25">
      <c r="L49287" s="472"/>
      <c r="M49287" s="472"/>
    </row>
    <row r="49359" spans="12:13" x14ac:dyDescent="0.25">
      <c r="L49359" s="472"/>
      <c r="M49359" s="472"/>
    </row>
    <row r="49360" spans="12:13" x14ac:dyDescent="0.25">
      <c r="L49360" s="472"/>
      <c r="M49360" s="472"/>
    </row>
    <row r="49361" spans="12:13" x14ac:dyDescent="0.25">
      <c r="L49361" s="472"/>
      <c r="M49361" s="472"/>
    </row>
    <row r="49433" spans="12:13" x14ac:dyDescent="0.25">
      <c r="L49433" s="472"/>
      <c r="M49433" s="472"/>
    </row>
    <row r="49434" spans="12:13" x14ac:dyDescent="0.25">
      <c r="L49434" s="472"/>
      <c r="M49434" s="472"/>
    </row>
    <row r="49435" spans="12:13" x14ac:dyDescent="0.25">
      <c r="L49435" s="472"/>
      <c r="M49435" s="472"/>
    </row>
    <row r="49507" spans="12:13" x14ac:dyDescent="0.25">
      <c r="L49507" s="472"/>
      <c r="M49507" s="472"/>
    </row>
    <row r="49508" spans="12:13" x14ac:dyDescent="0.25">
      <c r="L49508" s="472"/>
      <c r="M49508" s="472"/>
    </row>
    <row r="49509" spans="12:13" x14ac:dyDescent="0.25">
      <c r="L49509" s="472"/>
      <c r="M49509" s="472"/>
    </row>
    <row r="49581" spans="12:13" x14ac:dyDescent="0.25">
      <c r="L49581" s="472"/>
      <c r="M49581" s="472"/>
    </row>
    <row r="49582" spans="12:13" x14ac:dyDescent="0.25">
      <c r="L49582" s="472"/>
      <c r="M49582" s="472"/>
    </row>
    <row r="49583" spans="12:13" x14ac:dyDescent="0.25">
      <c r="L49583" s="472"/>
      <c r="M49583" s="472"/>
    </row>
    <row r="49655" spans="12:13" x14ac:dyDescent="0.25">
      <c r="L49655" s="472"/>
      <c r="M49655" s="472"/>
    </row>
    <row r="49656" spans="12:13" x14ac:dyDescent="0.25">
      <c r="L49656" s="472"/>
      <c r="M49656" s="472"/>
    </row>
    <row r="49657" spans="12:13" x14ac:dyDescent="0.25">
      <c r="L49657" s="472"/>
      <c r="M49657" s="472"/>
    </row>
    <row r="49729" spans="12:13" x14ac:dyDescent="0.25">
      <c r="L49729" s="472"/>
      <c r="M49729" s="472"/>
    </row>
    <row r="49730" spans="12:13" x14ac:dyDescent="0.25">
      <c r="L49730" s="472"/>
      <c r="M49730" s="472"/>
    </row>
    <row r="49731" spans="12:13" x14ac:dyDescent="0.25">
      <c r="L49731" s="472"/>
      <c r="M49731" s="472"/>
    </row>
    <row r="49803" spans="12:13" x14ac:dyDescent="0.25">
      <c r="L49803" s="472"/>
      <c r="M49803" s="472"/>
    </row>
    <row r="49804" spans="12:13" x14ac:dyDescent="0.25">
      <c r="L49804" s="472"/>
      <c r="M49804" s="472"/>
    </row>
    <row r="49805" spans="12:13" x14ac:dyDescent="0.25">
      <c r="L49805" s="472"/>
      <c r="M49805" s="472"/>
    </row>
    <row r="49877" spans="12:13" x14ac:dyDescent="0.25">
      <c r="L49877" s="472"/>
      <c r="M49877" s="472"/>
    </row>
    <row r="49878" spans="12:13" x14ac:dyDescent="0.25">
      <c r="L49878" s="472"/>
      <c r="M49878" s="472"/>
    </row>
    <row r="49879" spans="12:13" x14ac:dyDescent="0.25">
      <c r="L49879" s="472"/>
      <c r="M49879" s="472"/>
    </row>
    <row r="49951" spans="12:13" x14ac:dyDescent="0.25">
      <c r="L49951" s="472"/>
      <c r="M49951" s="472"/>
    </row>
    <row r="49952" spans="12:13" x14ac:dyDescent="0.25">
      <c r="L49952" s="472"/>
      <c r="M49952" s="472"/>
    </row>
    <row r="49953" spans="12:13" x14ac:dyDescent="0.25">
      <c r="L49953" s="472"/>
      <c r="M49953" s="472"/>
    </row>
    <row r="50025" spans="12:13" x14ac:dyDescent="0.25">
      <c r="L50025" s="472"/>
      <c r="M50025" s="472"/>
    </row>
    <row r="50026" spans="12:13" x14ac:dyDescent="0.25">
      <c r="L50026" s="472"/>
      <c r="M50026" s="472"/>
    </row>
    <row r="50027" spans="12:13" x14ac:dyDescent="0.25">
      <c r="L50027" s="472"/>
      <c r="M50027" s="472"/>
    </row>
    <row r="50099" spans="12:13" x14ac:dyDescent="0.25">
      <c r="L50099" s="472"/>
      <c r="M50099" s="472"/>
    </row>
    <row r="50100" spans="12:13" x14ac:dyDescent="0.25">
      <c r="L50100" s="472"/>
      <c r="M50100" s="472"/>
    </row>
    <row r="50101" spans="12:13" x14ac:dyDescent="0.25">
      <c r="L50101" s="472"/>
      <c r="M50101" s="472"/>
    </row>
    <row r="50173" spans="12:13" x14ac:dyDescent="0.25">
      <c r="L50173" s="472"/>
      <c r="M50173" s="472"/>
    </row>
    <row r="50174" spans="12:13" x14ac:dyDescent="0.25">
      <c r="L50174" s="472"/>
      <c r="M50174" s="472"/>
    </row>
    <row r="50175" spans="12:13" x14ac:dyDescent="0.25">
      <c r="L50175" s="472"/>
      <c r="M50175" s="472"/>
    </row>
    <row r="50247" spans="12:13" x14ac:dyDescent="0.25">
      <c r="L50247" s="472"/>
      <c r="M50247" s="472"/>
    </row>
    <row r="50248" spans="12:13" x14ac:dyDescent="0.25">
      <c r="L50248" s="472"/>
      <c r="M50248" s="472"/>
    </row>
    <row r="50249" spans="12:13" x14ac:dyDescent="0.25">
      <c r="L50249" s="472"/>
      <c r="M50249" s="472"/>
    </row>
    <row r="50321" spans="12:13" x14ac:dyDescent="0.25">
      <c r="L50321" s="472"/>
      <c r="M50321" s="472"/>
    </row>
    <row r="50322" spans="12:13" x14ac:dyDescent="0.25">
      <c r="L50322" s="472"/>
      <c r="M50322" s="472"/>
    </row>
    <row r="50323" spans="12:13" x14ac:dyDescent="0.25">
      <c r="L50323" s="472"/>
      <c r="M50323" s="472"/>
    </row>
    <row r="50395" spans="12:13" x14ac:dyDescent="0.25">
      <c r="L50395" s="472"/>
      <c r="M50395" s="472"/>
    </row>
    <row r="50396" spans="12:13" x14ac:dyDescent="0.25">
      <c r="L50396" s="472"/>
      <c r="M50396" s="472"/>
    </row>
    <row r="50397" spans="12:13" x14ac:dyDescent="0.25">
      <c r="L50397" s="472"/>
      <c r="M50397" s="472"/>
    </row>
    <row r="50469" spans="12:13" x14ac:dyDescent="0.25">
      <c r="L50469" s="472"/>
      <c r="M50469" s="472"/>
    </row>
    <row r="50470" spans="12:13" x14ac:dyDescent="0.25">
      <c r="L50470" s="472"/>
      <c r="M50470" s="472"/>
    </row>
    <row r="50471" spans="12:13" x14ac:dyDescent="0.25">
      <c r="L50471" s="472"/>
      <c r="M50471" s="472"/>
    </row>
    <row r="50543" spans="12:13" x14ac:dyDescent="0.25">
      <c r="L50543" s="472"/>
      <c r="M50543" s="472"/>
    </row>
    <row r="50544" spans="12:13" x14ac:dyDescent="0.25">
      <c r="L50544" s="472"/>
      <c r="M50544" s="472"/>
    </row>
    <row r="50545" spans="12:13" x14ac:dyDescent="0.25">
      <c r="L50545" s="472"/>
      <c r="M50545" s="472"/>
    </row>
    <row r="50617" spans="12:13" x14ac:dyDescent="0.25">
      <c r="L50617" s="472"/>
      <c r="M50617" s="472"/>
    </row>
    <row r="50618" spans="12:13" x14ac:dyDescent="0.25">
      <c r="L50618" s="472"/>
      <c r="M50618" s="472"/>
    </row>
    <row r="50619" spans="12:13" x14ac:dyDescent="0.25">
      <c r="L50619" s="472"/>
      <c r="M50619" s="472"/>
    </row>
    <row r="50691" spans="12:13" x14ac:dyDescent="0.25">
      <c r="L50691" s="472"/>
      <c r="M50691" s="472"/>
    </row>
    <row r="50692" spans="12:13" x14ac:dyDescent="0.25">
      <c r="L50692" s="472"/>
      <c r="M50692" s="472"/>
    </row>
    <row r="50693" spans="12:13" x14ac:dyDescent="0.25">
      <c r="L50693" s="472"/>
      <c r="M50693" s="472"/>
    </row>
    <row r="50765" spans="12:13" x14ac:dyDescent="0.25">
      <c r="L50765" s="472"/>
      <c r="M50765" s="472"/>
    </row>
    <row r="50766" spans="12:13" x14ac:dyDescent="0.25">
      <c r="L50766" s="472"/>
      <c r="M50766" s="472"/>
    </row>
    <row r="50767" spans="12:13" x14ac:dyDescent="0.25">
      <c r="L50767" s="472"/>
      <c r="M50767" s="472"/>
    </row>
    <row r="50839" spans="12:13" x14ac:dyDescent="0.25">
      <c r="L50839" s="472"/>
      <c r="M50839" s="472"/>
    </row>
    <row r="50840" spans="12:13" x14ac:dyDescent="0.25">
      <c r="L50840" s="472"/>
      <c r="M50840" s="472"/>
    </row>
    <row r="50841" spans="12:13" x14ac:dyDescent="0.25">
      <c r="L50841" s="472"/>
      <c r="M50841" s="472"/>
    </row>
    <row r="50913" spans="12:13" x14ac:dyDescent="0.25">
      <c r="L50913" s="472"/>
      <c r="M50913" s="472"/>
    </row>
    <row r="50914" spans="12:13" x14ac:dyDescent="0.25">
      <c r="L50914" s="472"/>
      <c r="M50914" s="472"/>
    </row>
    <row r="50915" spans="12:13" x14ac:dyDescent="0.25">
      <c r="L50915" s="472"/>
      <c r="M50915" s="472"/>
    </row>
    <row r="50987" spans="12:13" x14ac:dyDescent="0.25">
      <c r="L50987" s="472"/>
      <c r="M50987" s="472"/>
    </row>
    <row r="50988" spans="12:13" x14ac:dyDescent="0.25">
      <c r="L50988" s="472"/>
      <c r="M50988" s="472"/>
    </row>
    <row r="50989" spans="12:13" x14ac:dyDescent="0.25">
      <c r="L50989" s="472"/>
      <c r="M50989" s="472"/>
    </row>
    <row r="51061" spans="12:13" x14ac:dyDescent="0.25">
      <c r="L51061" s="472"/>
      <c r="M51061" s="472"/>
    </row>
    <row r="51062" spans="12:13" x14ac:dyDescent="0.25">
      <c r="L51062" s="472"/>
      <c r="M51062" s="472"/>
    </row>
    <row r="51063" spans="12:13" x14ac:dyDescent="0.25">
      <c r="L51063" s="472"/>
      <c r="M51063" s="472"/>
    </row>
    <row r="51135" spans="12:13" x14ac:dyDescent="0.25">
      <c r="L51135" s="472"/>
      <c r="M51135" s="472"/>
    </row>
    <row r="51136" spans="12:13" x14ac:dyDescent="0.25">
      <c r="L51136" s="472"/>
      <c r="M51136" s="472"/>
    </row>
    <row r="51137" spans="12:13" x14ac:dyDescent="0.25">
      <c r="L51137" s="472"/>
      <c r="M51137" s="472"/>
    </row>
    <row r="51209" spans="12:13" x14ac:dyDescent="0.25">
      <c r="L51209" s="472"/>
      <c r="M51209" s="472"/>
    </row>
    <row r="51210" spans="12:13" x14ac:dyDescent="0.25">
      <c r="L51210" s="472"/>
      <c r="M51210" s="472"/>
    </row>
    <row r="51211" spans="12:13" x14ac:dyDescent="0.25">
      <c r="L51211" s="472"/>
      <c r="M51211" s="472"/>
    </row>
    <row r="51283" spans="12:13" x14ac:dyDescent="0.25">
      <c r="L51283" s="472"/>
      <c r="M51283" s="472"/>
    </row>
    <row r="51284" spans="12:13" x14ac:dyDescent="0.25">
      <c r="L51284" s="472"/>
      <c r="M51284" s="472"/>
    </row>
    <row r="51285" spans="12:13" x14ac:dyDescent="0.25">
      <c r="L51285" s="472"/>
      <c r="M51285" s="472"/>
    </row>
    <row r="51357" spans="12:13" x14ac:dyDescent="0.25">
      <c r="L51357" s="472"/>
      <c r="M51357" s="472"/>
    </row>
    <row r="51358" spans="12:13" x14ac:dyDescent="0.25">
      <c r="L51358" s="472"/>
      <c r="M51358" s="472"/>
    </row>
    <row r="51359" spans="12:13" x14ac:dyDescent="0.25">
      <c r="L51359" s="472"/>
      <c r="M51359" s="472"/>
    </row>
    <row r="51431" spans="12:13" x14ac:dyDescent="0.25">
      <c r="L51431" s="472"/>
      <c r="M51431" s="472"/>
    </row>
    <row r="51432" spans="12:13" x14ac:dyDescent="0.25">
      <c r="L51432" s="472"/>
      <c r="M51432" s="472"/>
    </row>
    <row r="51433" spans="12:13" x14ac:dyDescent="0.25">
      <c r="L51433" s="472"/>
      <c r="M51433" s="472"/>
    </row>
    <row r="51505" spans="12:13" x14ac:dyDescent="0.25">
      <c r="L51505" s="472"/>
      <c r="M51505" s="472"/>
    </row>
    <row r="51506" spans="12:13" x14ac:dyDescent="0.25">
      <c r="L51506" s="472"/>
      <c r="M51506" s="472"/>
    </row>
    <row r="51507" spans="12:13" x14ac:dyDescent="0.25">
      <c r="L51507" s="472"/>
      <c r="M51507" s="472"/>
    </row>
    <row r="51579" spans="12:13" x14ac:dyDescent="0.25">
      <c r="L51579" s="472"/>
      <c r="M51579" s="472"/>
    </row>
    <row r="51580" spans="12:13" x14ac:dyDescent="0.25">
      <c r="L51580" s="472"/>
      <c r="M51580" s="472"/>
    </row>
    <row r="51581" spans="12:13" x14ac:dyDescent="0.25">
      <c r="L51581" s="472"/>
      <c r="M51581" s="472"/>
    </row>
    <row r="51653" spans="12:13" x14ac:dyDescent="0.25">
      <c r="L51653" s="472"/>
      <c r="M51653" s="472"/>
    </row>
    <row r="51654" spans="12:13" x14ac:dyDescent="0.25">
      <c r="L51654" s="472"/>
      <c r="M51654" s="472"/>
    </row>
    <row r="51655" spans="12:13" x14ac:dyDescent="0.25">
      <c r="L51655" s="472"/>
      <c r="M51655" s="472"/>
    </row>
    <row r="51727" spans="12:13" x14ac:dyDescent="0.25">
      <c r="L51727" s="472"/>
      <c r="M51727" s="472"/>
    </row>
    <row r="51728" spans="12:13" x14ac:dyDescent="0.25">
      <c r="L51728" s="472"/>
      <c r="M51728" s="472"/>
    </row>
    <row r="51729" spans="12:13" x14ac:dyDescent="0.25">
      <c r="L51729" s="472"/>
      <c r="M51729" s="472"/>
    </row>
    <row r="51801" spans="12:13" x14ac:dyDescent="0.25">
      <c r="L51801" s="472"/>
      <c r="M51801" s="472"/>
    </row>
    <row r="51802" spans="12:13" x14ac:dyDescent="0.25">
      <c r="L51802" s="472"/>
      <c r="M51802" s="472"/>
    </row>
    <row r="51803" spans="12:13" x14ac:dyDescent="0.25">
      <c r="L51803" s="472"/>
      <c r="M51803" s="472"/>
    </row>
    <row r="51875" spans="12:13" x14ac:dyDescent="0.25">
      <c r="L51875" s="472"/>
      <c r="M51875" s="472"/>
    </row>
    <row r="51876" spans="12:13" x14ac:dyDescent="0.25">
      <c r="L51876" s="472"/>
      <c r="M51876" s="472"/>
    </row>
    <row r="51877" spans="12:13" x14ac:dyDescent="0.25">
      <c r="L51877" s="472"/>
      <c r="M51877" s="472"/>
    </row>
    <row r="51949" spans="12:13" x14ac:dyDescent="0.25">
      <c r="L51949" s="472"/>
      <c r="M51949" s="472"/>
    </row>
    <row r="51950" spans="12:13" x14ac:dyDescent="0.25">
      <c r="L51950" s="472"/>
      <c r="M51950" s="472"/>
    </row>
    <row r="51951" spans="12:13" x14ac:dyDescent="0.25">
      <c r="L51951" s="472"/>
      <c r="M51951" s="472"/>
    </row>
    <row r="52023" spans="12:13" x14ac:dyDescent="0.25">
      <c r="L52023" s="472"/>
      <c r="M52023" s="472"/>
    </row>
    <row r="52024" spans="12:13" x14ac:dyDescent="0.25">
      <c r="L52024" s="472"/>
      <c r="M52024" s="472"/>
    </row>
    <row r="52025" spans="12:13" x14ac:dyDescent="0.25">
      <c r="L52025" s="472"/>
      <c r="M52025" s="472"/>
    </row>
    <row r="52097" spans="12:13" x14ac:dyDescent="0.25">
      <c r="L52097" s="472"/>
      <c r="M52097" s="472"/>
    </row>
    <row r="52098" spans="12:13" x14ac:dyDescent="0.25">
      <c r="L52098" s="472"/>
      <c r="M52098" s="472"/>
    </row>
    <row r="52099" spans="12:13" x14ac:dyDescent="0.25">
      <c r="L52099" s="472"/>
      <c r="M52099" s="472"/>
    </row>
    <row r="52171" spans="12:13" x14ac:dyDescent="0.25">
      <c r="L52171" s="472"/>
      <c r="M52171" s="472"/>
    </row>
    <row r="52172" spans="12:13" x14ac:dyDescent="0.25">
      <c r="L52172" s="472"/>
      <c r="M52172" s="472"/>
    </row>
    <row r="52173" spans="12:13" x14ac:dyDescent="0.25">
      <c r="L52173" s="472"/>
      <c r="M52173" s="472"/>
    </row>
    <row r="52245" spans="12:13" x14ac:dyDescent="0.25">
      <c r="L52245" s="472"/>
      <c r="M52245" s="472"/>
    </row>
    <row r="52246" spans="12:13" x14ac:dyDescent="0.25">
      <c r="L52246" s="472"/>
      <c r="M52246" s="472"/>
    </row>
    <row r="52247" spans="12:13" x14ac:dyDescent="0.25">
      <c r="L52247" s="472"/>
      <c r="M52247" s="472"/>
    </row>
    <row r="52319" spans="12:13" x14ac:dyDescent="0.25">
      <c r="L52319" s="472"/>
      <c r="M52319" s="472"/>
    </row>
    <row r="52320" spans="12:13" x14ac:dyDescent="0.25">
      <c r="L52320" s="472"/>
      <c r="M52320" s="472"/>
    </row>
    <row r="52321" spans="12:13" x14ac:dyDescent="0.25">
      <c r="L52321" s="472"/>
      <c r="M52321" s="472"/>
    </row>
    <row r="52393" spans="12:13" x14ac:dyDescent="0.25">
      <c r="L52393" s="472"/>
      <c r="M52393" s="472"/>
    </row>
    <row r="52394" spans="12:13" x14ac:dyDescent="0.25">
      <c r="L52394" s="472"/>
      <c r="M52394" s="472"/>
    </row>
    <row r="52395" spans="12:13" x14ac:dyDescent="0.25">
      <c r="L52395" s="472"/>
      <c r="M52395" s="472"/>
    </row>
    <row r="52467" spans="12:13" x14ac:dyDescent="0.25">
      <c r="L52467" s="472"/>
      <c r="M52467" s="472"/>
    </row>
    <row r="52468" spans="12:13" x14ac:dyDescent="0.25">
      <c r="L52468" s="472"/>
      <c r="M52468" s="472"/>
    </row>
    <row r="52469" spans="12:13" x14ac:dyDescent="0.25">
      <c r="L52469" s="472"/>
      <c r="M52469" s="472"/>
    </row>
    <row r="52541" spans="12:13" x14ac:dyDescent="0.25">
      <c r="L52541" s="472"/>
      <c r="M52541" s="472"/>
    </row>
    <row r="52542" spans="12:13" x14ac:dyDescent="0.25">
      <c r="L52542" s="472"/>
      <c r="M52542" s="472"/>
    </row>
    <row r="52543" spans="12:13" x14ac:dyDescent="0.25">
      <c r="L52543" s="472"/>
      <c r="M52543" s="472"/>
    </row>
    <row r="52615" spans="12:13" x14ac:dyDescent="0.25">
      <c r="L52615" s="472"/>
      <c r="M52615" s="472"/>
    </row>
    <row r="52616" spans="12:13" x14ac:dyDescent="0.25">
      <c r="L52616" s="472"/>
      <c r="M52616" s="472"/>
    </row>
    <row r="52617" spans="12:13" x14ac:dyDescent="0.25">
      <c r="L52617" s="472"/>
      <c r="M52617" s="472"/>
    </row>
    <row r="52689" spans="12:13" x14ac:dyDescent="0.25">
      <c r="L52689" s="472"/>
      <c r="M52689" s="472"/>
    </row>
    <row r="52690" spans="12:13" x14ac:dyDescent="0.25">
      <c r="L52690" s="472"/>
      <c r="M52690" s="472"/>
    </row>
    <row r="52691" spans="12:13" x14ac:dyDescent="0.25">
      <c r="L52691" s="472"/>
      <c r="M52691" s="472"/>
    </row>
    <row r="52763" spans="12:13" x14ac:dyDescent="0.25">
      <c r="L52763" s="472"/>
      <c r="M52763" s="472"/>
    </row>
    <row r="52764" spans="12:13" x14ac:dyDescent="0.25">
      <c r="L52764" s="472"/>
      <c r="M52764" s="472"/>
    </row>
    <row r="52765" spans="12:13" x14ac:dyDescent="0.25">
      <c r="L52765" s="472"/>
      <c r="M52765" s="472"/>
    </row>
    <row r="52837" spans="12:13" x14ac:dyDescent="0.25">
      <c r="L52837" s="472"/>
      <c r="M52837" s="472"/>
    </row>
    <row r="52838" spans="12:13" x14ac:dyDescent="0.25">
      <c r="L52838" s="472"/>
      <c r="M52838" s="472"/>
    </row>
    <row r="52839" spans="12:13" x14ac:dyDescent="0.25">
      <c r="L52839" s="472"/>
      <c r="M52839" s="472"/>
    </row>
    <row r="52911" spans="12:13" x14ac:dyDescent="0.25">
      <c r="L52911" s="472"/>
      <c r="M52911" s="472"/>
    </row>
    <row r="52912" spans="12:13" x14ac:dyDescent="0.25">
      <c r="L52912" s="472"/>
      <c r="M52912" s="472"/>
    </row>
    <row r="52913" spans="12:13" x14ac:dyDescent="0.25">
      <c r="L52913" s="472"/>
      <c r="M52913" s="472"/>
    </row>
    <row r="52985" spans="12:13" x14ac:dyDescent="0.25">
      <c r="L52985" s="472"/>
      <c r="M52985" s="472"/>
    </row>
    <row r="52986" spans="12:13" x14ac:dyDescent="0.25">
      <c r="L52986" s="472"/>
      <c r="M52986" s="472"/>
    </row>
    <row r="52987" spans="12:13" x14ac:dyDescent="0.25">
      <c r="L52987" s="472"/>
      <c r="M52987" s="472"/>
    </row>
    <row r="53059" spans="12:13" x14ac:dyDescent="0.25">
      <c r="L53059" s="472"/>
      <c r="M53059" s="472"/>
    </row>
    <row r="53060" spans="12:13" x14ac:dyDescent="0.25">
      <c r="L53060" s="472"/>
      <c r="M53060" s="472"/>
    </row>
    <row r="53061" spans="12:13" x14ac:dyDescent="0.25">
      <c r="L53061" s="472"/>
      <c r="M53061" s="472"/>
    </row>
    <row r="53133" spans="12:13" x14ac:dyDescent="0.25">
      <c r="L53133" s="472"/>
      <c r="M53133" s="472"/>
    </row>
    <row r="53134" spans="12:13" x14ac:dyDescent="0.25">
      <c r="L53134" s="472"/>
      <c r="M53134" s="472"/>
    </row>
    <row r="53135" spans="12:13" x14ac:dyDescent="0.25">
      <c r="L53135" s="472"/>
      <c r="M53135" s="472"/>
    </row>
    <row r="53207" spans="12:13" x14ac:dyDescent="0.25">
      <c r="L53207" s="472"/>
      <c r="M53207" s="472"/>
    </row>
    <row r="53208" spans="12:13" x14ac:dyDescent="0.25">
      <c r="L53208" s="472"/>
      <c r="M53208" s="472"/>
    </row>
    <row r="53209" spans="12:13" x14ac:dyDescent="0.25">
      <c r="L53209" s="472"/>
      <c r="M53209" s="472"/>
    </row>
    <row r="53281" spans="12:13" x14ac:dyDescent="0.25">
      <c r="L53281" s="472"/>
      <c r="M53281" s="472"/>
    </row>
    <row r="53282" spans="12:13" x14ac:dyDescent="0.25">
      <c r="L53282" s="472"/>
      <c r="M53282" s="472"/>
    </row>
    <row r="53283" spans="12:13" x14ac:dyDescent="0.25">
      <c r="L53283" s="472"/>
      <c r="M53283" s="472"/>
    </row>
    <row r="53355" spans="12:13" x14ac:dyDescent="0.25">
      <c r="L53355" s="472"/>
      <c r="M53355" s="472"/>
    </row>
    <row r="53356" spans="12:13" x14ac:dyDescent="0.25">
      <c r="L53356" s="472"/>
      <c r="M53356" s="472"/>
    </row>
    <row r="53357" spans="12:13" x14ac:dyDescent="0.25">
      <c r="L53357" s="472"/>
      <c r="M53357" s="472"/>
    </row>
    <row r="53429" spans="12:13" x14ac:dyDescent="0.25">
      <c r="L53429" s="472"/>
      <c r="M53429" s="472"/>
    </row>
    <row r="53430" spans="12:13" x14ac:dyDescent="0.25">
      <c r="L53430" s="472"/>
      <c r="M53430" s="472"/>
    </row>
    <row r="53431" spans="12:13" x14ac:dyDescent="0.25">
      <c r="L53431" s="472"/>
      <c r="M53431" s="472"/>
    </row>
    <row r="53503" spans="12:13" x14ac:dyDescent="0.25">
      <c r="L53503" s="472"/>
      <c r="M53503" s="472"/>
    </row>
    <row r="53504" spans="12:13" x14ac:dyDescent="0.25">
      <c r="L53504" s="472"/>
      <c r="M53504" s="472"/>
    </row>
    <row r="53505" spans="12:13" x14ac:dyDescent="0.25">
      <c r="L53505" s="472"/>
      <c r="M53505" s="472"/>
    </row>
    <row r="53577" spans="12:13" x14ac:dyDescent="0.25">
      <c r="L53577" s="472"/>
      <c r="M53577" s="472"/>
    </row>
    <row r="53578" spans="12:13" x14ac:dyDescent="0.25">
      <c r="L53578" s="472"/>
      <c r="M53578" s="472"/>
    </row>
    <row r="53579" spans="12:13" x14ac:dyDescent="0.25">
      <c r="L53579" s="472"/>
      <c r="M53579" s="472"/>
    </row>
    <row r="53651" spans="12:13" x14ac:dyDescent="0.25">
      <c r="L53651" s="472"/>
      <c r="M53651" s="472"/>
    </row>
    <row r="53652" spans="12:13" x14ac:dyDescent="0.25">
      <c r="L53652" s="472"/>
      <c r="M53652" s="472"/>
    </row>
    <row r="53653" spans="12:13" x14ac:dyDescent="0.25">
      <c r="L53653" s="472"/>
      <c r="M53653" s="472"/>
    </row>
    <row r="53725" spans="12:13" x14ac:dyDescent="0.25">
      <c r="L53725" s="472"/>
      <c r="M53725" s="472"/>
    </row>
    <row r="53726" spans="12:13" x14ac:dyDescent="0.25">
      <c r="L53726" s="472"/>
      <c r="M53726" s="472"/>
    </row>
    <row r="53727" spans="12:13" x14ac:dyDescent="0.25">
      <c r="L53727" s="472"/>
      <c r="M53727" s="472"/>
    </row>
    <row r="53799" spans="12:13" x14ac:dyDescent="0.25">
      <c r="L53799" s="472"/>
      <c r="M53799" s="472"/>
    </row>
    <row r="53800" spans="12:13" x14ac:dyDescent="0.25">
      <c r="L53800" s="472"/>
      <c r="M53800" s="472"/>
    </row>
    <row r="53801" spans="12:13" x14ac:dyDescent="0.25">
      <c r="L53801" s="472"/>
      <c r="M53801" s="472"/>
    </row>
    <row r="53873" spans="12:13" x14ac:dyDescent="0.25">
      <c r="L53873" s="472"/>
      <c r="M53873" s="472"/>
    </row>
    <row r="53874" spans="12:13" x14ac:dyDescent="0.25">
      <c r="L53874" s="472"/>
      <c r="M53874" s="472"/>
    </row>
    <row r="53875" spans="12:13" x14ac:dyDescent="0.25">
      <c r="L53875" s="472"/>
      <c r="M53875" s="472"/>
    </row>
    <row r="53947" spans="12:13" x14ac:dyDescent="0.25">
      <c r="L53947" s="472"/>
      <c r="M53947" s="472"/>
    </row>
    <row r="53948" spans="12:13" x14ac:dyDescent="0.25">
      <c r="L53948" s="472"/>
      <c r="M53948" s="472"/>
    </row>
    <row r="53949" spans="12:13" x14ac:dyDescent="0.25">
      <c r="L53949" s="472"/>
      <c r="M53949" s="472"/>
    </row>
    <row r="54021" spans="12:13" x14ac:dyDescent="0.25">
      <c r="L54021" s="472"/>
      <c r="M54021" s="472"/>
    </row>
    <row r="54022" spans="12:13" x14ac:dyDescent="0.25">
      <c r="L54022" s="472"/>
      <c r="M54022" s="472"/>
    </row>
    <row r="54023" spans="12:13" x14ac:dyDescent="0.25">
      <c r="L54023" s="472"/>
      <c r="M54023" s="472"/>
    </row>
    <row r="54095" spans="12:13" x14ac:dyDescent="0.25">
      <c r="L54095" s="472"/>
      <c r="M54095" s="472"/>
    </row>
    <row r="54096" spans="12:13" x14ac:dyDescent="0.25">
      <c r="L54096" s="472"/>
      <c r="M54096" s="472"/>
    </row>
    <row r="54097" spans="12:13" x14ac:dyDescent="0.25">
      <c r="L54097" s="472"/>
      <c r="M54097" s="472"/>
    </row>
    <row r="54169" spans="12:13" x14ac:dyDescent="0.25">
      <c r="L54169" s="472"/>
      <c r="M54169" s="472"/>
    </row>
    <row r="54170" spans="12:13" x14ac:dyDescent="0.25">
      <c r="L54170" s="472"/>
      <c r="M54170" s="472"/>
    </row>
    <row r="54171" spans="12:13" x14ac:dyDescent="0.25">
      <c r="L54171" s="472"/>
      <c r="M54171" s="472"/>
    </row>
    <row r="54243" spans="12:13" x14ac:dyDescent="0.25">
      <c r="L54243" s="472"/>
      <c r="M54243" s="472"/>
    </row>
    <row r="54244" spans="12:13" x14ac:dyDescent="0.25">
      <c r="L54244" s="472"/>
      <c r="M54244" s="472"/>
    </row>
    <row r="54245" spans="12:13" x14ac:dyDescent="0.25">
      <c r="L54245" s="472"/>
      <c r="M54245" s="472"/>
    </row>
    <row r="54317" spans="12:13" x14ac:dyDescent="0.25">
      <c r="L54317" s="472"/>
      <c r="M54317" s="472"/>
    </row>
    <row r="54318" spans="12:13" x14ac:dyDescent="0.25">
      <c r="L54318" s="472"/>
      <c r="M54318" s="472"/>
    </row>
    <row r="54319" spans="12:13" x14ac:dyDescent="0.25">
      <c r="L54319" s="472"/>
      <c r="M54319" s="472"/>
    </row>
    <row r="54391" spans="12:13" x14ac:dyDescent="0.25">
      <c r="L54391" s="472"/>
      <c r="M54391" s="472"/>
    </row>
    <row r="54392" spans="12:13" x14ac:dyDescent="0.25">
      <c r="L54392" s="472"/>
      <c r="M54392" s="472"/>
    </row>
    <row r="54393" spans="12:13" x14ac:dyDescent="0.25">
      <c r="L54393" s="472"/>
      <c r="M54393" s="472"/>
    </row>
    <row r="54465" spans="12:13" x14ac:dyDescent="0.25">
      <c r="L54465" s="472"/>
      <c r="M54465" s="472"/>
    </row>
    <row r="54466" spans="12:13" x14ac:dyDescent="0.25">
      <c r="L54466" s="472"/>
      <c r="M54466" s="472"/>
    </row>
    <row r="54467" spans="12:13" x14ac:dyDescent="0.25">
      <c r="L54467" s="472"/>
      <c r="M54467" s="472"/>
    </row>
    <row r="54539" spans="12:13" x14ac:dyDescent="0.25">
      <c r="L54539" s="472"/>
      <c r="M54539" s="472"/>
    </row>
    <row r="54540" spans="12:13" x14ac:dyDescent="0.25">
      <c r="L54540" s="472"/>
      <c r="M54540" s="472"/>
    </row>
    <row r="54541" spans="12:13" x14ac:dyDescent="0.25">
      <c r="L54541" s="472"/>
      <c r="M54541" s="472"/>
    </row>
    <row r="54613" spans="12:13" x14ac:dyDescent="0.25">
      <c r="L54613" s="472"/>
      <c r="M54613" s="472"/>
    </row>
    <row r="54614" spans="12:13" x14ac:dyDescent="0.25">
      <c r="L54614" s="472"/>
      <c r="M54614" s="472"/>
    </row>
    <row r="54615" spans="12:13" x14ac:dyDescent="0.25">
      <c r="L54615" s="472"/>
      <c r="M54615" s="472"/>
    </row>
    <row r="54687" spans="12:13" x14ac:dyDescent="0.25">
      <c r="L54687" s="472"/>
      <c r="M54687" s="472"/>
    </row>
    <row r="54688" spans="12:13" x14ac:dyDescent="0.25">
      <c r="L54688" s="472"/>
      <c r="M54688" s="472"/>
    </row>
    <row r="54689" spans="12:13" x14ac:dyDescent="0.25">
      <c r="L54689" s="472"/>
      <c r="M54689" s="472"/>
    </row>
    <row r="54761" spans="12:13" x14ac:dyDescent="0.25">
      <c r="L54761" s="472"/>
      <c r="M54761" s="472"/>
    </row>
    <row r="54762" spans="12:13" x14ac:dyDescent="0.25">
      <c r="L54762" s="472"/>
      <c r="M54762" s="472"/>
    </row>
    <row r="54763" spans="12:13" x14ac:dyDescent="0.25">
      <c r="L54763" s="472"/>
      <c r="M54763" s="472"/>
    </row>
    <row r="54835" spans="12:13" x14ac:dyDescent="0.25">
      <c r="L54835" s="472"/>
      <c r="M54835" s="472"/>
    </row>
    <row r="54836" spans="12:13" x14ac:dyDescent="0.25">
      <c r="L54836" s="472"/>
      <c r="M54836" s="472"/>
    </row>
    <row r="54837" spans="12:13" x14ac:dyDescent="0.25">
      <c r="L54837" s="472"/>
      <c r="M54837" s="472"/>
    </row>
    <row r="54909" spans="12:13" x14ac:dyDescent="0.25">
      <c r="L54909" s="472"/>
      <c r="M54909" s="472"/>
    </row>
    <row r="54910" spans="12:13" x14ac:dyDescent="0.25">
      <c r="L54910" s="472"/>
      <c r="M54910" s="472"/>
    </row>
    <row r="54911" spans="12:13" x14ac:dyDescent="0.25">
      <c r="L54911" s="472"/>
      <c r="M54911" s="472"/>
    </row>
    <row r="54983" spans="12:13" x14ac:dyDescent="0.25">
      <c r="L54983" s="472"/>
      <c r="M54983" s="472"/>
    </row>
    <row r="54984" spans="12:13" x14ac:dyDescent="0.25">
      <c r="L54984" s="472"/>
      <c r="M54984" s="472"/>
    </row>
    <row r="54985" spans="12:13" x14ac:dyDescent="0.25">
      <c r="L54985" s="472"/>
      <c r="M54985" s="472"/>
    </row>
    <row r="55057" spans="12:13" x14ac:dyDescent="0.25">
      <c r="L55057" s="472"/>
      <c r="M55057" s="472"/>
    </row>
    <row r="55058" spans="12:13" x14ac:dyDescent="0.25">
      <c r="L55058" s="472"/>
      <c r="M55058" s="472"/>
    </row>
    <row r="55059" spans="12:13" x14ac:dyDescent="0.25">
      <c r="L55059" s="472"/>
      <c r="M55059" s="472"/>
    </row>
    <row r="55131" spans="12:13" x14ac:dyDescent="0.25">
      <c r="L55131" s="472"/>
      <c r="M55131" s="472"/>
    </row>
    <row r="55132" spans="12:13" x14ac:dyDescent="0.25">
      <c r="L55132" s="472"/>
      <c r="M55132" s="472"/>
    </row>
    <row r="55133" spans="12:13" x14ac:dyDescent="0.25">
      <c r="L55133" s="472"/>
      <c r="M55133" s="472"/>
    </row>
    <row r="55205" spans="12:13" x14ac:dyDescent="0.25">
      <c r="L55205" s="472"/>
      <c r="M55205" s="472"/>
    </row>
    <row r="55206" spans="12:13" x14ac:dyDescent="0.25">
      <c r="L55206" s="472"/>
      <c r="M55206" s="472"/>
    </row>
    <row r="55207" spans="12:13" x14ac:dyDescent="0.25">
      <c r="L55207" s="472"/>
      <c r="M55207" s="472"/>
    </row>
    <row r="55279" spans="12:13" x14ac:dyDescent="0.25">
      <c r="L55279" s="472"/>
      <c r="M55279" s="472"/>
    </row>
    <row r="55280" spans="12:13" x14ac:dyDescent="0.25">
      <c r="L55280" s="472"/>
      <c r="M55280" s="472"/>
    </row>
    <row r="55281" spans="12:13" x14ac:dyDescent="0.25">
      <c r="L55281" s="472"/>
      <c r="M55281" s="472"/>
    </row>
    <row r="55353" spans="12:13" x14ac:dyDescent="0.25">
      <c r="L55353" s="472"/>
      <c r="M55353" s="472"/>
    </row>
    <row r="55354" spans="12:13" x14ac:dyDescent="0.25">
      <c r="L55354" s="472"/>
      <c r="M55354" s="472"/>
    </row>
    <row r="55355" spans="12:13" x14ac:dyDescent="0.25">
      <c r="L55355" s="472"/>
      <c r="M55355" s="472"/>
    </row>
    <row r="55427" spans="12:13" x14ac:dyDescent="0.25">
      <c r="L55427" s="472"/>
      <c r="M55427" s="472"/>
    </row>
    <row r="55428" spans="12:13" x14ac:dyDescent="0.25">
      <c r="L55428" s="472"/>
      <c r="M55428" s="472"/>
    </row>
    <row r="55429" spans="12:13" x14ac:dyDescent="0.25">
      <c r="L55429" s="472"/>
      <c r="M55429" s="472"/>
    </row>
    <row r="55501" spans="12:13" x14ac:dyDescent="0.25">
      <c r="L55501" s="472"/>
      <c r="M55501" s="472"/>
    </row>
    <row r="55502" spans="12:13" x14ac:dyDescent="0.25">
      <c r="L55502" s="472"/>
      <c r="M55502" s="472"/>
    </row>
    <row r="55503" spans="12:13" x14ac:dyDescent="0.25">
      <c r="L55503" s="472"/>
      <c r="M55503" s="472"/>
    </row>
    <row r="55575" spans="12:13" x14ac:dyDescent="0.25">
      <c r="L55575" s="472"/>
      <c r="M55575" s="472"/>
    </row>
    <row r="55576" spans="12:13" x14ac:dyDescent="0.25">
      <c r="L55576" s="472"/>
      <c r="M55576" s="472"/>
    </row>
    <row r="55577" spans="12:13" x14ac:dyDescent="0.25">
      <c r="L55577" s="472"/>
      <c r="M55577" s="472"/>
    </row>
    <row r="55649" spans="12:13" x14ac:dyDescent="0.25">
      <c r="L55649" s="472"/>
      <c r="M55649" s="472"/>
    </row>
    <row r="55650" spans="12:13" x14ac:dyDescent="0.25">
      <c r="L55650" s="472"/>
      <c r="M55650" s="472"/>
    </row>
    <row r="55651" spans="12:13" x14ac:dyDescent="0.25">
      <c r="L55651" s="472"/>
      <c r="M55651" s="472"/>
    </row>
    <row r="55723" spans="12:13" x14ac:dyDescent="0.25">
      <c r="L55723" s="472"/>
      <c r="M55723" s="472"/>
    </row>
    <row r="55724" spans="12:13" x14ac:dyDescent="0.25">
      <c r="L55724" s="472"/>
      <c r="M55724" s="472"/>
    </row>
    <row r="55725" spans="12:13" x14ac:dyDescent="0.25">
      <c r="L55725" s="472"/>
      <c r="M55725" s="472"/>
    </row>
    <row r="55797" spans="12:13" x14ac:dyDescent="0.25">
      <c r="L55797" s="472"/>
      <c r="M55797" s="472"/>
    </row>
    <row r="55798" spans="12:13" x14ac:dyDescent="0.25">
      <c r="L55798" s="472"/>
      <c r="M55798" s="472"/>
    </row>
    <row r="55799" spans="12:13" x14ac:dyDescent="0.25">
      <c r="L55799" s="472"/>
      <c r="M55799" s="472"/>
    </row>
    <row r="55871" spans="12:13" x14ac:dyDescent="0.25">
      <c r="L55871" s="472"/>
      <c r="M55871" s="472"/>
    </row>
    <row r="55872" spans="12:13" x14ac:dyDescent="0.25">
      <c r="L55872" s="472"/>
      <c r="M55872" s="472"/>
    </row>
    <row r="55873" spans="12:13" x14ac:dyDescent="0.25">
      <c r="L55873" s="472"/>
      <c r="M55873" s="472"/>
    </row>
    <row r="55945" spans="12:13" x14ac:dyDescent="0.25">
      <c r="L55945" s="472"/>
      <c r="M55945" s="472"/>
    </row>
    <row r="55946" spans="12:13" x14ac:dyDescent="0.25">
      <c r="L55946" s="472"/>
      <c r="M55946" s="472"/>
    </row>
    <row r="55947" spans="12:13" x14ac:dyDescent="0.25">
      <c r="L55947" s="472"/>
      <c r="M55947" s="472"/>
    </row>
    <row r="56019" spans="12:13" x14ac:dyDescent="0.25">
      <c r="L56019" s="472"/>
      <c r="M56019" s="472"/>
    </row>
    <row r="56020" spans="12:13" x14ac:dyDescent="0.25">
      <c r="L56020" s="472"/>
      <c r="M56020" s="472"/>
    </row>
    <row r="56021" spans="12:13" x14ac:dyDescent="0.25">
      <c r="L56021" s="472"/>
      <c r="M56021" s="472"/>
    </row>
    <row r="56093" spans="12:13" x14ac:dyDescent="0.25">
      <c r="L56093" s="472"/>
      <c r="M56093" s="472"/>
    </row>
    <row r="56094" spans="12:13" x14ac:dyDescent="0.25">
      <c r="L56094" s="472"/>
      <c r="M56094" s="472"/>
    </row>
    <row r="56095" spans="12:13" x14ac:dyDescent="0.25">
      <c r="L56095" s="472"/>
      <c r="M56095" s="472"/>
    </row>
    <row r="56167" spans="12:13" x14ac:dyDescent="0.25">
      <c r="L56167" s="472"/>
      <c r="M56167" s="472"/>
    </row>
    <row r="56168" spans="12:13" x14ac:dyDescent="0.25">
      <c r="L56168" s="472"/>
      <c r="M56168" s="472"/>
    </row>
    <row r="56169" spans="12:13" x14ac:dyDescent="0.25">
      <c r="L56169" s="472"/>
      <c r="M56169" s="472"/>
    </row>
    <row r="56241" spans="12:13" x14ac:dyDescent="0.25">
      <c r="L56241" s="472"/>
      <c r="M56241" s="472"/>
    </row>
    <row r="56242" spans="12:13" x14ac:dyDescent="0.25">
      <c r="L56242" s="472"/>
      <c r="M56242" s="472"/>
    </row>
    <row r="56243" spans="12:13" x14ac:dyDescent="0.25">
      <c r="L56243" s="472"/>
      <c r="M56243" s="472"/>
    </row>
    <row r="56315" spans="12:13" x14ac:dyDescent="0.25">
      <c r="L56315" s="472"/>
      <c r="M56315" s="472"/>
    </row>
    <row r="56316" spans="12:13" x14ac:dyDescent="0.25">
      <c r="L56316" s="472"/>
      <c r="M56316" s="472"/>
    </row>
    <row r="56317" spans="12:13" x14ac:dyDescent="0.25">
      <c r="L56317" s="472"/>
      <c r="M56317" s="472"/>
    </row>
    <row r="56389" spans="12:13" x14ac:dyDescent="0.25">
      <c r="L56389" s="472"/>
      <c r="M56389" s="472"/>
    </row>
    <row r="56390" spans="12:13" x14ac:dyDescent="0.25">
      <c r="L56390" s="472"/>
      <c r="M56390" s="472"/>
    </row>
    <row r="56391" spans="12:13" x14ac:dyDescent="0.25">
      <c r="L56391" s="472"/>
      <c r="M56391" s="472"/>
    </row>
    <row r="56463" spans="12:13" x14ac:dyDescent="0.25">
      <c r="L56463" s="472"/>
      <c r="M56463" s="472"/>
    </row>
    <row r="56464" spans="12:13" x14ac:dyDescent="0.25">
      <c r="L56464" s="472"/>
      <c r="M56464" s="472"/>
    </row>
    <row r="56465" spans="12:13" x14ac:dyDescent="0.25">
      <c r="L56465" s="472"/>
      <c r="M56465" s="472"/>
    </row>
    <row r="56537" spans="12:13" x14ac:dyDescent="0.25">
      <c r="L56537" s="472"/>
      <c r="M56537" s="472"/>
    </row>
    <row r="56538" spans="12:13" x14ac:dyDescent="0.25">
      <c r="L56538" s="472"/>
      <c r="M56538" s="472"/>
    </row>
    <row r="56539" spans="12:13" x14ac:dyDescent="0.25">
      <c r="L56539" s="472"/>
      <c r="M56539" s="472"/>
    </row>
    <row r="56611" spans="12:13" x14ac:dyDescent="0.25">
      <c r="L56611" s="472"/>
      <c r="M56611" s="472"/>
    </row>
    <row r="56612" spans="12:13" x14ac:dyDescent="0.25">
      <c r="L56612" s="472"/>
      <c r="M56612" s="472"/>
    </row>
    <row r="56613" spans="12:13" x14ac:dyDescent="0.25">
      <c r="L56613" s="472"/>
      <c r="M56613" s="472"/>
    </row>
    <row r="56685" spans="12:13" x14ac:dyDescent="0.25">
      <c r="L56685" s="472"/>
      <c r="M56685" s="472"/>
    </row>
    <row r="56686" spans="12:13" x14ac:dyDescent="0.25">
      <c r="L56686" s="472"/>
      <c r="M56686" s="472"/>
    </row>
    <row r="56687" spans="12:13" x14ac:dyDescent="0.25">
      <c r="L56687" s="472"/>
      <c r="M56687" s="472"/>
    </row>
    <row r="56759" spans="12:13" x14ac:dyDescent="0.25">
      <c r="L56759" s="472"/>
      <c r="M56759" s="472"/>
    </row>
    <row r="56760" spans="12:13" x14ac:dyDescent="0.25">
      <c r="L56760" s="472"/>
      <c r="M56760" s="472"/>
    </row>
    <row r="56761" spans="12:13" x14ac:dyDescent="0.25">
      <c r="L56761" s="472"/>
      <c r="M56761" s="472"/>
    </row>
    <row r="56833" spans="12:13" x14ac:dyDescent="0.25">
      <c r="L56833" s="472"/>
      <c r="M56833" s="472"/>
    </row>
    <row r="56834" spans="12:13" x14ac:dyDescent="0.25">
      <c r="L56834" s="472"/>
      <c r="M56834" s="472"/>
    </row>
    <row r="56835" spans="12:13" x14ac:dyDescent="0.25">
      <c r="L56835" s="472"/>
      <c r="M56835" s="472"/>
    </row>
    <row r="56907" spans="12:13" x14ac:dyDescent="0.25">
      <c r="L56907" s="472"/>
      <c r="M56907" s="472"/>
    </row>
    <row r="56908" spans="12:13" x14ac:dyDescent="0.25">
      <c r="L56908" s="472"/>
      <c r="M56908" s="472"/>
    </row>
    <row r="56909" spans="12:13" x14ac:dyDescent="0.25">
      <c r="L56909" s="472"/>
      <c r="M56909" s="472"/>
    </row>
    <row r="56981" spans="12:13" x14ac:dyDescent="0.25">
      <c r="L56981" s="472"/>
      <c r="M56981" s="472"/>
    </row>
    <row r="56982" spans="12:13" x14ac:dyDescent="0.25">
      <c r="L56982" s="472"/>
      <c r="M56982" s="472"/>
    </row>
    <row r="56983" spans="12:13" x14ac:dyDescent="0.25">
      <c r="L56983" s="472"/>
      <c r="M56983" s="472"/>
    </row>
    <row r="57055" spans="12:13" x14ac:dyDescent="0.25">
      <c r="L57055" s="472"/>
      <c r="M57055" s="472"/>
    </row>
    <row r="57056" spans="12:13" x14ac:dyDescent="0.25">
      <c r="L57056" s="472"/>
      <c r="M57056" s="472"/>
    </row>
    <row r="57057" spans="12:13" x14ac:dyDescent="0.25">
      <c r="L57057" s="472"/>
      <c r="M57057" s="472"/>
    </row>
    <row r="57129" spans="12:13" x14ac:dyDescent="0.25">
      <c r="L57129" s="472"/>
      <c r="M57129" s="472"/>
    </row>
    <row r="57130" spans="12:13" x14ac:dyDescent="0.25">
      <c r="L57130" s="472"/>
      <c r="M57130" s="472"/>
    </row>
    <row r="57131" spans="12:13" x14ac:dyDescent="0.25">
      <c r="L57131" s="472"/>
      <c r="M57131" s="472"/>
    </row>
    <row r="57203" spans="12:13" x14ac:dyDescent="0.25">
      <c r="L57203" s="472"/>
      <c r="M57203" s="472"/>
    </row>
    <row r="57204" spans="12:13" x14ac:dyDescent="0.25">
      <c r="L57204" s="472"/>
      <c r="M57204" s="472"/>
    </row>
    <row r="57205" spans="12:13" x14ac:dyDescent="0.25">
      <c r="L57205" s="472"/>
      <c r="M57205" s="472"/>
    </row>
    <row r="57277" spans="12:13" x14ac:dyDescent="0.25">
      <c r="L57277" s="472"/>
      <c r="M57277" s="472"/>
    </row>
    <row r="57278" spans="12:13" x14ac:dyDescent="0.25">
      <c r="L57278" s="472"/>
      <c r="M57278" s="472"/>
    </row>
    <row r="57279" spans="12:13" x14ac:dyDescent="0.25">
      <c r="L57279" s="472"/>
      <c r="M57279" s="472"/>
    </row>
    <row r="57351" spans="12:13" x14ac:dyDescent="0.25">
      <c r="L57351" s="472"/>
      <c r="M57351" s="472"/>
    </row>
    <row r="57352" spans="12:13" x14ac:dyDescent="0.25">
      <c r="L57352" s="472"/>
      <c r="M57352" s="472"/>
    </row>
    <row r="57353" spans="12:13" x14ac:dyDescent="0.25">
      <c r="L57353" s="472"/>
      <c r="M57353" s="472"/>
    </row>
    <row r="57425" spans="12:13" x14ac:dyDescent="0.25">
      <c r="L57425" s="472"/>
      <c r="M57425" s="472"/>
    </row>
    <row r="57426" spans="12:13" x14ac:dyDescent="0.25">
      <c r="L57426" s="472"/>
      <c r="M57426" s="472"/>
    </row>
    <row r="57427" spans="12:13" x14ac:dyDescent="0.25">
      <c r="L57427" s="472"/>
      <c r="M57427" s="472"/>
    </row>
    <row r="57499" spans="12:13" x14ac:dyDescent="0.25">
      <c r="L57499" s="472"/>
      <c r="M57499" s="472"/>
    </row>
    <row r="57500" spans="12:13" x14ac:dyDescent="0.25">
      <c r="L57500" s="472"/>
      <c r="M57500" s="472"/>
    </row>
    <row r="57501" spans="12:13" x14ac:dyDescent="0.25">
      <c r="L57501" s="472"/>
      <c r="M57501" s="472"/>
    </row>
    <row r="57573" spans="12:13" x14ac:dyDescent="0.25">
      <c r="L57573" s="472"/>
      <c r="M57573" s="472"/>
    </row>
    <row r="57574" spans="12:13" x14ac:dyDescent="0.25">
      <c r="L57574" s="472"/>
      <c r="M57574" s="472"/>
    </row>
    <row r="57575" spans="12:13" x14ac:dyDescent="0.25">
      <c r="L57575" s="472"/>
      <c r="M57575" s="472"/>
    </row>
    <row r="57647" spans="12:13" x14ac:dyDescent="0.25">
      <c r="L57647" s="472"/>
      <c r="M57647" s="472"/>
    </row>
    <row r="57648" spans="12:13" x14ac:dyDescent="0.25">
      <c r="L57648" s="472"/>
      <c r="M57648" s="472"/>
    </row>
    <row r="57649" spans="12:13" x14ac:dyDescent="0.25">
      <c r="L57649" s="472"/>
      <c r="M57649" s="472"/>
    </row>
    <row r="57721" spans="12:13" x14ac:dyDescent="0.25">
      <c r="L57721" s="472"/>
      <c r="M57721" s="472"/>
    </row>
    <row r="57722" spans="12:13" x14ac:dyDescent="0.25">
      <c r="L57722" s="472"/>
      <c r="M57722" s="472"/>
    </row>
    <row r="57723" spans="12:13" x14ac:dyDescent="0.25">
      <c r="L57723" s="472"/>
      <c r="M57723" s="472"/>
    </row>
    <row r="57795" spans="12:13" x14ac:dyDescent="0.25">
      <c r="L57795" s="472"/>
      <c r="M57795" s="472"/>
    </row>
    <row r="57796" spans="12:13" x14ac:dyDescent="0.25">
      <c r="L57796" s="472"/>
      <c r="M57796" s="472"/>
    </row>
    <row r="57797" spans="12:13" x14ac:dyDescent="0.25">
      <c r="L57797" s="472"/>
      <c r="M57797" s="472"/>
    </row>
    <row r="57869" spans="12:13" x14ac:dyDescent="0.25">
      <c r="L57869" s="472"/>
      <c r="M57869" s="472"/>
    </row>
    <row r="57870" spans="12:13" x14ac:dyDescent="0.25">
      <c r="L57870" s="472"/>
      <c r="M57870" s="472"/>
    </row>
    <row r="57871" spans="12:13" x14ac:dyDescent="0.25">
      <c r="L57871" s="472"/>
      <c r="M57871" s="472"/>
    </row>
    <row r="57943" spans="12:13" x14ac:dyDescent="0.25">
      <c r="L57943" s="472"/>
      <c r="M57943" s="472"/>
    </row>
    <row r="57944" spans="12:13" x14ac:dyDescent="0.25">
      <c r="L57944" s="472"/>
      <c r="M57944" s="472"/>
    </row>
    <row r="57945" spans="12:13" x14ac:dyDescent="0.25">
      <c r="L57945" s="472"/>
      <c r="M57945" s="472"/>
    </row>
    <row r="58017" spans="12:13" x14ac:dyDescent="0.25">
      <c r="L58017" s="472"/>
      <c r="M58017" s="472"/>
    </row>
    <row r="58018" spans="12:13" x14ac:dyDescent="0.25">
      <c r="L58018" s="472"/>
      <c r="M58018" s="472"/>
    </row>
    <row r="58019" spans="12:13" x14ac:dyDescent="0.25">
      <c r="L58019" s="472"/>
      <c r="M58019" s="472"/>
    </row>
    <row r="58091" spans="12:13" x14ac:dyDescent="0.25">
      <c r="L58091" s="472"/>
      <c r="M58091" s="472"/>
    </row>
    <row r="58092" spans="12:13" x14ac:dyDescent="0.25">
      <c r="L58092" s="472"/>
      <c r="M58092" s="472"/>
    </row>
    <row r="58093" spans="12:13" x14ac:dyDescent="0.25">
      <c r="L58093" s="472"/>
      <c r="M58093" s="472"/>
    </row>
    <row r="58165" spans="12:13" x14ac:dyDescent="0.25">
      <c r="L58165" s="472"/>
      <c r="M58165" s="472"/>
    </row>
    <row r="58166" spans="12:13" x14ac:dyDescent="0.25">
      <c r="L58166" s="472"/>
      <c r="M58166" s="472"/>
    </row>
    <row r="58167" spans="12:13" x14ac:dyDescent="0.25">
      <c r="L58167" s="472"/>
      <c r="M58167" s="472"/>
    </row>
    <row r="58239" spans="12:13" x14ac:dyDescent="0.25">
      <c r="L58239" s="472"/>
      <c r="M58239" s="472"/>
    </row>
    <row r="58240" spans="12:13" x14ac:dyDescent="0.25">
      <c r="L58240" s="472"/>
      <c r="M58240" s="472"/>
    </row>
    <row r="58241" spans="12:13" x14ac:dyDescent="0.25">
      <c r="L58241" s="472"/>
      <c r="M58241" s="472"/>
    </row>
    <row r="58313" spans="12:13" x14ac:dyDescent="0.25">
      <c r="L58313" s="472"/>
      <c r="M58313" s="472"/>
    </row>
    <row r="58314" spans="12:13" x14ac:dyDescent="0.25">
      <c r="L58314" s="472"/>
      <c r="M58314" s="472"/>
    </row>
    <row r="58315" spans="12:13" x14ac:dyDescent="0.25">
      <c r="L58315" s="472"/>
      <c r="M58315" s="472"/>
    </row>
    <row r="58387" spans="12:13" x14ac:dyDescent="0.25">
      <c r="L58387" s="472"/>
      <c r="M58387" s="472"/>
    </row>
    <row r="58388" spans="12:13" x14ac:dyDescent="0.25">
      <c r="L58388" s="472"/>
      <c r="M58388" s="472"/>
    </row>
    <row r="58389" spans="12:13" x14ac:dyDescent="0.25">
      <c r="L58389" s="472"/>
      <c r="M58389" s="472"/>
    </row>
    <row r="58461" spans="12:13" x14ac:dyDescent="0.25">
      <c r="L58461" s="472"/>
      <c r="M58461" s="472"/>
    </row>
    <row r="58462" spans="12:13" x14ac:dyDescent="0.25">
      <c r="L58462" s="472"/>
      <c r="M58462" s="472"/>
    </row>
    <row r="58463" spans="12:13" x14ac:dyDescent="0.25">
      <c r="L58463" s="472"/>
      <c r="M58463" s="472"/>
    </row>
    <row r="58535" spans="12:13" x14ac:dyDescent="0.25">
      <c r="L58535" s="472"/>
      <c r="M58535" s="472"/>
    </row>
    <row r="58536" spans="12:13" x14ac:dyDescent="0.25">
      <c r="L58536" s="472"/>
      <c r="M58536" s="472"/>
    </row>
    <row r="58537" spans="12:13" x14ac:dyDescent="0.25">
      <c r="L58537" s="472"/>
      <c r="M58537" s="472"/>
    </row>
    <row r="58609" spans="12:13" x14ac:dyDescent="0.25">
      <c r="L58609" s="472"/>
      <c r="M58609" s="472"/>
    </row>
    <row r="58610" spans="12:13" x14ac:dyDescent="0.25">
      <c r="L58610" s="472"/>
      <c r="M58610" s="472"/>
    </row>
    <row r="58611" spans="12:13" x14ac:dyDescent="0.25">
      <c r="L58611" s="472"/>
      <c r="M58611" s="472"/>
    </row>
    <row r="58683" spans="12:13" x14ac:dyDescent="0.25">
      <c r="L58683" s="472"/>
      <c r="M58683" s="472"/>
    </row>
    <row r="58684" spans="12:13" x14ac:dyDescent="0.25">
      <c r="L58684" s="472"/>
      <c r="M58684" s="472"/>
    </row>
    <row r="58685" spans="12:13" x14ac:dyDescent="0.25">
      <c r="L58685" s="472"/>
      <c r="M58685" s="472"/>
    </row>
    <row r="58757" spans="12:13" x14ac:dyDescent="0.25">
      <c r="L58757" s="472"/>
      <c r="M58757" s="472"/>
    </row>
    <row r="58758" spans="12:13" x14ac:dyDescent="0.25">
      <c r="L58758" s="472"/>
      <c r="M58758" s="472"/>
    </row>
    <row r="58759" spans="12:13" x14ac:dyDescent="0.25">
      <c r="L58759" s="472"/>
      <c r="M58759" s="472"/>
    </row>
    <row r="58831" spans="12:13" x14ac:dyDescent="0.25">
      <c r="L58831" s="472"/>
      <c r="M58831" s="472"/>
    </row>
    <row r="58832" spans="12:13" x14ac:dyDescent="0.25">
      <c r="L58832" s="472"/>
      <c r="M58832" s="472"/>
    </row>
    <row r="58833" spans="12:13" x14ac:dyDescent="0.25">
      <c r="L58833" s="472"/>
      <c r="M58833" s="472"/>
    </row>
    <row r="58905" spans="12:13" x14ac:dyDescent="0.25">
      <c r="L58905" s="472"/>
      <c r="M58905" s="472"/>
    </row>
    <row r="58906" spans="12:13" x14ac:dyDescent="0.25">
      <c r="L58906" s="472"/>
      <c r="M58906" s="472"/>
    </row>
    <row r="58907" spans="12:13" x14ac:dyDescent="0.25">
      <c r="L58907" s="472"/>
      <c r="M58907" s="472"/>
    </row>
    <row r="58979" spans="12:13" x14ac:dyDescent="0.25">
      <c r="L58979" s="472"/>
      <c r="M58979" s="472"/>
    </row>
    <row r="58980" spans="12:13" x14ac:dyDescent="0.25">
      <c r="L58980" s="472"/>
      <c r="M58980" s="472"/>
    </row>
    <row r="58981" spans="12:13" x14ac:dyDescent="0.25">
      <c r="L58981" s="472"/>
      <c r="M58981" s="472"/>
    </row>
    <row r="59053" spans="12:13" x14ac:dyDescent="0.25">
      <c r="L59053" s="472"/>
      <c r="M59053" s="472"/>
    </row>
    <row r="59054" spans="12:13" x14ac:dyDescent="0.25">
      <c r="L59054" s="472"/>
      <c r="M59054" s="472"/>
    </row>
    <row r="59055" spans="12:13" x14ac:dyDescent="0.25">
      <c r="L59055" s="472"/>
      <c r="M59055" s="472"/>
    </row>
    <row r="59127" spans="12:13" x14ac:dyDescent="0.25">
      <c r="L59127" s="472"/>
      <c r="M59127" s="472"/>
    </row>
    <row r="59128" spans="12:13" x14ac:dyDescent="0.25">
      <c r="L59128" s="472"/>
      <c r="M59128" s="472"/>
    </row>
    <row r="59129" spans="12:13" x14ac:dyDescent="0.25">
      <c r="L59129" s="472"/>
      <c r="M59129" s="472"/>
    </row>
    <row r="59201" spans="12:13" x14ac:dyDescent="0.25">
      <c r="L59201" s="472"/>
      <c r="M59201" s="472"/>
    </row>
    <row r="59202" spans="12:13" x14ac:dyDescent="0.25">
      <c r="L59202" s="472"/>
      <c r="M59202" s="472"/>
    </row>
    <row r="59203" spans="12:13" x14ac:dyDescent="0.25">
      <c r="L59203" s="472"/>
      <c r="M59203" s="472"/>
    </row>
    <row r="59275" spans="12:13" x14ac:dyDescent="0.25">
      <c r="L59275" s="472"/>
      <c r="M59275" s="472"/>
    </row>
    <row r="59276" spans="12:13" x14ac:dyDescent="0.25">
      <c r="L59276" s="472"/>
      <c r="M59276" s="472"/>
    </row>
    <row r="59277" spans="12:13" x14ac:dyDescent="0.25">
      <c r="L59277" s="472"/>
      <c r="M59277" s="472"/>
    </row>
    <row r="59349" spans="12:13" x14ac:dyDescent="0.25">
      <c r="L59349" s="472"/>
      <c r="M59349" s="472"/>
    </row>
    <row r="59350" spans="12:13" x14ac:dyDescent="0.25">
      <c r="L59350" s="472"/>
      <c r="M59350" s="472"/>
    </row>
    <row r="59351" spans="12:13" x14ac:dyDescent="0.25">
      <c r="L59351" s="472"/>
      <c r="M59351" s="472"/>
    </row>
    <row r="59423" spans="12:13" x14ac:dyDescent="0.25">
      <c r="L59423" s="472"/>
      <c r="M59423" s="472"/>
    </row>
    <row r="59424" spans="12:13" x14ac:dyDescent="0.25">
      <c r="L59424" s="472"/>
      <c r="M59424" s="472"/>
    </row>
    <row r="59425" spans="12:13" x14ac:dyDescent="0.25">
      <c r="L59425" s="472"/>
      <c r="M59425" s="472"/>
    </row>
    <row r="59497" spans="12:13" x14ac:dyDescent="0.25">
      <c r="L59497" s="472"/>
      <c r="M59497" s="472"/>
    </row>
    <row r="59498" spans="12:13" x14ac:dyDescent="0.25">
      <c r="L59498" s="472"/>
      <c r="M59498" s="472"/>
    </row>
    <row r="59499" spans="12:13" x14ac:dyDescent="0.25">
      <c r="L59499" s="472"/>
      <c r="M59499" s="472"/>
    </row>
    <row r="59571" spans="12:13" x14ac:dyDescent="0.25">
      <c r="L59571" s="472"/>
      <c r="M59571" s="472"/>
    </row>
    <row r="59572" spans="12:13" x14ac:dyDescent="0.25">
      <c r="L59572" s="472"/>
      <c r="M59572" s="472"/>
    </row>
    <row r="59573" spans="12:13" x14ac:dyDescent="0.25">
      <c r="L59573" s="472"/>
      <c r="M59573" s="472"/>
    </row>
    <row r="59645" spans="12:13" x14ac:dyDescent="0.25">
      <c r="L59645" s="472"/>
      <c r="M59645" s="472"/>
    </row>
    <row r="59646" spans="12:13" x14ac:dyDescent="0.25">
      <c r="L59646" s="472"/>
      <c r="M59646" s="472"/>
    </row>
    <row r="59647" spans="12:13" x14ac:dyDescent="0.25">
      <c r="L59647" s="472"/>
      <c r="M59647" s="472"/>
    </row>
    <row r="59719" spans="12:13" x14ac:dyDescent="0.25">
      <c r="L59719" s="472"/>
      <c r="M59719" s="472"/>
    </row>
    <row r="59720" spans="12:13" x14ac:dyDescent="0.25">
      <c r="L59720" s="472"/>
      <c r="M59720" s="472"/>
    </row>
    <row r="59721" spans="12:13" x14ac:dyDescent="0.25">
      <c r="L59721" s="472"/>
      <c r="M59721" s="472"/>
    </row>
    <row r="59793" spans="12:13" x14ac:dyDescent="0.25">
      <c r="L59793" s="472"/>
      <c r="M59793" s="472"/>
    </row>
    <row r="59794" spans="12:13" x14ac:dyDescent="0.25">
      <c r="L59794" s="472"/>
      <c r="M59794" s="472"/>
    </row>
    <row r="59795" spans="12:13" x14ac:dyDescent="0.25">
      <c r="L59795" s="472"/>
      <c r="M59795" s="472"/>
    </row>
    <row r="59867" spans="12:13" x14ac:dyDescent="0.25">
      <c r="L59867" s="472"/>
      <c r="M59867" s="472"/>
    </row>
    <row r="59868" spans="12:13" x14ac:dyDescent="0.25">
      <c r="L59868" s="472"/>
      <c r="M59868" s="472"/>
    </row>
    <row r="59869" spans="12:13" x14ac:dyDescent="0.25">
      <c r="L59869" s="472"/>
      <c r="M59869" s="472"/>
    </row>
    <row r="59941" spans="12:13" x14ac:dyDescent="0.25">
      <c r="L59941" s="472"/>
      <c r="M59941" s="472"/>
    </row>
    <row r="59942" spans="12:13" x14ac:dyDescent="0.25">
      <c r="L59942" s="472"/>
      <c r="M59942" s="472"/>
    </row>
    <row r="59943" spans="12:13" x14ac:dyDescent="0.25">
      <c r="L59943" s="472"/>
      <c r="M59943" s="472"/>
    </row>
    <row r="60015" spans="12:13" x14ac:dyDescent="0.25">
      <c r="L60015" s="472"/>
      <c r="M60015" s="472"/>
    </row>
    <row r="60016" spans="12:13" x14ac:dyDescent="0.25">
      <c r="L60016" s="472"/>
      <c r="M60016" s="472"/>
    </row>
    <row r="60017" spans="12:13" x14ac:dyDescent="0.25">
      <c r="L60017" s="472"/>
      <c r="M60017" s="472"/>
    </row>
    <row r="60089" spans="12:13" x14ac:dyDescent="0.25">
      <c r="L60089" s="472"/>
      <c r="M60089" s="472"/>
    </row>
    <row r="60090" spans="12:13" x14ac:dyDescent="0.25">
      <c r="L60090" s="472"/>
      <c r="M60090" s="472"/>
    </row>
    <row r="60091" spans="12:13" x14ac:dyDescent="0.25">
      <c r="L60091" s="472"/>
      <c r="M60091" s="472"/>
    </row>
    <row r="60163" spans="12:13" x14ac:dyDescent="0.25">
      <c r="L60163" s="472"/>
      <c r="M60163" s="472"/>
    </row>
    <row r="60164" spans="12:13" x14ac:dyDescent="0.25">
      <c r="L60164" s="472"/>
      <c r="M60164" s="472"/>
    </row>
    <row r="60165" spans="12:13" x14ac:dyDescent="0.25">
      <c r="L60165" s="472"/>
      <c r="M60165" s="472"/>
    </row>
    <row r="60237" spans="12:13" x14ac:dyDescent="0.25">
      <c r="L60237" s="472"/>
      <c r="M60237" s="472"/>
    </row>
    <row r="60238" spans="12:13" x14ac:dyDescent="0.25">
      <c r="L60238" s="472"/>
      <c r="M60238" s="472"/>
    </row>
    <row r="60239" spans="12:13" x14ac:dyDescent="0.25">
      <c r="L60239" s="472"/>
      <c r="M60239" s="472"/>
    </row>
    <row r="60311" spans="12:13" x14ac:dyDescent="0.25">
      <c r="L60311" s="472"/>
      <c r="M60311" s="472"/>
    </row>
    <row r="60312" spans="12:13" x14ac:dyDescent="0.25">
      <c r="L60312" s="472"/>
      <c r="M60312" s="472"/>
    </row>
    <row r="60313" spans="12:13" x14ac:dyDescent="0.25">
      <c r="L60313" s="472"/>
      <c r="M60313" s="472"/>
    </row>
    <row r="60385" spans="12:13" x14ac:dyDescent="0.25">
      <c r="L60385" s="472"/>
      <c r="M60385" s="472"/>
    </row>
    <row r="60386" spans="12:13" x14ac:dyDescent="0.25">
      <c r="L60386" s="472"/>
      <c r="M60386" s="472"/>
    </row>
    <row r="60387" spans="12:13" x14ac:dyDescent="0.25">
      <c r="L60387" s="472"/>
      <c r="M60387" s="472"/>
    </row>
    <row r="60459" spans="12:13" x14ac:dyDescent="0.25">
      <c r="L60459" s="472"/>
      <c r="M60459" s="472"/>
    </row>
    <row r="60460" spans="12:13" x14ac:dyDescent="0.25">
      <c r="L60460" s="472"/>
      <c r="M60460" s="472"/>
    </row>
    <row r="60461" spans="12:13" x14ac:dyDescent="0.25">
      <c r="L60461" s="472"/>
      <c r="M60461" s="472"/>
    </row>
    <row r="60533" spans="12:13" x14ac:dyDescent="0.25">
      <c r="L60533" s="472"/>
      <c r="M60533" s="472"/>
    </row>
    <row r="60534" spans="12:13" x14ac:dyDescent="0.25">
      <c r="L60534" s="472"/>
      <c r="M60534" s="472"/>
    </row>
    <row r="60535" spans="12:13" x14ac:dyDescent="0.25">
      <c r="L60535" s="472"/>
      <c r="M60535" s="472"/>
    </row>
    <row r="60607" spans="12:13" x14ac:dyDescent="0.25">
      <c r="L60607" s="472"/>
      <c r="M60607" s="472"/>
    </row>
    <row r="60608" spans="12:13" x14ac:dyDescent="0.25">
      <c r="L60608" s="472"/>
      <c r="M60608" s="472"/>
    </row>
    <row r="60609" spans="12:13" x14ac:dyDescent="0.25">
      <c r="L60609" s="472"/>
      <c r="M60609" s="472"/>
    </row>
    <row r="60681" spans="12:13" x14ac:dyDescent="0.25">
      <c r="L60681" s="472"/>
      <c r="M60681" s="472"/>
    </row>
    <row r="60682" spans="12:13" x14ac:dyDescent="0.25">
      <c r="L60682" s="472"/>
      <c r="M60682" s="472"/>
    </row>
    <row r="60683" spans="12:13" x14ac:dyDescent="0.25">
      <c r="L60683" s="472"/>
      <c r="M60683" s="472"/>
    </row>
    <row r="60755" spans="12:13" x14ac:dyDescent="0.25">
      <c r="L60755" s="472"/>
      <c r="M60755" s="472"/>
    </row>
    <row r="60756" spans="12:13" x14ac:dyDescent="0.25">
      <c r="L60756" s="472"/>
      <c r="M60756" s="472"/>
    </row>
    <row r="60757" spans="12:13" x14ac:dyDescent="0.25">
      <c r="L60757" s="472"/>
      <c r="M60757" s="472"/>
    </row>
    <row r="60829" spans="12:13" x14ac:dyDescent="0.25">
      <c r="L60829" s="472"/>
      <c r="M60829" s="472"/>
    </row>
    <row r="60830" spans="12:13" x14ac:dyDescent="0.25">
      <c r="L60830" s="472"/>
      <c r="M60830" s="472"/>
    </row>
    <row r="60831" spans="12:13" x14ac:dyDescent="0.25">
      <c r="L60831" s="472"/>
      <c r="M60831" s="472"/>
    </row>
    <row r="60903" spans="12:13" x14ac:dyDescent="0.25">
      <c r="L60903" s="472"/>
      <c r="M60903" s="472"/>
    </row>
    <row r="60904" spans="12:13" x14ac:dyDescent="0.25">
      <c r="L60904" s="472"/>
      <c r="M60904" s="472"/>
    </row>
    <row r="60905" spans="12:13" x14ac:dyDescent="0.25">
      <c r="L60905" s="472"/>
      <c r="M60905" s="472"/>
    </row>
    <row r="60977" spans="12:13" x14ac:dyDescent="0.25">
      <c r="L60977" s="472"/>
      <c r="M60977" s="472"/>
    </row>
    <row r="60978" spans="12:13" x14ac:dyDescent="0.25">
      <c r="L60978" s="472"/>
      <c r="M60978" s="472"/>
    </row>
    <row r="60979" spans="12:13" x14ac:dyDescent="0.25">
      <c r="L60979" s="472"/>
      <c r="M60979" s="472"/>
    </row>
    <row r="61051" spans="12:13" x14ac:dyDescent="0.25">
      <c r="L61051" s="472"/>
      <c r="M61051" s="472"/>
    </row>
    <row r="61052" spans="12:13" x14ac:dyDescent="0.25">
      <c r="L61052" s="472"/>
      <c r="M61052" s="472"/>
    </row>
    <row r="61053" spans="12:13" x14ac:dyDescent="0.25">
      <c r="L61053" s="472"/>
      <c r="M61053" s="472"/>
    </row>
    <row r="61125" spans="12:13" x14ac:dyDescent="0.25">
      <c r="L61125" s="472"/>
      <c r="M61125" s="472"/>
    </row>
    <row r="61126" spans="12:13" x14ac:dyDescent="0.25">
      <c r="L61126" s="472"/>
      <c r="M61126" s="472"/>
    </row>
    <row r="61127" spans="12:13" x14ac:dyDescent="0.25">
      <c r="L61127" s="472"/>
      <c r="M61127" s="472"/>
    </row>
    <row r="61199" spans="12:13" x14ac:dyDescent="0.25">
      <c r="L61199" s="472"/>
      <c r="M61199" s="472"/>
    </row>
    <row r="61200" spans="12:13" x14ac:dyDescent="0.25">
      <c r="L61200" s="472"/>
      <c r="M61200" s="472"/>
    </row>
    <row r="61201" spans="12:13" x14ac:dyDescent="0.25">
      <c r="L61201" s="472"/>
      <c r="M61201" s="472"/>
    </row>
    <row r="61273" spans="12:13" x14ac:dyDescent="0.25">
      <c r="L61273" s="472"/>
      <c r="M61273" s="472"/>
    </row>
    <row r="61274" spans="12:13" x14ac:dyDescent="0.25">
      <c r="L61274" s="472"/>
      <c r="M61274" s="472"/>
    </row>
    <row r="61275" spans="12:13" x14ac:dyDescent="0.25">
      <c r="L61275" s="472"/>
      <c r="M61275" s="472"/>
    </row>
    <row r="61347" spans="12:13" x14ac:dyDescent="0.25">
      <c r="L61347" s="472"/>
      <c r="M61347" s="472"/>
    </row>
    <row r="61348" spans="12:13" x14ac:dyDescent="0.25">
      <c r="L61348" s="472"/>
      <c r="M61348" s="472"/>
    </row>
    <row r="61349" spans="12:13" x14ac:dyDescent="0.25">
      <c r="L61349" s="472"/>
      <c r="M61349" s="472"/>
    </row>
    <row r="61421" spans="12:13" x14ac:dyDescent="0.25">
      <c r="L61421" s="472"/>
      <c r="M61421" s="472"/>
    </row>
    <row r="61422" spans="12:13" x14ac:dyDescent="0.25">
      <c r="L61422" s="472"/>
      <c r="M61422" s="472"/>
    </row>
    <row r="61423" spans="12:13" x14ac:dyDescent="0.25">
      <c r="L61423" s="472"/>
      <c r="M61423" s="472"/>
    </row>
    <row r="61495" spans="12:13" x14ac:dyDescent="0.25">
      <c r="L61495" s="472"/>
      <c r="M61495" s="472"/>
    </row>
    <row r="61496" spans="12:13" x14ac:dyDescent="0.25">
      <c r="L61496" s="472"/>
      <c r="M61496" s="472"/>
    </row>
    <row r="61497" spans="12:13" x14ac:dyDescent="0.25">
      <c r="L61497" s="472"/>
      <c r="M61497" s="472"/>
    </row>
    <row r="61569" spans="12:13" x14ac:dyDescent="0.25">
      <c r="L61569" s="472"/>
      <c r="M61569" s="472"/>
    </row>
    <row r="61570" spans="12:13" x14ac:dyDescent="0.25">
      <c r="L61570" s="472"/>
      <c r="M61570" s="472"/>
    </row>
    <row r="61571" spans="12:13" x14ac:dyDescent="0.25">
      <c r="L61571" s="472"/>
      <c r="M61571" s="472"/>
    </row>
    <row r="61643" spans="12:13" x14ac:dyDescent="0.25">
      <c r="L61643" s="472"/>
      <c r="M61643" s="472"/>
    </row>
    <row r="61644" spans="12:13" x14ac:dyDescent="0.25">
      <c r="L61644" s="472"/>
      <c r="M61644" s="472"/>
    </row>
    <row r="61645" spans="12:13" x14ac:dyDescent="0.25">
      <c r="L61645" s="472"/>
      <c r="M61645" s="472"/>
    </row>
    <row r="61717" spans="12:13" x14ac:dyDescent="0.25">
      <c r="L61717" s="472"/>
      <c r="M61717" s="472"/>
    </row>
    <row r="61718" spans="12:13" x14ac:dyDescent="0.25">
      <c r="L61718" s="472"/>
      <c r="M61718" s="472"/>
    </row>
    <row r="61719" spans="12:13" x14ac:dyDescent="0.25">
      <c r="L61719" s="472"/>
      <c r="M61719" s="472"/>
    </row>
    <row r="61791" spans="12:13" x14ac:dyDescent="0.25">
      <c r="L61791" s="472"/>
      <c r="M61791" s="472"/>
    </row>
    <row r="61792" spans="12:13" x14ac:dyDescent="0.25">
      <c r="L61792" s="472"/>
      <c r="M61792" s="472"/>
    </row>
    <row r="61793" spans="12:13" x14ac:dyDescent="0.25">
      <c r="L61793" s="472"/>
      <c r="M61793" s="472"/>
    </row>
    <row r="61865" spans="12:13" x14ac:dyDescent="0.25">
      <c r="L61865" s="472"/>
      <c r="M61865" s="472"/>
    </row>
    <row r="61866" spans="12:13" x14ac:dyDescent="0.25">
      <c r="L61866" s="472"/>
      <c r="M61866" s="472"/>
    </row>
    <row r="61867" spans="12:13" x14ac:dyDescent="0.25">
      <c r="L61867" s="472"/>
      <c r="M61867" s="472"/>
    </row>
    <row r="61939" spans="12:13" x14ac:dyDescent="0.25">
      <c r="L61939" s="472"/>
      <c r="M61939" s="472"/>
    </row>
    <row r="61940" spans="12:13" x14ac:dyDescent="0.25">
      <c r="L61940" s="472"/>
      <c r="M61940" s="472"/>
    </row>
    <row r="61941" spans="12:13" x14ac:dyDescent="0.25">
      <c r="L61941" s="472"/>
      <c r="M61941" s="472"/>
    </row>
    <row r="62013" spans="12:13" x14ac:dyDescent="0.25">
      <c r="L62013" s="472"/>
      <c r="M62013" s="472"/>
    </row>
    <row r="62014" spans="12:13" x14ac:dyDescent="0.25">
      <c r="L62014" s="472"/>
      <c r="M62014" s="472"/>
    </row>
    <row r="62015" spans="12:13" x14ac:dyDescent="0.25">
      <c r="L62015" s="472"/>
      <c r="M62015" s="472"/>
    </row>
    <row r="62087" spans="12:13" x14ac:dyDescent="0.25">
      <c r="L62087" s="472"/>
      <c r="M62087" s="472"/>
    </row>
    <row r="62088" spans="12:13" x14ac:dyDescent="0.25">
      <c r="L62088" s="472"/>
      <c r="M62088" s="472"/>
    </row>
    <row r="62089" spans="12:13" x14ac:dyDescent="0.25">
      <c r="L62089" s="472"/>
      <c r="M62089" s="472"/>
    </row>
    <row r="62161" spans="12:13" x14ac:dyDescent="0.25">
      <c r="L62161" s="472"/>
      <c r="M62161" s="472"/>
    </row>
    <row r="62162" spans="12:13" x14ac:dyDescent="0.25">
      <c r="L62162" s="472"/>
      <c r="M62162" s="472"/>
    </row>
    <row r="62163" spans="12:13" x14ac:dyDescent="0.25">
      <c r="L62163" s="472"/>
      <c r="M62163" s="472"/>
    </row>
    <row r="62235" spans="12:13" x14ac:dyDescent="0.25">
      <c r="L62235" s="472"/>
      <c r="M62235" s="472"/>
    </row>
    <row r="62236" spans="12:13" x14ac:dyDescent="0.25">
      <c r="L62236" s="472"/>
      <c r="M62236" s="472"/>
    </row>
    <row r="62237" spans="12:13" x14ac:dyDescent="0.25">
      <c r="L62237" s="472"/>
      <c r="M62237" s="472"/>
    </row>
    <row r="62309" spans="12:13" x14ac:dyDescent="0.25">
      <c r="L62309" s="472"/>
      <c r="M62309" s="472"/>
    </row>
    <row r="62310" spans="12:13" x14ac:dyDescent="0.25">
      <c r="L62310" s="472"/>
      <c r="M62310" s="472"/>
    </row>
    <row r="62311" spans="12:13" x14ac:dyDescent="0.25">
      <c r="L62311" s="472"/>
      <c r="M62311" s="472"/>
    </row>
    <row r="62383" spans="12:13" x14ac:dyDescent="0.25">
      <c r="L62383" s="472"/>
      <c r="M62383" s="472"/>
    </row>
    <row r="62384" spans="12:13" x14ac:dyDescent="0.25">
      <c r="L62384" s="472"/>
      <c r="M62384" s="472"/>
    </row>
    <row r="62385" spans="12:13" x14ac:dyDescent="0.25">
      <c r="L62385" s="472"/>
      <c r="M62385" s="472"/>
    </row>
    <row r="62457" spans="12:13" x14ac:dyDescent="0.25">
      <c r="L62457" s="472"/>
      <c r="M62457" s="472"/>
    </row>
    <row r="62458" spans="12:13" x14ac:dyDescent="0.25">
      <c r="L62458" s="472"/>
      <c r="M62458" s="472"/>
    </row>
    <row r="62459" spans="12:13" x14ac:dyDescent="0.25">
      <c r="L62459" s="472"/>
      <c r="M62459" s="472"/>
    </row>
    <row r="62531" spans="12:13" x14ac:dyDescent="0.25">
      <c r="L62531" s="472"/>
      <c r="M62531" s="472"/>
    </row>
    <row r="62532" spans="12:13" x14ac:dyDescent="0.25">
      <c r="L62532" s="472"/>
      <c r="M62532" s="472"/>
    </row>
    <row r="62533" spans="12:13" x14ac:dyDescent="0.25">
      <c r="L62533" s="472"/>
      <c r="M62533" s="472"/>
    </row>
    <row r="62605" spans="12:13" x14ac:dyDescent="0.25">
      <c r="L62605" s="472"/>
      <c r="M62605" s="472"/>
    </row>
    <row r="62606" spans="12:13" x14ac:dyDescent="0.25">
      <c r="L62606" s="472"/>
      <c r="M62606" s="472"/>
    </row>
    <row r="62607" spans="12:13" x14ac:dyDescent="0.25">
      <c r="L62607" s="472"/>
      <c r="M62607" s="472"/>
    </row>
    <row r="62679" spans="12:13" x14ac:dyDescent="0.25">
      <c r="L62679" s="472"/>
      <c r="M62679" s="472"/>
    </row>
    <row r="62680" spans="12:13" x14ac:dyDescent="0.25">
      <c r="L62680" s="472"/>
      <c r="M62680" s="472"/>
    </row>
    <row r="62681" spans="12:13" x14ac:dyDescent="0.25">
      <c r="L62681" s="472"/>
      <c r="M62681" s="472"/>
    </row>
    <row r="62753" spans="12:13" x14ac:dyDescent="0.25">
      <c r="L62753" s="472"/>
      <c r="M62753" s="472"/>
    </row>
    <row r="62754" spans="12:13" x14ac:dyDescent="0.25">
      <c r="L62754" s="472"/>
      <c r="M62754" s="472"/>
    </row>
    <row r="62755" spans="12:13" x14ac:dyDescent="0.25">
      <c r="L62755" s="472"/>
      <c r="M62755" s="472"/>
    </row>
    <row r="62827" spans="12:13" x14ac:dyDescent="0.25">
      <c r="L62827" s="472"/>
      <c r="M62827" s="472"/>
    </row>
    <row r="62828" spans="12:13" x14ac:dyDescent="0.25">
      <c r="L62828" s="472"/>
      <c r="M62828" s="472"/>
    </row>
    <row r="62829" spans="12:13" x14ac:dyDescent="0.25">
      <c r="L62829" s="472"/>
      <c r="M62829" s="472"/>
    </row>
    <row r="62901" spans="12:13" x14ac:dyDescent="0.25">
      <c r="L62901" s="472"/>
      <c r="M62901" s="472"/>
    </row>
    <row r="62902" spans="12:13" x14ac:dyDescent="0.25">
      <c r="L62902" s="472"/>
      <c r="M62902" s="472"/>
    </row>
    <row r="62903" spans="12:13" x14ac:dyDescent="0.25">
      <c r="L62903" s="472"/>
      <c r="M62903" s="472"/>
    </row>
    <row r="62975" spans="12:13" x14ac:dyDescent="0.25">
      <c r="L62975" s="472"/>
      <c r="M62975" s="472"/>
    </row>
    <row r="62976" spans="12:13" x14ac:dyDescent="0.25">
      <c r="L62976" s="472"/>
      <c r="M62976" s="472"/>
    </row>
    <row r="62977" spans="12:13" x14ac:dyDescent="0.25">
      <c r="L62977" s="472"/>
      <c r="M62977" s="472"/>
    </row>
    <row r="63049" spans="12:13" x14ac:dyDescent="0.25">
      <c r="L63049" s="472"/>
      <c r="M63049" s="472"/>
    </row>
    <row r="63050" spans="12:13" x14ac:dyDescent="0.25">
      <c r="L63050" s="472"/>
      <c r="M63050" s="472"/>
    </row>
    <row r="63051" spans="12:13" x14ac:dyDescent="0.25">
      <c r="L63051" s="472"/>
      <c r="M63051" s="472"/>
    </row>
    <row r="63123" spans="12:13" x14ac:dyDescent="0.25">
      <c r="L63123" s="472"/>
      <c r="M63123" s="472"/>
    </row>
    <row r="63124" spans="12:13" x14ac:dyDescent="0.25">
      <c r="L63124" s="472"/>
      <c r="M63124" s="472"/>
    </row>
    <row r="63125" spans="12:13" x14ac:dyDescent="0.25">
      <c r="L63125" s="472"/>
      <c r="M63125" s="472"/>
    </row>
    <row r="63197" spans="12:13" x14ac:dyDescent="0.25">
      <c r="L63197" s="472"/>
      <c r="M63197" s="472"/>
    </row>
    <row r="63198" spans="12:13" x14ac:dyDescent="0.25">
      <c r="L63198" s="472"/>
      <c r="M63198" s="472"/>
    </row>
    <row r="63199" spans="12:13" x14ac:dyDescent="0.25">
      <c r="L63199" s="472"/>
      <c r="M63199" s="472"/>
    </row>
    <row r="63271" spans="12:13" x14ac:dyDescent="0.25">
      <c r="L63271" s="472"/>
      <c r="M63271" s="472"/>
    </row>
    <row r="63272" spans="12:13" x14ac:dyDescent="0.25">
      <c r="L63272" s="472"/>
      <c r="M63272" s="472"/>
    </row>
    <row r="63273" spans="12:13" x14ac:dyDescent="0.25">
      <c r="L63273" s="472"/>
      <c r="M63273" s="472"/>
    </row>
    <row r="63345" spans="12:13" x14ac:dyDescent="0.25">
      <c r="L63345" s="472"/>
      <c r="M63345" s="472"/>
    </row>
    <row r="63346" spans="12:13" x14ac:dyDescent="0.25">
      <c r="L63346" s="472"/>
      <c r="M63346" s="472"/>
    </row>
    <row r="63347" spans="12:13" x14ac:dyDescent="0.25">
      <c r="L63347" s="472"/>
      <c r="M63347" s="472"/>
    </row>
    <row r="63419" spans="12:13" x14ac:dyDescent="0.25">
      <c r="L63419" s="472"/>
      <c r="M63419" s="472"/>
    </row>
    <row r="63420" spans="12:13" x14ac:dyDescent="0.25">
      <c r="L63420" s="472"/>
      <c r="M63420" s="472"/>
    </row>
    <row r="63421" spans="12:13" x14ac:dyDescent="0.25">
      <c r="L63421" s="472"/>
      <c r="M63421" s="472"/>
    </row>
    <row r="63493" spans="12:13" x14ac:dyDescent="0.25">
      <c r="L63493" s="472"/>
      <c r="M63493" s="472"/>
    </row>
    <row r="63494" spans="12:13" x14ac:dyDescent="0.25">
      <c r="L63494" s="472"/>
      <c r="M63494" s="472"/>
    </row>
    <row r="63495" spans="12:13" x14ac:dyDescent="0.25">
      <c r="L63495" s="472"/>
      <c r="M63495" s="472"/>
    </row>
    <row r="63567" spans="12:13" x14ac:dyDescent="0.25">
      <c r="L63567" s="472"/>
      <c r="M63567" s="472"/>
    </row>
    <row r="63568" spans="12:13" x14ac:dyDescent="0.25">
      <c r="L63568" s="472"/>
      <c r="M63568" s="472"/>
    </row>
    <row r="63569" spans="12:13" x14ac:dyDescent="0.25">
      <c r="L63569" s="472"/>
      <c r="M63569" s="472"/>
    </row>
    <row r="63641" spans="12:13" x14ac:dyDescent="0.25">
      <c r="L63641" s="472"/>
      <c r="M63641" s="472"/>
    </row>
    <row r="63642" spans="12:13" x14ac:dyDescent="0.25">
      <c r="L63642" s="472"/>
      <c r="M63642" s="472"/>
    </row>
    <row r="63643" spans="12:13" x14ac:dyDescent="0.25">
      <c r="L63643" s="472"/>
      <c r="M63643" s="472"/>
    </row>
    <row r="63715" spans="12:13" x14ac:dyDescent="0.25">
      <c r="L63715" s="472"/>
      <c r="M63715" s="472"/>
    </row>
    <row r="63716" spans="12:13" x14ac:dyDescent="0.25">
      <c r="L63716" s="472"/>
      <c r="M63716" s="472"/>
    </row>
    <row r="63717" spans="12:13" x14ac:dyDescent="0.25">
      <c r="L63717" s="472"/>
      <c r="M63717" s="472"/>
    </row>
    <row r="63789" spans="12:13" x14ac:dyDescent="0.25">
      <c r="L63789" s="472"/>
      <c r="M63789" s="472"/>
    </row>
    <row r="63790" spans="12:13" x14ac:dyDescent="0.25">
      <c r="L63790" s="472"/>
      <c r="M63790" s="472"/>
    </row>
    <row r="63791" spans="12:13" x14ac:dyDescent="0.25">
      <c r="L63791" s="472"/>
      <c r="M63791" s="472"/>
    </row>
    <row r="63863" spans="12:13" x14ac:dyDescent="0.25">
      <c r="L63863" s="472"/>
      <c r="M63863" s="472"/>
    </row>
    <row r="63864" spans="12:13" x14ac:dyDescent="0.25">
      <c r="L63864" s="472"/>
      <c r="M63864" s="472"/>
    </row>
    <row r="63865" spans="12:13" x14ac:dyDescent="0.25">
      <c r="L63865" s="472"/>
      <c r="M63865" s="472"/>
    </row>
    <row r="63937" spans="12:13" x14ac:dyDescent="0.25">
      <c r="L63937" s="472"/>
      <c r="M63937" s="472"/>
    </row>
    <row r="63938" spans="12:13" x14ac:dyDescent="0.25">
      <c r="L63938" s="472"/>
      <c r="M63938" s="472"/>
    </row>
    <row r="63939" spans="12:13" x14ac:dyDescent="0.25">
      <c r="L63939" s="472"/>
      <c r="M63939" s="472"/>
    </row>
    <row r="64011" spans="12:13" x14ac:dyDescent="0.25">
      <c r="L64011" s="472"/>
      <c r="M64011" s="472"/>
    </row>
    <row r="64012" spans="12:13" x14ac:dyDescent="0.25">
      <c r="L64012" s="472"/>
      <c r="M64012" s="472"/>
    </row>
    <row r="64013" spans="12:13" x14ac:dyDescent="0.25">
      <c r="L64013" s="472"/>
      <c r="M64013" s="472"/>
    </row>
    <row r="64085" spans="12:13" x14ac:dyDescent="0.25">
      <c r="L64085" s="472"/>
      <c r="M64085" s="472"/>
    </row>
    <row r="64086" spans="12:13" x14ac:dyDescent="0.25">
      <c r="L64086" s="472"/>
      <c r="M64086" s="472"/>
    </row>
    <row r="64087" spans="12:13" x14ac:dyDescent="0.25">
      <c r="L64087" s="472"/>
      <c r="M64087" s="472"/>
    </row>
    <row r="64159" spans="12:13" x14ac:dyDescent="0.25">
      <c r="L64159" s="472"/>
      <c r="M64159" s="472"/>
    </row>
    <row r="64160" spans="12:13" x14ac:dyDescent="0.25">
      <c r="L64160" s="472"/>
      <c r="M64160" s="472"/>
    </row>
    <row r="64161" spans="12:13" x14ac:dyDescent="0.25">
      <c r="L64161" s="472"/>
      <c r="M64161" s="472"/>
    </row>
    <row r="64233" spans="12:13" x14ac:dyDescent="0.25">
      <c r="L64233" s="472"/>
      <c r="M64233" s="472"/>
    </row>
    <row r="64234" spans="12:13" x14ac:dyDescent="0.25">
      <c r="L64234" s="472"/>
      <c r="M64234" s="472"/>
    </row>
    <row r="64235" spans="12:13" x14ac:dyDescent="0.25">
      <c r="L64235" s="472"/>
      <c r="M64235" s="472"/>
    </row>
    <row r="64307" spans="12:13" x14ac:dyDescent="0.25">
      <c r="L64307" s="472"/>
      <c r="M64307" s="472"/>
    </row>
    <row r="64308" spans="12:13" x14ac:dyDescent="0.25">
      <c r="L64308" s="472"/>
      <c r="M64308" s="472"/>
    </row>
    <row r="64309" spans="12:13" x14ac:dyDescent="0.25">
      <c r="L64309" s="472"/>
      <c r="M64309" s="472"/>
    </row>
    <row r="64381" spans="12:13" x14ac:dyDescent="0.25">
      <c r="L64381" s="472"/>
      <c r="M64381" s="472"/>
    </row>
    <row r="64382" spans="12:13" x14ac:dyDescent="0.25">
      <c r="L64382" s="472"/>
      <c r="M64382" s="472"/>
    </row>
    <row r="64383" spans="12:13" x14ac:dyDescent="0.25">
      <c r="L64383" s="472"/>
      <c r="M64383" s="472"/>
    </row>
    <row r="64455" spans="12:13" x14ac:dyDescent="0.25">
      <c r="L64455" s="472"/>
      <c r="M64455" s="472"/>
    </row>
    <row r="64456" spans="12:13" x14ac:dyDescent="0.25">
      <c r="L64456" s="472"/>
      <c r="M64456" s="472"/>
    </row>
    <row r="64457" spans="12:13" x14ac:dyDescent="0.25">
      <c r="L64457" s="472"/>
      <c r="M64457" s="472"/>
    </row>
    <row r="64529" spans="12:13" x14ac:dyDescent="0.25">
      <c r="L64529" s="472"/>
      <c r="M64529" s="472"/>
    </row>
    <row r="64530" spans="12:13" x14ac:dyDescent="0.25">
      <c r="L64530" s="472"/>
      <c r="M64530" s="472"/>
    </row>
    <row r="64531" spans="12:13" x14ac:dyDescent="0.25">
      <c r="L64531" s="472"/>
      <c r="M64531" s="472"/>
    </row>
    <row r="64603" spans="12:13" x14ac:dyDescent="0.25">
      <c r="L64603" s="472"/>
      <c r="M64603" s="472"/>
    </row>
    <row r="64604" spans="12:13" x14ac:dyDescent="0.25">
      <c r="L64604" s="472"/>
      <c r="M64604" s="472"/>
    </row>
    <row r="64605" spans="12:13" x14ac:dyDescent="0.25">
      <c r="L64605" s="472"/>
      <c r="M64605" s="472"/>
    </row>
    <row r="64677" spans="12:13" x14ac:dyDescent="0.25">
      <c r="L64677" s="472"/>
      <c r="M64677" s="472"/>
    </row>
    <row r="64678" spans="12:13" x14ac:dyDescent="0.25">
      <c r="L64678" s="472"/>
      <c r="M64678" s="472"/>
    </row>
    <row r="64679" spans="12:13" x14ac:dyDescent="0.25">
      <c r="L64679" s="472"/>
      <c r="M64679" s="472"/>
    </row>
    <row r="64751" spans="12:13" x14ac:dyDescent="0.25">
      <c r="L64751" s="472"/>
      <c r="M64751" s="472"/>
    </row>
    <row r="64752" spans="12:13" x14ac:dyDescent="0.25">
      <c r="L64752" s="472"/>
      <c r="M64752" s="472"/>
    </row>
    <row r="64753" spans="12:13" x14ac:dyDescent="0.25">
      <c r="L64753" s="472"/>
      <c r="M64753" s="472"/>
    </row>
    <row r="64825" spans="12:13" x14ac:dyDescent="0.25">
      <c r="L64825" s="472"/>
      <c r="M64825" s="472"/>
    </row>
    <row r="64826" spans="12:13" x14ac:dyDescent="0.25">
      <c r="L64826" s="472"/>
      <c r="M64826" s="472"/>
    </row>
    <row r="64827" spans="12:13" x14ac:dyDescent="0.25">
      <c r="L64827" s="472"/>
      <c r="M64827" s="472"/>
    </row>
    <row r="64899" spans="12:13" x14ac:dyDescent="0.25">
      <c r="L64899" s="472"/>
      <c r="M64899" s="472"/>
    </row>
    <row r="64900" spans="12:13" x14ac:dyDescent="0.25">
      <c r="L64900" s="472"/>
      <c r="M64900" s="472"/>
    </row>
    <row r="64901" spans="12:13" x14ac:dyDescent="0.25">
      <c r="L64901" s="472"/>
      <c r="M64901" s="472"/>
    </row>
    <row r="64973" spans="12:13" x14ac:dyDescent="0.25">
      <c r="L64973" s="472"/>
      <c r="M64973" s="472"/>
    </row>
    <row r="64974" spans="12:13" x14ac:dyDescent="0.25">
      <c r="L64974" s="472"/>
      <c r="M64974" s="472"/>
    </row>
    <row r="64975" spans="12:13" x14ac:dyDescent="0.25">
      <c r="L64975" s="472"/>
      <c r="M64975" s="472"/>
    </row>
    <row r="65047" spans="12:13" x14ac:dyDescent="0.25">
      <c r="L65047" s="472"/>
      <c r="M65047" s="472"/>
    </row>
    <row r="65048" spans="12:13" x14ac:dyDescent="0.25">
      <c r="L65048" s="472"/>
      <c r="M65048" s="472"/>
    </row>
    <row r="65049" spans="12:13" x14ac:dyDescent="0.25">
      <c r="L65049" s="472"/>
      <c r="M65049" s="472"/>
    </row>
    <row r="65121" spans="12:13" x14ac:dyDescent="0.25">
      <c r="L65121" s="472"/>
      <c r="M65121" s="472"/>
    </row>
    <row r="65122" spans="12:13" x14ac:dyDescent="0.25">
      <c r="L65122" s="472"/>
      <c r="M65122" s="472"/>
    </row>
    <row r="65123" spans="12:13" x14ac:dyDescent="0.25">
      <c r="L65123" s="472"/>
      <c r="M65123" s="472"/>
    </row>
    <row r="65195" spans="12:13" x14ac:dyDescent="0.25">
      <c r="L65195" s="472"/>
      <c r="M65195" s="472"/>
    </row>
    <row r="65196" spans="12:13" x14ac:dyDescent="0.25">
      <c r="L65196" s="472"/>
      <c r="M65196" s="472"/>
    </row>
    <row r="65197" spans="12:13" x14ac:dyDescent="0.25">
      <c r="L65197" s="472"/>
      <c r="M65197" s="472"/>
    </row>
    <row r="65269" spans="12:13" x14ac:dyDescent="0.25">
      <c r="L65269" s="472"/>
      <c r="M65269" s="472"/>
    </row>
    <row r="65270" spans="12:13" x14ac:dyDescent="0.25">
      <c r="L65270" s="472"/>
      <c r="M65270" s="472"/>
    </row>
    <row r="65271" spans="12:13" x14ac:dyDescent="0.25">
      <c r="L65271" s="472"/>
      <c r="M65271" s="472"/>
    </row>
    <row r="65343" spans="12:13" x14ac:dyDescent="0.25">
      <c r="L65343" s="472"/>
      <c r="M65343" s="472"/>
    </row>
    <row r="65344" spans="12:13" x14ac:dyDescent="0.25">
      <c r="L65344" s="472"/>
      <c r="M65344" s="472"/>
    </row>
    <row r="65345" spans="12:13" x14ac:dyDescent="0.25">
      <c r="L65345" s="472"/>
      <c r="M65345" s="472"/>
    </row>
    <row r="65417" spans="12:13" x14ac:dyDescent="0.25">
      <c r="L65417" s="472"/>
      <c r="M65417" s="472"/>
    </row>
    <row r="65418" spans="12:13" x14ac:dyDescent="0.25">
      <c r="L65418" s="472"/>
      <c r="M65418" s="472"/>
    </row>
    <row r="65419" spans="12:13" x14ac:dyDescent="0.25">
      <c r="L65419" s="472"/>
      <c r="M65419" s="472"/>
    </row>
    <row r="65491" spans="12:13" x14ac:dyDescent="0.25">
      <c r="L65491" s="472"/>
      <c r="M65491" s="472"/>
    </row>
    <row r="65492" spans="12:13" x14ac:dyDescent="0.25">
      <c r="L65492" s="472"/>
      <c r="M65492" s="472"/>
    </row>
    <row r="65493" spans="12:13" x14ac:dyDescent="0.25">
      <c r="L65493" s="472"/>
      <c r="M65493" s="472"/>
    </row>
    <row r="65565" spans="12:13" x14ac:dyDescent="0.25">
      <c r="L65565" s="472"/>
      <c r="M65565" s="472"/>
    </row>
    <row r="65566" spans="12:13" x14ac:dyDescent="0.25">
      <c r="L65566" s="472"/>
      <c r="M65566" s="472"/>
    </row>
    <row r="65567" spans="12:13" x14ac:dyDescent="0.25">
      <c r="L65567" s="472"/>
      <c r="M65567" s="472"/>
    </row>
    <row r="65639" spans="12:13" x14ac:dyDescent="0.25">
      <c r="L65639" s="472"/>
      <c r="M65639" s="472"/>
    </row>
    <row r="65640" spans="12:13" x14ac:dyDescent="0.25">
      <c r="L65640" s="472"/>
      <c r="M65640" s="472"/>
    </row>
    <row r="65641" spans="12:13" x14ac:dyDescent="0.25">
      <c r="L65641" s="472"/>
      <c r="M65641" s="472"/>
    </row>
    <row r="65713" spans="12:13" x14ac:dyDescent="0.25">
      <c r="L65713" s="472"/>
      <c r="M65713" s="472"/>
    </row>
    <row r="65714" spans="12:13" x14ac:dyDescent="0.25">
      <c r="L65714" s="472"/>
      <c r="M65714" s="472"/>
    </row>
    <row r="65715" spans="12:13" x14ac:dyDescent="0.25">
      <c r="L65715" s="472"/>
      <c r="M65715" s="472"/>
    </row>
    <row r="65787" spans="12:13" x14ac:dyDescent="0.25">
      <c r="L65787" s="472"/>
      <c r="M65787" s="472"/>
    </row>
    <row r="65788" spans="12:13" x14ac:dyDescent="0.25">
      <c r="L65788" s="472"/>
      <c r="M65788" s="472"/>
    </row>
    <row r="65789" spans="12:13" x14ac:dyDescent="0.25">
      <c r="L65789" s="472"/>
      <c r="M65789" s="472"/>
    </row>
    <row r="65861" spans="12:13" x14ac:dyDescent="0.25">
      <c r="L65861" s="472"/>
      <c r="M65861" s="472"/>
    </row>
    <row r="65862" spans="12:13" x14ac:dyDescent="0.25">
      <c r="L65862" s="472"/>
      <c r="M65862" s="472"/>
    </row>
    <row r="65863" spans="12:13" x14ac:dyDescent="0.25">
      <c r="L65863" s="472"/>
      <c r="M65863" s="472"/>
    </row>
    <row r="65935" spans="12:13" x14ac:dyDescent="0.25">
      <c r="L65935" s="472"/>
      <c r="M65935" s="472"/>
    </row>
    <row r="65936" spans="12:13" x14ac:dyDescent="0.25">
      <c r="L65936" s="472"/>
      <c r="M65936" s="472"/>
    </row>
    <row r="65937" spans="12:13" x14ac:dyDescent="0.25">
      <c r="L65937" s="472"/>
      <c r="M65937" s="472"/>
    </row>
    <row r="66009" spans="12:13" x14ac:dyDescent="0.25">
      <c r="L66009" s="472"/>
      <c r="M66009" s="472"/>
    </row>
    <row r="66010" spans="12:13" x14ac:dyDescent="0.25">
      <c r="L66010" s="472"/>
      <c r="M66010" s="472"/>
    </row>
    <row r="66011" spans="12:13" x14ac:dyDescent="0.25">
      <c r="L66011" s="472"/>
      <c r="M66011" s="472"/>
    </row>
    <row r="66083" spans="12:13" x14ac:dyDescent="0.25">
      <c r="L66083" s="472"/>
      <c r="M66083" s="472"/>
    </row>
    <row r="66084" spans="12:13" x14ac:dyDescent="0.25">
      <c r="L66084" s="472"/>
      <c r="M66084" s="472"/>
    </row>
    <row r="66085" spans="12:13" x14ac:dyDescent="0.25">
      <c r="L66085" s="472"/>
      <c r="M66085" s="472"/>
    </row>
    <row r="66157" spans="12:13" x14ac:dyDescent="0.25">
      <c r="L66157" s="472"/>
      <c r="M66157" s="472"/>
    </row>
    <row r="66158" spans="12:13" x14ac:dyDescent="0.25">
      <c r="L66158" s="472"/>
      <c r="M66158" s="472"/>
    </row>
    <row r="66159" spans="12:13" x14ac:dyDescent="0.25">
      <c r="L66159" s="472"/>
      <c r="M66159" s="472"/>
    </row>
    <row r="66231" spans="12:13" x14ac:dyDescent="0.25">
      <c r="L66231" s="472"/>
      <c r="M66231" s="472"/>
    </row>
    <row r="66232" spans="12:13" x14ac:dyDescent="0.25">
      <c r="L66232" s="472"/>
      <c r="M66232" s="472"/>
    </row>
    <row r="66233" spans="12:13" x14ac:dyDescent="0.25">
      <c r="L66233" s="472"/>
      <c r="M66233" s="472"/>
    </row>
    <row r="66305" spans="12:13" x14ac:dyDescent="0.25">
      <c r="L66305" s="472"/>
      <c r="M66305" s="472"/>
    </row>
    <row r="66306" spans="12:13" x14ac:dyDescent="0.25">
      <c r="L66306" s="472"/>
      <c r="M66306" s="472"/>
    </row>
    <row r="66307" spans="12:13" x14ac:dyDescent="0.25">
      <c r="L66307" s="472"/>
      <c r="M66307" s="472"/>
    </row>
    <row r="66379" spans="12:13" x14ac:dyDescent="0.25">
      <c r="L66379" s="472"/>
      <c r="M66379" s="472"/>
    </row>
    <row r="66380" spans="12:13" x14ac:dyDescent="0.25">
      <c r="L66380" s="472"/>
      <c r="M66380" s="472"/>
    </row>
    <row r="66381" spans="12:13" x14ac:dyDescent="0.25">
      <c r="L66381" s="472"/>
      <c r="M66381" s="472"/>
    </row>
    <row r="66453" spans="12:13" x14ac:dyDescent="0.25">
      <c r="L66453" s="472"/>
      <c r="M66453" s="472"/>
    </row>
    <row r="66454" spans="12:13" x14ac:dyDescent="0.25">
      <c r="L66454" s="472"/>
      <c r="M66454" s="472"/>
    </row>
    <row r="66455" spans="12:13" x14ac:dyDescent="0.25">
      <c r="L66455" s="472"/>
      <c r="M66455" s="472"/>
    </row>
    <row r="66527" spans="12:13" x14ac:dyDescent="0.25">
      <c r="L66527" s="472"/>
      <c r="M66527" s="472"/>
    </row>
    <row r="66528" spans="12:13" x14ac:dyDescent="0.25">
      <c r="L66528" s="472"/>
      <c r="M66528" s="472"/>
    </row>
    <row r="66529" spans="12:13" x14ac:dyDescent="0.25">
      <c r="L66529" s="472"/>
      <c r="M66529" s="472"/>
    </row>
    <row r="66601" spans="12:13" x14ac:dyDescent="0.25">
      <c r="L66601" s="472"/>
      <c r="M66601" s="472"/>
    </row>
    <row r="66602" spans="12:13" x14ac:dyDescent="0.25">
      <c r="L66602" s="472"/>
      <c r="M66602" s="472"/>
    </row>
    <row r="66603" spans="12:13" x14ac:dyDescent="0.25">
      <c r="L66603" s="472"/>
      <c r="M66603" s="472"/>
    </row>
    <row r="66675" spans="12:13" x14ac:dyDescent="0.25">
      <c r="L66675" s="472"/>
      <c r="M66675" s="472"/>
    </row>
    <row r="66676" spans="12:13" x14ac:dyDescent="0.25">
      <c r="L66676" s="472"/>
      <c r="M66676" s="472"/>
    </row>
    <row r="66677" spans="12:13" x14ac:dyDescent="0.25">
      <c r="L66677" s="472"/>
      <c r="M66677" s="472"/>
    </row>
    <row r="66749" spans="12:13" x14ac:dyDescent="0.25">
      <c r="L66749" s="472"/>
      <c r="M66749" s="472"/>
    </row>
    <row r="66750" spans="12:13" x14ac:dyDescent="0.25">
      <c r="L66750" s="472"/>
      <c r="M66750" s="472"/>
    </row>
    <row r="66751" spans="12:13" x14ac:dyDescent="0.25">
      <c r="L66751" s="472"/>
      <c r="M66751" s="472"/>
    </row>
    <row r="66823" spans="12:13" x14ac:dyDescent="0.25">
      <c r="L66823" s="472"/>
      <c r="M66823" s="472"/>
    </row>
    <row r="66824" spans="12:13" x14ac:dyDescent="0.25">
      <c r="L66824" s="472"/>
      <c r="M66824" s="472"/>
    </row>
    <row r="66825" spans="12:13" x14ac:dyDescent="0.25">
      <c r="L66825" s="472"/>
      <c r="M66825" s="472"/>
    </row>
    <row r="66897" spans="12:13" x14ac:dyDescent="0.25">
      <c r="L66897" s="472"/>
      <c r="M66897" s="472"/>
    </row>
    <row r="66898" spans="12:13" x14ac:dyDescent="0.25">
      <c r="L66898" s="472"/>
      <c r="M66898" s="472"/>
    </row>
    <row r="66899" spans="12:13" x14ac:dyDescent="0.25">
      <c r="L66899" s="472"/>
      <c r="M66899" s="472"/>
    </row>
    <row r="66971" spans="12:13" x14ac:dyDescent="0.25">
      <c r="L66971" s="472"/>
      <c r="M66971" s="472"/>
    </row>
    <row r="66972" spans="12:13" x14ac:dyDescent="0.25">
      <c r="L66972" s="472"/>
      <c r="M66972" s="472"/>
    </row>
    <row r="66973" spans="12:13" x14ac:dyDescent="0.25">
      <c r="L66973" s="472"/>
      <c r="M66973" s="472"/>
    </row>
    <row r="67045" spans="12:13" x14ac:dyDescent="0.25">
      <c r="L67045" s="472"/>
      <c r="M67045" s="472"/>
    </row>
    <row r="67046" spans="12:13" x14ac:dyDescent="0.25">
      <c r="L67046" s="472"/>
      <c r="M67046" s="472"/>
    </row>
    <row r="67047" spans="12:13" x14ac:dyDescent="0.25">
      <c r="L67047" s="472"/>
      <c r="M67047" s="472"/>
    </row>
    <row r="67119" spans="12:13" x14ac:dyDescent="0.25">
      <c r="L67119" s="472"/>
      <c r="M67119" s="472"/>
    </row>
    <row r="67120" spans="12:13" x14ac:dyDescent="0.25">
      <c r="L67120" s="472"/>
      <c r="M67120" s="472"/>
    </row>
    <row r="67121" spans="12:13" x14ac:dyDescent="0.25">
      <c r="L67121" s="472"/>
      <c r="M67121" s="472"/>
    </row>
    <row r="67193" spans="12:13" x14ac:dyDescent="0.25">
      <c r="L67193" s="472"/>
      <c r="M67193" s="472"/>
    </row>
    <row r="67194" spans="12:13" x14ac:dyDescent="0.25">
      <c r="L67194" s="472"/>
      <c r="M67194" s="472"/>
    </row>
    <row r="67195" spans="12:13" x14ac:dyDescent="0.25">
      <c r="L67195" s="472"/>
      <c r="M67195" s="472"/>
    </row>
    <row r="67267" spans="12:13" x14ac:dyDescent="0.25">
      <c r="L67267" s="472"/>
      <c r="M67267" s="472"/>
    </row>
    <row r="67268" spans="12:13" x14ac:dyDescent="0.25">
      <c r="L67268" s="472"/>
      <c r="M67268" s="472"/>
    </row>
    <row r="67269" spans="12:13" x14ac:dyDescent="0.25">
      <c r="L67269" s="472"/>
      <c r="M67269" s="472"/>
    </row>
    <row r="67341" spans="12:13" x14ac:dyDescent="0.25">
      <c r="L67341" s="472"/>
      <c r="M67341" s="472"/>
    </row>
    <row r="67342" spans="12:13" x14ac:dyDescent="0.25">
      <c r="L67342" s="472"/>
      <c r="M67342" s="472"/>
    </row>
    <row r="67343" spans="12:13" x14ac:dyDescent="0.25">
      <c r="L67343" s="472"/>
      <c r="M67343" s="472"/>
    </row>
    <row r="67415" spans="12:13" x14ac:dyDescent="0.25">
      <c r="L67415" s="472"/>
      <c r="M67415" s="472"/>
    </row>
    <row r="67416" spans="12:13" x14ac:dyDescent="0.25">
      <c r="L67416" s="472"/>
      <c r="M67416" s="472"/>
    </row>
    <row r="67417" spans="12:13" x14ac:dyDescent="0.25">
      <c r="L67417" s="472"/>
      <c r="M67417" s="472"/>
    </row>
    <row r="67489" spans="12:13" x14ac:dyDescent="0.25">
      <c r="L67489" s="472"/>
      <c r="M67489" s="472"/>
    </row>
    <row r="67490" spans="12:13" x14ac:dyDescent="0.25">
      <c r="L67490" s="472"/>
      <c r="M67490" s="472"/>
    </row>
    <row r="67491" spans="12:13" x14ac:dyDescent="0.25">
      <c r="L67491" s="472"/>
      <c r="M67491" s="472"/>
    </row>
    <row r="67563" spans="12:13" x14ac:dyDescent="0.25">
      <c r="L67563" s="472"/>
      <c r="M67563" s="472"/>
    </row>
    <row r="67564" spans="12:13" x14ac:dyDescent="0.25">
      <c r="L67564" s="472"/>
      <c r="M67564" s="472"/>
    </row>
    <row r="67565" spans="12:13" x14ac:dyDescent="0.25">
      <c r="L67565" s="472"/>
      <c r="M67565" s="472"/>
    </row>
    <row r="67637" spans="12:13" x14ac:dyDescent="0.25">
      <c r="L67637" s="472"/>
      <c r="M67637" s="472"/>
    </row>
    <row r="67638" spans="12:13" x14ac:dyDescent="0.25">
      <c r="L67638" s="472"/>
      <c r="M67638" s="472"/>
    </row>
    <row r="67639" spans="12:13" x14ac:dyDescent="0.25">
      <c r="L67639" s="472"/>
      <c r="M67639" s="472"/>
    </row>
    <row r="67711" spans="12:13" x14ac:dyDescent="0.25">
      <c r="L67711" s="472"/>
      <c r="M67711" s="472"/>
    </row>
    <row r="67712" spans="12:13" x14ac:dyDescent="0.25">
      <c r="L67712" s="472"/>
      <c r="M67712" s="472"/>
    </row>
    <row r="67713" spans="12:13" x14ac:dyDescent="0.25">
      <c r="L67713" s="472"/>
      <c r="M67713" s="472"/>
    </row>
    <row r="67785" spans="12:13" x14ac:dyDescent="0.25">
      <c r="L67785" s="472"/>
      <c r="M67785" s="472"/>
    </row>
    <row r="67786" spans="12:13" x14ac:dyDescent="0.25">
      <c r="L67786" s="472"/>
      <c r="M67786" s="472"/>
    </row>
    <row r="67787" spans="12:13" x14ac:dyDescent="0.25">
      <c r="L67787" s="472"/>
      <c r="M67787" s="472"/>
    </row>
    <row r="67859" spans="12:13" x14ac:dyDescent="0.25">
      <c r="L67859" s="472"/>
      <c r="M67859" s="472"/>
    </row>
    <row r="67860" spans="12:13" x14ac:dyDescent="0.25">
      <c r="L67860" s="472"/>
      <c r="M67860" s="472"/>
    </row>
    <row r="67861" spans="12:13" x14ac:dyDescent="0.25">
      <c r="L67861" s="472"/>
      <c r="M67861" s="472"/>
    </row>
    <row r="67933" spans="12:13" x14ac:dyDescent="0.25">
      <c r="L67933" s="472"/>
      <c r="M67933" s="472"/>
    </row>
    <row r="67934" spans="12:13" x14ac:dyDescent="0.25">
      <c r="L67934" s="472"/>
      <c r="M67934" s="472"/>
    </row>
    <row r="67935" spans="12:13" x14ac:dyDescent="0.25">
      <c r="L67935" s="472"/>
      <c r="M67935" s="472"/>
    </row>
    <row r="68007" spans="12:13" x14ac:dyDescent="0.25">
      <c r="L68007" s="472"/>
      <c r="M68007" s="472"/>
    </row>
    <row r="68008" spans="12:13" x14ac:dyDescent="0.25">
      <c r="L68008" s="472"/>
      <c r="M68008" s="472"/>
    </row>
    <row r="68009" spans="12:13" x14ac:dyDescent="0.25">
      <c r="L68009" s="472"/>
      <c r="M68009" s="472"/>
    </row>
    <row r="68081" spans="12:13" x14ac:dyDescent="0.25">
      <c r="L68081" s="472"/>
      <c r="M68081" s="472"/>
    </row>
    <row r="68082" spans="12:13" x14ac:dyDescent="0.25">
      <c r="L68082" s="472"/>
      <c r="M68082" s="472"/>
    </row>
    <row r="68083" spans="12:13" x14ac:dyDescent="0.25">
      <c r="L68083" s="472"/>
      <c r="M68083" s="472"/>
    </row>
    <row r="68155" spans="12:13" x14ac:dyDescent="0.25">
      <c r="L68155" s="472"/>
      <c r="M68155" s="472"/>
    </row>
    <row r="68156" spans="12:13" x14ac:dyDescent="0.25">
      <c r="L68156" s="472"/>
      <c r="M68156" s="472"/>
    </row>
    <row r="68157" spans="12:13" x14ac:dyDescent="0.25">
      <c r="L68157" s="472"/>
      <c r="M68157" s="472"/>
    </row>
    <row r="68229" spans="12:13" x14ac:dyDescent="0.25">
      <c r="L68229" s="472"/>
      <c r="M68229" s="472"/>
    </row>
    <row r="68230" spans="12:13" x14ac:dyDescent="0.25">
      <c r="L68230" s="472"/>
      <c r="M68230" s="472"/>
    </row>
    <row r="68231" spans="12:13" x14ac:dyDescent="0.25">
      <c r="L68231" s="472"/>
      <c r="M68231" s="472"/>
    </row>
    <row r="68303" spans="12:13" x14ac:dyDescent="0.25">
      <c r="L68303" s="472"/>
      <c r="M68303" s="472"/>
    </row>
    <row r="68304" spans="12:13" x14ac:dyDescent="0.25">
      <c r="L68304" s="472"/>
      <c r="M68304" s="472"/>
    </row>
    <row r="68305" spans="12:13" x14ac:dyDescent="0.25">
      <c r="L68305" s="472"/>
      <c r="M68305" s="472"/>
    </row>
    <row r="68377" spans="12:13" x14ac:dyDescent="0.25">
      <c r="L68377" s="472"/>
      <c r="M68377" s="472"/>
    </row>
    <row r="68378" spans="12:13" x14ac:dyDescent="0.25">
      <c r="L68378" s="472"/>
      <c r="M68378" s="472"/>
    </row>
    <row r="68379" spans="12:13" x14ac:dyDescent="0.25">
      <c r="L68379" s="472"/>
      <c r="M68379" s="472"/>
    </row>
    <row r="68451" spans="12:13" x14ac:dyDescent="0.25">
      <c r="L68451" s="472"/>
      <c r="M68451" s="472"/>
    </row>
    <row r="68452" spans="12:13" x14ac:dyDescent="0.25">
      <c r="L68452" s="472"/>
      <c r="M68452" s="472"/>
    </row>
    <row r="68453" spans="12:13" x14ac:dyDescent="0.25">
      <c r="L68453" s="472"/>
      <c r="M68453" s="472"/>
    </row>
    <row r="68525" spans="12:13" x14ac:dyDescent="0.25">
      <c r="L68525" s="472"/>
      <c r="M68525" s="472"/>
    </row>
    <row r="68526" spans="12:13" x14ac:dyDescent="0.25">
      <c r="L68526" s="472"/>
      <c r="M68526" s="472"/>
    </row>
    <row r="68527" spans="12:13" x14ac:dyDescent="0.25">
      <c r="L68527" s="472"/>
      <c r="M68527" s="472"/>
    </row>
    <row r="68599" spans="12:13" x14ac:dyDescent="0.25">
      <c r="L68599" s="472"/>
      <c r="M68599" s="472"/>
    </row>
    <row r="68600" spans="12:13" x14ac:dyDescent="0.25">
      <c r="L68600" s="472"/>
      <c r="M68600" s="472"/>
    </row>
    <row r="68601" spans="12:13" x14ac:dyDescent="0.25">
      <c r="L68601" s="472"/>
      <c r="M68601" s="472"/>
    </row>
    <row r="68673" spans="12:13" x14ac:dyDescent="0.25">
      <c r="L68673" s="472"/>
      <c r="M68673" s="472"/>
    </row>
    <row r="68674" spans="12:13" x14ac:dyDescent="0.25">
      <c r="L68674" s="472"/>
      <c r="M68674" s="472"/>
    </row>
    <row r="68675" spans="12:13" x14ac:dyDescent="0.25">
      <c r="L68675" s="472"/>
      <c r="M68675" s="472"/>
    </row>
    <row r="68747" spans="12:13" x14ac:dyDescent="0.25">
      <c r="L68747" s="472"/>
      <c r="M68747" s="472"/>
    </row>
    <row r="68748" spans="12:13" x14ac:dyDescent="0.25">
      <c r="L68748" s="472"/>
      <c r="M68748" s="472"/>
    </row>
    <row r="68749" spans="12:13" x14ac:dyDescent="0.25">
      <c r="L68749" s="472"/>
      <c r="M68749" s="472"/>
    </row>
    <row r="68821" spans="12:13" x14ac:dyDescent="0.25">
      <c r="L68821" s="472"/>
      <c r="M68821" s="472"/>
    </row>
    <row r="68822" spans="12:13" x14ac:dyDescent="0.25">
      <c r="L68822" s="472"/>
      <c r="M68822" s="472"/>
    </row>
    <row r="68823" spans="12:13" x14ac:dyDescent="0.25">
      <c r="L68823" s="472"/>
      <c r="M68823" s="472"/>
    </row>
    <row r="68895" spans="12:13" x14ac:dyDescent="0.25">
      <c r="L68895" s="472"/>
      <c r="M68895" s="472"/>
    </row>
    <row r="68896" spans="12:13" x14ac:dyDescent="0.25">
      <c r="L68896" s="472"/>
      <c r="M68896" s="472"/>
    </row>
    <row r="68897" spans="12:13" x14ac:dyDescent="0.25">
      <c r="L68897" s="472"/>
      <c r="M68897" s="472"/>
    </row>
    <row r="68969" spans="12:13" x14ac:dyDescent="0.25">
      <c r="L68969" s="472"/>
      <c r="M68969" s="472"/>
    </row>
    <row r="68970" spans="12:13" x14ac:dyDescent="0.25">
      <c r="L68970" s="472"/>
      <c r="M68970" s="472"/>
    </row>
    <row r="68971" spans="12:13" x14ac:dyDescent="0.25">
      <c r="L68971" s="472"/>
      <c r="M68971" s="472"/>
    </row>
    <row r="69043" spans="12:13" x14ac:dyDescent="0.25">
      <c r="L69043" s="472"/>
      <c r="M69043" s="472"/>
    </row>
    <row r="69044" spans="12:13" x14ac:dyDescent="0.25">
      <c r="L69044" s="472"/>
      <c r="M69044" s="472"/>
    </row>
    <row r="69045" spans="12:13" x14ac:dyDescent="0.25">
      <c r="L69045" s="472"/>
      <c r="M69045" s="472"/>
    </row>
    <row r="69117" spans="12:13" x14ac:dyDescent="0.25">
      <c r="L69117" s="472"/>
      <c r="M69117" s="472"/>
    </row>
    <row r="69118" spans="12:13" x14ac:dyDescent="0.25">
      <c r="L69118" s="472"/>
      <c r="M69118" s="472"/>
    </row>
    <row r="69119" spans="12:13" x14ac:dyDescent="0.25">
      <c r="L69119" s="472"/>
      <c r="M69119" s="472"/>
    </row>
    <row r="69191" spans="12:13" x14ac:dyDescent="0.25">
      <c r="L69191" s="472"/>
      <c r="M69191" s="472"/>
    </row>
    <row r="69192" spans="12:13" x14ac:dyDescent="0.25">
      <c r="L69192" s="472"/>
      <c r="M69192" s="472"/>
    </row>
    <row r="69193" spans="12:13" x14ac:dyDescent="0.25">
      <c r="L69193" s="472"/>
      <c r="M69193" s="472"/>
    </row>
    <row r="69265" spans="12:13" x14ac:dyDescent="0.25">
      <c r="L69265" s="472"/>
      <c r="M69265" s="472"/>
    </row>
    <row r="69266" spans="12:13" x14ac:dyDescent="0.25">
      <c r="L69266" s="472"/>
      <c r="M69266" s="472"/>
    </row>
    <row r="69267" spans="12:13" x14ac:dyDescent="0.25">
      <c r="L69267" s="472"/>
      <c r="M69267" s="472"/>
    </row>
    <row r="69339" spans="12:13" x14ac:dyDescent="0.25">
      <c r="L69339" s="472"/>
      <c r="M69339" s="472"/>
    </row>
    <row r="69340" spans="12:13" x14ac:dyDescent="0.25">
      <c r="L69340" s="472"/>
      <c r="M69340" s="472"/>
    </row>
    <row r="69341" spans="12:13" x14ac:dyDescent="0.25">
      <c r="L69341" s="472"/>
      <c r="M69341" s="472"/>
    </row>
    <row r="69413" spans="12:13" x14ac:dyDescent="0.25">
      <c r="L69413" s="472"/>
      <c r="M69413" s="472"/>
    </row>
    <row r="69414" spans="12:13" x14ac:dyDescent="0.25">
      <c r="L69414" s="472"/>
      <c r="M69414" s="472"/>
    </row>
    <row r="69415" spans="12:13" x14ac:dyDescent="0.25">
      <c r="L69415" s="472"/>
      <c r="M69415" s="472"/>
    </row>
    <row r="69487" spans="12:13" x14ac:dyDescent="0.25">
      <c r="L69487" s="472"/>
      <c r="M69487" s="472"/>
    </row>
    <row r="69488" spans="12:13" x14ac:dyDescent="0.25">
      <c r="L69488" s="472"/>
      <c r="M69488" s="472"/>
    </row>
    <row r="69489" spans="12:13" x14ac:dyDescent="0.25">
      <c r="L69489" s="472"/>
      <c r="M69489" s="472"/>
    </row>
    <row r="69561" spans="12:13" x14ac:dyDescent="0.25">
      <c r="L69561" s="472"/>
      <c r="M69561" s="472"/>
    </row>
    <row r="69562" spans="12:13" x14ac:dyDescent="0.25">
      <c r="L69562" s="472"/>
      <c r="M69562" s="472"/>
    </row>
    <row r="69563" spans="12:13" x14ac:dyDescent="0.25">
      <c r="L69563" s="472"/>
      <c r="M69563" s="472"/>
    </row>
    <row r="69635" spans="12:13" x14ac:dyDescent="0.25">
      <c r="L69635" s="472"/>
      <c r="M69635" s="472"/>
    </row>
    <row r="69636" spans="12:13" x14ac:dyDescent="0.25">
      <c r="L69636" s="472"/>
      <c r="M69636" s="472"/>
    </row>
    <row r="69637" spans="12:13" x14ac:dyDescent="0.25">
      <c r="L69637" s="472"/>
      <c r="M69637" s="472"/>
    </row>
    <row r="69709" spans="12:13" x14ac:dyDescent="0.25">
      <c r="L69709" s="472"/>
      <c r="M69709" s="472"/>
    </row>
    <row r="69710" spans="12:13" x14ac:dyDescent="0.25">
      <c r="L69710" s="472"/>
      <c r="M69710" s="472"/>
    </row>
    <row r="69711" spans="12:13" x14ac:dyDescent="0.25">
      <c r="L69711" s="472"/>
      <c r="M69711" s="472"/>
    </row>
    <row r="69783" spans="12:13" x14ac:dyDescent="0.25">
      <c r="L69783" s="472"/>
      <c r="M69783" s="472"/>
    </row>
    <row r="69784" spans="12:13" x14ac:dyDescent="0.25">
      <c r="L69784" s="472"/>
      <c r="M69784" s="472"/>
    </row>
    <row r="69785" spans="12:13" x14ac:dyDescent="0.25">
      <c r="L69785" s="472"/>
      <c r="M69785" s="472"/>
    </row>
    <row r="69857" spans="12:13" x14ac:dyDescent="0.25">
      <c r="L69857" s="472"/>
      <c r="M69857" s="472"/>
    </row>
    <row r="69858" spans="12:13" x14ac:dyDescent="0.25">
      <c r="L69858" s="472"/>
      <c r="M69858" s="472"/>
    </row>
    <row r="69859" spans="12:13" x14ac:dyDescent="0.25">
      <c r="L69859" s="472"/>
      <c r="M69859" s="472"/>
    </row>
    <row r="69931" spans="12:13" x14ac:dyDescent="0.25">
      <c r="L69931" s="472"/>
      <c r="M69931" s="472"/>
    </row>
    <row r="69932" spans="12:13" x14ac:dyDescent="0.25">
      <c r="L69932" s="472"/>
      <c r="M69932" s="472"/>
    </row>
    <row r="69933" spans="12:13" x14ac:dyDescent="0.25">
      <c r="L69933" s="472"/>
      <c r="M69933" s="472"/>
    </row>
    <row r="70005" spans="12:13" x14ac:dyDescent="0.25">
      <c r="L70005" s="472"/>
      <c r="M70005" s="472"/>
    </row>
    <row r="70006" spans="12:13" x14ac:dyDescent="0.25">
      <c r="L70006" s="472"/>
      <c r="M70006" s="472"/>
    </row>
    <row r="70007" spans="12:13" x14ac:dyDescent="0.25">
      <c r="L70007" s="472"/>
      <c r="M70007" s="472"/>
    </row>
    <row r="70079" spans="12:13" x14ac:dyDescent="0.25">
      <c r="L70079" s="472"/>
      <c r="M70079" s="472"/>
    </row>
    <row r="70080" spans="12:13" x14ac:dyDescent="0.25">
      <c r="L70080" s="472"/>
      <c r="M70080" s="472"/>
    </row>
    <row r="70081" spans="12:13" x14ac:dyDescent="0.25">
      <c r="L70081" s="472"/>
      <c r="M70081" s="472"/>
    </row>
    <row r="70153" spans="12:13" x14ac:dyDescent="0.25">
      <c r="L70153" s="472"/>
      <c r="M70153" s="472"/>
    </row>
    <row r="70154" spans="12:13" x14ac:dyDescent="0.25">
      <c r="L70154" s="472"/>
      <c r="M70154" s="472"/>
    </row>
    <row r="70155" spans="12:13" x14ac:dyDescent="0.25">
      <c r="L70155" s="472"/>
      <c r="M70155" s="472"/>
    </row>
    <row r="70227" spans="12:13" x14ac:dyDescent="0.25">
      <c r="L70227" s="472"/>
      <c r="M70227" s="472"/>
    </row>
    <row r="70228" spans="12:13" x14ac:dyDescent="0.25">
      <c r="L70228" s="472"/>
      <c r="M70228" s="472"/>
    </row>
    <row r="70229" spans="12:13" x14ac:dyDescent="0.25">
      <c r="L70229" s="472"/>
      <c r="M70229" s="472"/>
    </row>
    <row r="70301" spans="12:13" x14ac:dyDescent="0.25">
      <c r="L70301" s="472"/>
      <c r="M70301" s="472"/>
    </row>
    <row r="70302" spans="12:13" x14ac:dyDescent="0.25">
      <c r="L70302" s="472"/>
      <c r="M70302" s="472"/>
    </row>
    <row r="70303" spans="12:13" x14ac:dyDescent="0.25">
      <c r="L70303" s="472"/>
      <c r="M70303" s="472"/>
    </row>
    <row r="70375" spans="12:13" x14ac:dyDescent="0.25">
      <c r="L70375" s="472"/>
      <c r="M70375" s="472"/>
    </row>
    <row r="70376" spans="12:13" x14ac:dyDescent="0.25">
      <c r="L70376" s="472"/>
      <c r="M70376" s="472"/>
    </row>
    <row r="70377" spans="12:13" x14ac:dyDescent="0.25">
      <c r="L70377" s="472"/>
      <c r="M70377" s="472"/>
    </row>
    <row r="70449" spans="12:13" x14ac:dyDescent="0.25">
      <c r="L70449" s="472"/>
      <c r="M70449" s="472"/>
    </row>
    <row r="70450" spans="12:13" x14ac:dyDescent="0.25">
      <c r="L70450" s="472"/>
      <c r="M70450" s="472"/>
    </row>
    <row r="70451" spans="12:13" x14ac:dyDescent="0.25">
      <c r="L70451" s="472"/>
      <c r="M70451" s="472"/>
    </row>
    <row r="70523" spans="12:13" x14ac:dyDescent="0.25">
      <c r="L70523" s="472"/>
      <c r="M70523" s="472"/>
    </row>
    <row r="70524" spans="12:13" x14ac:dyDescent="0.25">
      <c r="L70524" s="472"/>
      <c r="M70524" s="472"/>
    </row>
    <row r="70525" spans="12:13" x14ac:dyDescent="0.25">
      <c r="L70525" s="472"/>
      <c r="M70525" s="472"/>
    </row>
    <row r="70597" spans="12:13" x14ac:dyDescent="0.25">
      <c r="L70597" s="472"/>
      <c r="M70597" s="472"/>
    </row>
    <row r="70598" spans="12:13" x14ac:dyDescent="0.25">
      <c r="L70598" s="472"/>
      <c r="M70598" s="472"/>
    </row>
    <row r="70599" spans="12:13" x14ac:dyDescent="0.25">
      <c r="L70599" s="472"/>
      <c r="M70599" s="472"/>
    </row>
    <row r="70671" spans="12:13" x14ac:dyDescent="0.25">
      <c r="L70671" s="472"/>
      <c r="M70671" s="472"/>
    </row>
    <row r="70672" spans="12:13" x14ac:dyDescent="0.25">
      <c r="L70672" s="472"/>
      <c r="M70672" s="472"/>
    </row>
    <row r="70673" spans="12:13" x14ac:dyDescent="0.25">
      <c r="L70673" s="472"/>
      <c r="M70673" s="472"/>
    </row>
    <row r="70745" spans="12:13" x14ac:dyDescent="0.25">
      <c r="L70745" s="472"/>
      <c r="M70745" s="472"/>
    </row>
    <row r="70746" spans="12:13" x14ac:dyDescent="0.25">
      <c r="L70746" s="472"/>
      <c r="M70746" s="472"/>
    </row>
    <row r="70747" spans="12:13" x14ac:dyDescent="0.25">
      <c r="L70747" s="472"/>
      <c r="M70747" s="472"/>
    </row>
    <row r="70819" spans="12:13" x14ac:dyDescent="0.25">
      <c r="L70819" s="472"/>
      <c r="M70819" s="472"/>
    </row>
    <row r="70820" spans="12:13" x14ac:dyDescent="0.25">
      <c r="L70820" s="472"/>
      <c r="M70820" s="472"/>
    </row>
    <row r="70821" spans="12:13" x14ac:dyDescent="0.25">
      <c r="L70821" s="472"/>
      <c r="M70821" s="472"/>
    </row>
    <row r="70893" spans="12:13" x14ac:dyDescent="0.25">
      <c r="L70893" s="472"/>
      <c r="M70893" s="472"/>
    </row>
    <row r="70894" spans="12:13" x14ac:dyDescent="0.25">
      <c r="L70894" s="472"/>
      <c r="M70894" s="472"/>
    </row>
    <row r="70895" spans="12:13" x14ac:dyDescent="0.25">
      <c r="L70895" s="472"/>
      <c r="M70895" s="472"/>
    </row>
    <row r="70967" spans="12:13" x14ac:dyDescent="0.25">
      <c r="L70967" s="472"/>
      <c r="M70967" s="472"/>
    </row>
    <row r="70968" spans="12:13" x14ac:dyDescent="0.25">
      <c r="L70968" s="472"/>
      <c r="M70968" s="472"/>
    </row>
    <row r="70969" spans="12:13" x14ac:dyDescent="0.25">
      <c r="L70969" s="472"/>
      <c r="M70969" s="472"/>
    </row>
    <row r="71041" spans="12:13" x14ac:dyDescent="0.25">
      <c r="L71041" s="472"/>
      <c r="M71041" s="472"/>
    </row>
    <row r="71042" spans="12:13" x14ac:dyDescent="0.25">
      <c r="L71042" s="472"/>
      <c r="M71042" s="472"/>
    </row>
    <row r="71043" spans="12:13" x14ac:dyDescent="0.25">
      <c r="L71043" s="472"/>
      <c r="M71043" s="472"/>
    </row>
    <row r="71115" spans="12:13" x14ac:dyDescent="0.25">
      <c r="L71115" s="472"/>
      <c r="M71115" s="472"/>
    </row>
    <row r="71116" spans="12:13" x14ac:dyDescent="0.25">
      <c r="L71116" s="472"/>
      <c r="M71116" s="472"/>
    </row>
    <row r="71117" spans="12:13" x14ac:dyDescent="0.25">
      <c r="L71117" s="472"/>
      <c r="M71117" s="472"/>
    </row>
    <row r="71189" spans="12:13" x14ac:dyDescent="0.25">
      <c r="L71189" s="472"/>
      <c r="M71189" s="472"/>
    </row>
    <row r="71190" spans="12:13" x14ac:dyDescent="0.25">
      <c r="L71190" s="472"/>
      <c r="M71190" s="472"/>
    </row>
    <row r="71191" spans="12:13" x14ac:dyDescent="0.25">
      <c r="L71191" s="472"/>
      <c r="M71191" s="472"/>
    </row>
    <row r="71263" spans="12:13" x14ac:dyDescent="0.25">
      <c r="L71263" s="472"/>
      <c r="M71263" s="472"/>
    </row>
    <row r="71264" spans="12:13" x14ac:dyDescent="0.25">
      <c r="L71264" s="472"/>
      <c r="M71264" s="472"/>
    </row>
    <row r="71265" spans="12:13" x14ac:dyDescent="0.25">
      <c r="L71265" s="472"/>
      <c r="M71265" s="472"/>
    </row>
    <row r="71337" spans="12:13" x14ac:dyDescent="0.25">
      <c r="L71337" s="472"/>
      <c r="M71337" s="472"/>
    </row>
    <row r="71338" spans="12:13" x14ac:dyDescent="0.25">
      <c r="L71338" s="472"/>
      <c r="M71338" s="472"/>
    </row>
    <row r="71339" spans="12:13" x14ac:dyDescent="0.25">
      <c r="L71339" s="472"/>
      <c r="M71339" s="472"/>
    </row>
    <row r="71411" spans="12:13" x14ac:dyDescent="0.25">
      <c r="L71411" s="472"/>
      <c r="M71411" s="472"/>
    </row>
    <row r="71412" spans="12:13" x14ac:dyDescent="0.25">
      <c r="L71412" s="472"/>
      <c r="M71412" s="472"/>
    </row>
    <row r="71413" spans="12:13" x14ac:dyDescent="0.25">
      <c r="L71413" s="472"/>
      <c r="M71413" s="472"/>
    </row>
    <row r="71485" spans="12:13" x14ac:dyDescent="0.25">
      <c r="L71485" s="472"/>
      <c r="M71485" s="472"/>
    </row>
    <row r="71486" spans="12:13" x14ac:dyDescent="0.25">
      <c r="L71486" s="472"/>
      <c r="M71486" s="472"/>
    </row>
    <row r="71487" spans="12:13" x14ac:dyDescent="0.25">
      <c r="L71487" s="472"/>
      <c r="M71487" s="472"/>
    </row>
    <row r="71559" spans="12:13" x14ac:dyDescent="0.25">
      <c r="L71559" s="472"/>
      <c r="M71559" s="472"/>
    </row>
    <row r="71560" spans="12:13" x14ac:dyDescent="0.25">
      <c r="L71560" s="472"/>
      <c r="M71560" s="472"/>
    </row>
    <row r="71561" spans="12:13" x14ac:dyDescent="0.25">
      <c r="L71561" s="472"/>
      <c r="M71561" s="472"/>
    </row>
    <row r="71633" spans="12:13" x14ac:dyDescent="0.25">
      <c r="L71633" s="472"/>
      <c r="M71633" s="472"/>
    </row>
    <row r="71634" spans="12:13" x14ac:dyDescent="0.25">
      <c r="L71634" s="472"/>
      <c r="M71634" s="472"/>
    </row>
    <row r="71635" spans="12:13" x14ac:dyDescent="0.25">
      <c r="L71635" s="472"/>
      <c r="M71635" s="472"/>
    </row>
    <row r="71707" spans="12:13" x14ac:dyDescent="0.25">
      <c r="L71707" s="472"/>
      <c r="M71707" s="472"/>
    </row>
    <row r="71708" spans="12:13" x14ac:dyDescent="0.25">
      <c r="L71708" s="472"/>
      <c r="M71708" s="472"/>
    </row>
    <row r="71709" spans="12:13" x14ac:dyDescent="0.25">
      <c r="L71709" s="472"/>
      <c r="M71709" s="472"/>
    </row>
    <row r="71781" spans="12:13" x14ac:dyDescent="0.25">
      <c r="L71781" s="472"/>
      <c r="M71781" s="472"/>
    </row>
    <row r="71782" spans="12:13" x14ac:dyDescent="0.25">
      <c r="L71782" s="472"/>
      <c r="M71782" s="472"/>
    </row>
    <row r="71783" spans="12:13" x14ac:dyDescent="0.25">
      <c r="L71783" s="472"/>
      <c r="M71783" s="472"/>
    </row>
    <row r="71855" spans="12:13" x14ac:dyDescent="0.25">
      <c r="L71855" s="472"/>
      <c r="M71855" s="472"/>
    </row>
    <row r="71856" spans="12:13" x14ac:dyDescent="0.25">
      <c r="L71856" s="472"/>
      <c r="M71856" s="472"/>
    </row>
    <row r="71857" spans="12:13" x14ac:dyDescent="0.25">
      <c r="L71857" s="472"/>
      <c r="M71857" s="472"/>
    </row>
    <row r="71929" spans="12:13" x14ac:dyDescent="0.25">
      <c r="L71929" s="472"/>
      <c r="M71929" s="472"/>
    </row>
    <row r="71930" spans="12:13" x14ac:dyDescent="0.25">
      <c r="L71930" s="472"/>
      <c r="M71930" s="472"/>
    </row>
    <row r="71931" spans="12:13" x14ac:dyDescent="0.25">
      <c r="L71931" s="472"/>
      <c r="M71931" s="472"/>
    </row>
    <row r="72003" spans="12:13" x14ac:dyDescent="0.25">
      <c r="L72003" s="472"/>
      <c r="M72003" s="472"/>
    </row>
    <row r="72004" spans="12:13" x14ac:dyDescent="0.25">
      <c r="L72004" s="472"/>
      <c r="M72004" s="472"/>
    </row>
    <row r="72005" spans="12:13" x14ac:dyDescent="0.25">
      <c r="L72005" s="472"/>
      <c r="M72005" s="472"/>
    </row>
    <row r="72077" spans="12:13" x14ac:dyDescent="0.25">
      <c r="L72077" s="472"/>
      <c r="M72077" s="472"/>
    </row>
    <row r="72078" spans="12:13" x14ac:dyDescent="0.25">
      <c r="L72078" s="472"/>
      <c r="M72078" s="472"/>
    </row>
    <row r="72079" spans="12:13" x14ac:dyDescent="0.25">
      <c r="L72079" s="472"/>
      <c r="M72079" s="472"/>
    </row>
    <row r="72151" spans="12:13" x14ac:dyDescent="0.25">
      <c r="L72151" s="472"/>
      <c r="M72151" s="472"/>
    </row>
    <row r="72152" spans="12:13" x14ac:dyDescent="0.25">
      <c r="L72152" s="472"/>
      <c r="M72152" s="472"/>
    </row>
    <row r="72153" spans="12:13" x14ac:dyDescent="0.25">
      <c r="L72153" s="472"/>
      <c r="M72153" s="472"/>
    </row>
    <row r="72225" spans="12:13" x14ac:dyDescent="0.25">
      <c r="L72225" s="472"/>
      <c r="M72225" s="472"/>
    </row>
    <row r="72226" spans="12:13" x14ac:dyDescent="0.25">
      <c r="L72226" s="472"/>
      <c r="M72226" s="472"/>
    </row>
    <row r="72227" spans="12:13" x14ac:dyDescent="0.25">
      <c r="L72227" s="472"/>
      <c r="M72227" s="472"/>
    </row>
    <row r="72299" spans="12:13" x14ac:dyDescent="0.25">
      <c r="L72299" s="472"/>
      <c r="M72299" s="472"/>
    </row>
    <row r="72300" spans="12:13" x14ac:dyDescent="0.25">
      <c r="L72300" s="472"/>
      <c r="M72300" s="472"/>
    </row>
    <row r="72301" spans="12:13" x14ac:dyDescent="0.25">
      <c r="L72301" s="472"/>
      <c r="M72301" s="472"/>
    </row>
    <row r="72373" spans="12:13" x14ac:dyDescent="0.25">
      <c r="L72373" s="472"/>
      <c r="M72373" s="472"/>
    </row>
    <row r="72374" spans="12:13" x14ac:dyDescent="0.25">
      <c r="L72374" s="472"/>
      <c r="M72374" s="472"/>
    </row>
    <row r="72375" spans="12:13" x14ac:dyDescent="0.25">
      <c r="L72375" s="472"/>
      <c r="M72375" s="472"/>
    </row>
    <row r="72447" spans="12:13" x14ac:dyDescent="0.25">
      <c r="L72447" s="472"/>
      <c r="M72447" s="472"/>
    </row>
    <row r="72448" spans="12:13" x14ac:dyDescent="0.25">
      <c r="L72448" s="472"/>
      <c r="M72448" s="472"/>
    </row>
    <row r="72449" spans="12:13" x14ac:dyDescent="0.25">
      <c r="L72449" s="472"/>
      <c r="M72449" s="472"/>
    </row>
    <row r="72521" spans="12:13" x14ac:dyDescent="0.25">
      <c r="L72521" s="472"/>
      <c r="M72521" s="472"/>
    </row>
    <row r="72522" spans="12:13" x14ac:dyDescent="0.25">
      <c r="L72522" s="472"/>
      <c r="M72522" s="472"/>
    </row>
    <row r="72523" spans="12:13" x14ac:dyDescent="0.25">
      <c r="L72523" s="472"/>
      <c r="M72523" s="472"/>
    </row>
    <row r="72595" spans="12:13" x14ac:dyDescent="0.25">
      <c r="L72595" s="472"/>
      <c r="M72595" s="472"/>
    </row>
    <row r="72596" spans="12:13" x14ac:dyDescent="0.25">
      <c r="L72596" s="472"/>
      <c r="M72596" s="472"/>
    </row>
    <row r="72597" spans="12:13" x14ac:dyDescent="0.25">
      <c r="L72597" s="472"/>
      <c r="M72597" s="472"/>
    </row>
    <row r="72669" spans="12:13" x14ac:dyDescent="0.25">
      <c r="L72669" s="472"/>
      <c r="M72669" s="472"/>
    </row>
    <row r="72670" spans="12:13" x14ac:dyDescent="0.25">
      <c r="L72670" s="472"/>
      <c r="M72670" s="472"/>
    </row>
    <row r="72671" spans="12:13" x14ac:dyDescent="0.25">
      <c r="L72671" s="472"/>
      <c r="M72671" s="472"/>
    </row>
    <row r="72743" spans="12:13" x14ac:dyDescent="0.25">
      <c r="L72743" s="472"/>
      <c r="M72743" s="472"/>
    </row>
    <row r="72744" spans="12:13" x14ac:dyDescent="0.25">
      <c r="L72744" s="472"/>
      <c r="M72744" s="472"/>
    </row>
    <row r="72745" spans="12:13" x14ac:dyDescent="0.25">
      <c r="L72745" s="472"/>
      <c r="M72745" s="472"/>
    </row>
    <row r="72817" spans="12:13" x14ac:dyDescent="0.25">
      <c r="L72817" s="472"/>
      <c r="M72817" s="472"/>
    </row>
    <row r="72818" spans="12:13" x14ac:dyDescent="0.25">
      <c r="L72818" s="472"/>
      <c r="M72818" s="472"/>
    </row>
    <row r="72819" spans="12:13" x14ac:dyDescent="0.25">
      <c r="L72819" s="472"/>
      <c r="M72819" s="472"/>
    </row>
    <row r="72891" spans="12:13" x14ac:dyDescent="0.25">
      <c r="L72891" s="472"/>
      <c r="M72891" s="472"/>
    </row>
    <row r="72892" spans="12:13" x14ac:dyDescent="0.25">
      <c r="L72892" s="472"/>
      <c r="M72892" s="472"/>
    </row>
    <row r="72893" spans="12:13" x14ac:dyDescent="0.25">
      <c r="L72893" s="472"/>
      <c r="M72893" s="472"/>
    </row>
    <row r="72965" spans="12:13" x14ac:dyDescent="0.25">
      <c r="L72965" s="472"/>
      <c r="M72965" s="472"/>
    </row>
    <row r="72966" spans="12:13" x14ac:dyDescent="0.25">
      <c r="L72966" s="472"/>
      <c r="M72966" s="472"/>
    </row>
    <row r="72967" spans="12:13" x14ac:dyDescent="0.25">
      <c r="L72967" s="472"/>
      <c r="M72967" s="472"/>
    </row>
    <row r="73039" spans="12:13" x14ac:dyDescent="0.25">
      <c r="L73039" s="472"/>
      <c r="M73039" s="472"/>
    </row>
    <row r="73040" spans="12:13" x14ac:dyDescent="0.25">
      <c r="L73040" s="472"/>
      <c r="M73040" s="472"/>
    </row>
    <row r="73041" spans="12:13" x14ac:dyDescent="0.25">
      <c r="L73041" s="472"/>
      <c r="M73041" s="472"/>
    </row>
    <row r="73113" spans="12:13" x14ac:dyDescent="0.25">
      <c r="L73113" s="472"/>
      <c r="M73113" s="472"/>
    </row>
    <row r="73114" spans="12:13" x14ac:dyDescent="0.25">
      <c r="L73114" s="472"/>
      <c r="M73114" s="472"/>
    </row>
    <row r="73115" spans="12:13" x14ac:dyDescent="0.25">
      <c r="L73115" s="472"/>
      <c r="M73115" s="472"/>
    </row>
    <row r="73187" spans="12:13" x14ac:dyDescent="0.25">
      <c r="L73187" s="472"/>
      <c r="M73187" s="472"/>
    </row>
    <row r="73188" spans="12:13" x14ac:dyDescent="0.25">
      <c r="L73188" s="472"/>
      <c r="M73188" s="472"/>
    </row>
    <row r="73189" spans="12:13" x14ac:dyDescent="0.25">
      <c r="L73189" s="472"/>
      <c r="M73189" s="472"/>
    </row>
    <row r="73261" spans="12:13" x14ac:dyDescent="0.25">
      <c r="L73261" s="472"/>
      <c r="M73261" s="472"/>
    </row>
    <row r="73262" spans="12:13" x14ac:dyDescent="0.25">
      <c r="L73262" s="472"/>
      <c r="M73262" s="472"/>
    </row>
    <row r="73263" spans="12:13" x14ac:dyDescent="0.25">
      <c r="L73263" s="472"/>
      <c r="M73263" s="472"/>
    </row>
    <row r="73335" spans="12:13" x14ac:dyDescent="0.25">
      <c r="L73335" s="472"/>
      <c r="M73335" s="472"/>
    </row>
    <row r="73336" spans="12:13" x14ac:dyDescent="0.25">
      <c r="L73336" s="472"/>
      <c r="M73336" s="472"/>
    </row>
    <row r="73337" spans="12:13" x14ac:dyDescent="0.25">
      <c r="L73337" s="472"/>
      <c r="M73337" s="472"/>
    </row>
    <row r="73409" spans="12:13" x14ac:dyDescent="0.25">
      <c r="L73409" s="472"/>
      <c r="M73409" s="472"/>
    </row>
    <row r="73410" spans="12:13" x14ac:dyDescent="0.25">
      <c r="L73410" s="472"/>
      <c r="M73410" s="472"/>
    </row>
    <row r="73411" spans="12:13" x14ac:dyDescent="0.25">
      <c r="L73411" s="472"/>
      <c r="M73411" s="472"/>
    </row>
    <row r="73483" spans="12:13" x14ac:dyDescent="0.25">
      <c r="L73483" s="472"/>
      <c r="M73483" s="472"/>
    </row>
    <row r="73484" spans="12:13" x14ac:dyDescent="0.25">
      <c r="L73484" s="472"/>
      <c r="M73484" s="472"/>
    </row>
    <row r="73485" spans="12:13" x14ac:dyDescent="0.25">
      <c r="L73485" s="472"/>
      <c r="M73485" s="472"/>
    </row>
    <row r="73557" spans="12:13" x14ac:dyDescent="0.25">
      <c r="L73557" s="472"/>
      <c r="M73557" s="472"/>
    </row>
    <row r="73558" spans="12:13" x14ac:dyDescent="0.25">
      <c r="L73558" s="472"/>
      <c r="M73558" s="472"/>
    </row>
    <row r="73559" spans="12:13" x14ac:dyDescent="0.25">
      <c r="L73559" s="472"/>
      <c r="M73559" s="472"/>
    </row>
    <row r="73631" spans="12:13" x14ac:dyDescent="0.25">
      <c r="L73631" s="472"/>
      <c r="M73631" s="472"/>
    </row>
    <row r="73632" spans="12:13" x14ac:dyDescent="0.25">
      <c r="L73632" s="472"/>
      <c r="M73632" s="472"/>
    </row>
    <row r="73633" spans="12:13" x14ac:dyDescent="0.25">
      <c r="L73633" s="472"/>
      <c r="M73633" s="472"/>
    </row>
    <row r="73705" spans="12:13" x14ac:dyDescent="0.25">
      <c r="L73705" s="472"/>
      <c r="M73705" s="472"/>
    </row>
    <row r="73706" spans="12:13" x14ac:dyDescent="0.25">
      <c r="L73706" s="472"/>
      <c r="M73706" s="472"/>
    </row>
    <row r="73707" spans="12:13" x14ac:dyDescent="0.25">
      <c r="L73707" s="472"/>
      <c r="M73707" s="472"/>
    </row>
    <row r="73779" spans="12:13" x14ac:dyDescent="0.25">
      <c r="L73779" s="472"/>
      <c r="M73779" s="472"/>
    </row>
    <row r="73780" spans="12:13" x14ac:dyDescent="0.25">
      <c r="L73780" s="472"/>
      <c r="M73780" s="472"/>
    </row>
    <row r="73781" spans="12:13" x14ac:dyDescent="0.25">
      <c r="L73781" s="472"/>
      <c r="M73781" s="472"/>
    </row>
    <row r="73853" spans="12:13" x14ac:dyDescent="0.25">
      <c r="L73853" s="472"/>
      <c r="M73853" s="472"/>
    </row>
    <row r="73854" spans="12:13" x14ac:dyDescent="0.25">
      <c r="L73854" s="472"/>
      <c r="M73854" s="472"/>
    </row>
    <row r="73855" spans="12:13" x14ac:dyDescent="0.25">
      <c r="L73855" s="472"/>
      <c r="M73855" s="472"/>
    </row>
    <row r="73927" spans="12:13" x14ac:dyDescent="0.25">
      <c r="L73927" s="472"/>
      <c r="M73927" s="472"/>
    </row>
    <row r="73928" spans="12:13" x14ac:dyDescent="0.25">
      <c r="L73928" s="472"/>
      <c r="M73928" s="472"/>
    </row>
    <row r="73929" spans="12:13" x14ac:dyDescent="0.25">
      <c r="L73929" s="472"/>
      <c r="M73929" s="472"/>
    </row>
    <row r="74001" spans="12:13" x14ac:dyDescent="0.25">
      <c r="L74001" s="472"/>
      <c r="M74001" s="472"/>
    </row>
    <row r="74002" spans="12:13" x14ac:dyDescent="0.25">
      <c r="L74002" s="472"/>
      <c r="M74002" s="472"/>
    </row>
    <row r="74003" spans="12:13" x14ac:dyDescent="0.25">
      <c r="L74003" s="472"/>
      <c r="M74003" s="472"/>
    </row>
    <row r="74075" spans="12:13" x14ac:dyDescent="0.25">
      <c r="L74075" s="472"/>
      <c r="M74075" s="472"/>
    </row>
    <row r="74076" spans="12:13" x14ac:dyDescent="0.25">
      <c r="L74076" s="472"/>
      <c r="M74076" s="472"/>
    </row>
    <row r="74077" spans="12:13" x14ac:dyDescent="0.25">
      <c r="L74077" s="472"/>
      <c r="M74077" s="472"/>
    </row>
    <row r="74149" spans="12:13" x14ac:dyDescent="0.25">
      <c r="L74149" s="472"/>
      <c r="M74149" s="472"/>
    </row>
    <row r="74150" spans="12:13" x14ac:dyDescent="0.25">
      <c r="L74150" s="472"/>
      <c r="M74150" s="472"/>
    </row>
    <row r="74151" spans="12:13" x14ac:dyDescent="0.25">
      <c r="L74151" s="472"/>
      <c r="M74151" s="472"/>
    </row>
    <row r="74223" spans="12:13" x14ac:dyDescent="0.25">
      <c r="L74223" s="472"/>
      <c r="M74223" s="472"/>
    </row>
    <row r="74224" spans="12:13" x14ac:dyDescent="0.25">
      <c r="L74224" s="472"/>
      <c r="M74224" s="472"/>
    </row>
    <row r="74225" spans="12:13" x14ac:dyDescent="0.25">
      <c r="L74225" s="472"/>
      <c r="M74225" s="472"/>
    </row>
    <row r="74297" spans="12:13" x14ac:dyDescent="0.25">
      <c r="L74297" s="472"/>
      <c r="M74297" s="472"/>
    </row>
    <row r="74298" spans="12:13" x14ac:dyDescent="0.25">
      <c r="L74298" s="472"/>
      <c r="M74298" s="472"/>
    </row>
    <row r="74299" spans="12:13" x14ac:dyDescent="0.25">
      <c r="L74299" s="472"/>
      <c r="M74299" s="472"/>
    </row>
    <row r="74371" spans="12:13" x14ac:dyDescent="0.25">
      <c r="L74371" s="472"/>
      <c r="M74371" s="472"/>
    </row>
    <row r="74372" spans="12:13" x14ac:dyDescent="0.25">
      <c r="L74372" s="472"/>
      <c r="M74372" s="472"/>
    </row>
    <row r="74373" spans="12:13" x14ac:dyDescent="0.25">
      <c r="L74373" s="472"/>
      <c r="M74373" s="472"/>
    </row>
    <row r="74445" spans="12:13" x14ac:dyDescent="0.25">
      <c r="L74445" s="472"/>
      <c r="M74445" s="472"/>
    </row>
    <row r="74446" spans="12:13" x14ac:dyDescent="0.25">
      <c r="L74446" s="472"/>
      <c r="M74446" s="472"/>
    </row>
    <row r="74447" spans="12:13" x14ac:dyDescent="0.25">
      <c r="L74447" s="472"/>
      <c r="M74447" s="472"/>
    </row>
    <row r="74519" spans="12:13" x14ac:dyDescent="0.25">
      <c r="L74519" s="472"/>
      <c r="M74519" s="472"/>
    </row>
    <row r="74520" spans="12:13" x14ac:dyDescent="0.25">
      <c r="L74520" s="472"/>
      <c r="M74520" s="472"/>
    </row>
    <row r="74521" spans="12:13" x14ac:dyDescent="0.25">
      <c r="L74521" s="472"/>
      <c r="M74521" s="472"/>
    </row>
    <row r="74593" spans="12:13" x14ac:dyDescent="0.25">
      <c r="L74593" s="472"/>
      <c r="M74593" s="472"/>
    </row>
    <row r="74594" spans="12:13" x14ac:dyDescent="0.25">
      <c r="L74594" s="472"/>
      <c r="M74594" s="472"/>
    </row>
    <row r="74595" spans="12:13" x14ac:dyDescent="0.25">
      <c r="L74595" s="472"/>
      <c r="M74595" s="472"/>
    </row>
    <row r="74667" spans="12:13" x14ac:dyDescent="0.25">
      <c r="L74667" s="472"/>
      <c r="M74667" s="472"/>
    </row>
    <row r="74668" spans="12:13" x14ac:dyDescent="0.25">
      <c r="L74668" s="472"/>
      <c r="M74668" s="472"/>
    </row>
    <row r="74669" spans="12:13" x14ac:dyDescent="0.25">
      <c r="L74669" s="472"/>
      <c r="M74669" s="472"/>
    </row>
    <row r="74741" spans="12:13" x14ac:dyDescent="0.25">
      <c r="L74741" s="472"/>
      <c r="M74741" s="472"/>
    </row>
    <row r="74742" spans="12:13" x14ac:dyDescent="0.25">
      <c r="L74742" s="472"/>
      <c r="M74742" s="472"/>
    </row>
    <row r="74743" spans="12:13" x14ac:dyDescent="0.25">
      <c r="L74743" s="472"/>
      <c r="M74743" s="472"/>
    </row>
    <row r="74815" spans="12:13" x14ac:dyDescent="0.25">
      <c r="L74815" s="472"/>
      <c r="M74815" s="472"/>
    </row>
    <row r="74816" spans="12:13" x14ac:dyDescent="0.25">
      <c r="L74816" s="472"/>
      <c r="M74816" s="472"/>
    </row>
    <row r="74817" spans="12:13" x14ac:dyDescent="0.25">
      <c r="L74817" s="472"/>
      <c r="M74817" s="472"/>
    </row>
    <row r="74889" spans="12:13" x14ac:dyDescent="0.25">
      <c r="L74889" s="472"/>
      <c r="M74889" s="472"/>
    </row>
    <row r="74890" spans="12:13" x14ac:dyDescent="0.25">
      <c r="L74890" s="472"/>
      <c r="M74890" s="472"/>
    </row>
    <row r="74891" spans="12:13" x14ac:dyDescent="0.25">
      <c r="L74891" s="472"/>
      <c r="M74891" s="472"/>
    </row>
    <row r="74963" spans="12:13" x14ac:dyDescent="0.25">
      <c r="L74963" s="472"/>
      <c r="M74963" s="472"/>
    </row>
    <row r="74964" spans="12:13" x14ac:dyDescent="0.25">
      <c r="L74964" s="472"/>
      <c r="M74964" s="472"/>
    </row>
    <row r="74965" spans="12:13" x14ac:dyDescent="0.25">
      <c r="L74965" s="472"/>
      <c r="M74965" s="472"/>
    </row>
    <row r="75037" spans="12:13" x14ac:dyDescent="0.25">
      <c r="L75037" s="472"/>
      <c r="M75037" s="472"/>
    </row>
    <row r="75038" spans="12:13" x14ac:dyDescent="0.25">
      <c r="L75038" s="472"/>
      <c r="M75038" s="472"/>
    </row>
    <row r="75039" spans="12:13" x14ac:dyDescent="0.25">
      <c r="L75039" s="472"/>
      <c r="M75039" s="472"/>
    </row>
    <row r="75111" spans="12:13" x14ac:dyDescent="0.25">
      <c r="L75111" s="472"/>
      <c r="M75111" s="472"/>
    </row>
    <row r="75112" spans="12:13" x14ac:dyDescent="0.25">
      <c r="L75112" s="472"/>
      <c r="M75112" s="472"/>
    </row>
    <row r="75113" spans="12:13" x14ac:dyDescent="0.25">
      <c r="L75113" s="472"/>
      <c r="M75113" s="472"/>
    </row>
    <row r="75185" spans="12:13" x14ac:dyDescent="0.25">
      <c r="L75185" s="472"/>
      <c r="M75185" s="472"/>
    </row>
    <row r="75186" spans="12:13" x14ac:dyDescent="0.25">
      <c r="L75186" s="472"/>
      <c r="M75186" s="472"/>
    </row>
    <row r="75187" spans="12:13" x14ac:dyDescent="0.25">
      <c r="L75187" s="472"/>
      <c r="M75187" s="472"/>
    </row>
    <row r="75259" spans="12:13" x14ac:dyDescent="0.25">
      <c r="L75259" s="472"/>
      <c r="M75259" s="472"/>
    </row>
    <row r="75260" spans="12:13" x14ac:dyDescent="0.25">
      <c r="L75260" s="472"/>
      <c r="M75260" s="472"/>
    </row>
    <row r="75261" spans="12:13" x14ac:dyDescent="0.25">
      <c r="L75261" s="472"/>
      <c r="M75261" s="472"/>
    </row>
    <row r="75333" spans="12:13" x14ac:dyDescent="0.25">
      <c r="L75333" s="472"/>
      <c r="M75333" s="472"/>
    </row>
    <row r="75334" spans="12:13" x14ac:dyDescent="0.25">
      <c r="L75334" s="472"/>
      <c r="M75334" s="472"/>
    </row>
    <row r="75335" spans="12:13" x14ac:dyDescent="0.25">
      <c r="L75335" s="472"/>
      <c r="M75335" s="472"/>
    </row>
    <row r="75407" spans="12:13" x14ac:dyDescent="0.25">
      <c r="L75407" s="472"/>
      <c r="M75407" s="472"/>
    </row>
    <row r="75408" spans="12:13" x14ac:dyDescent="0.25">
      <c r="L75408" s="472"/>
      <c r="M75408" s="472"/>
    </row>
    <row r="75409" spans="12:13" x14ac:dyDescent="0.25">
      <c r="L75409" s="472"/>
      <c r="M75409" s="472"/>
    </row>
    <row r="75481" spans="12:13" x14ac:dyDescent="0.25">
      <c r="L75481" s="472"/>
      <c r="M75481" s="472"/>
    </row>
    <row r="75482" spans="12:13" x14ac:dyDescent="0.25">
      <c r="L75482" s="472"/>
      <c r="M75482" s="472"/>
    </row>
    <row r="75483" spans="12:13" x14ac:dyDescent="0.25">
      <c r="L75483" s="472"/>
      <c r="M75483" s="472"/>
    </row>
    <row r="75555" spans="12:13" x14ac:dyDescent="0.25">
      <c r="L75555" s="472"/>
      <c r="M75555" s="472"/>
    </row>
    <row r="75556" spans="12:13" x14ac:dyDescent="0.25">
      <c r="L75556" s="472"/>
      <c r="M75556" s="472"/>
    </row>
    <row r="75557" spans="12:13" x14ac:dyDescent="0.25">
      <c r="L75557" s="472"/>
      <c r="M75557" s="472"/>
    </row>
    <row r="75629" spans="12:13" x14ac:dyDescent="0.25">
      <c r="L75629" s="472"/>
      <c r="M75629" s="472"/>
    </row>
    <row r="75630" spans="12:13" x14ac:dyDescent="0.25">
      <c r="L75630" s="472"/>
      <c r="M75630" s="472"/>
    </row>
    <row r="75631" spans="12:13" x14ac:dyDescent="0.25">
      <c r="L75631" s="472"/>
      <c r="M75631" s="472"/>
    </row>
    <row r="75703" spans="12:13" x14ac:dyDescent="0.25">
      <c r="L75703" s="472"/>
      <c r="M75703" s="472"/>
    </row>
    <row r="75704" spans="12:13" x14ac:dyDescent="0.25">
      <c r="L75704" s="472"/>
      <c r="M75704" s="472"/>
    </row>
    <row r="75705" spans="12:13" x14ac:dyDescent="0.25">
      <c r="L75705" s="472"/>
      <c r="M75705" s="472"/>
    </row>
    <row r="75777" spans="12:13" x14ac:dyDescent="0.25">
      <c r="L75777" s="472"/>
      <c r="M75777" s="472"/>
    </row>
    <row r="75778" spans="12:13" x14ac:dyDescent="0.25">
      <c r="L75778" s="472"/>
      <c r="M75778" s="472"/>
    </row>
    <row r="75779" spans="12:13" x14ac:dyDescent="0.25">
      <c r="L75779" s="472"/>
      <c r="M75779" s="472"/>
    </row>
    <row r="75851" spans="12:13" x14ac:dyDescent="0.25">
      <c r="L75851" s="472"/>
      <c r="M75851" s="472"/>
    </row>
    <row r="75852" spans="12:13" x14ac:dyDescent="0.25">
      <c r="L75852" s="472"/>
      <c r="M75852" s="472"/>
    </row>
    <row r="75853" spans="12:13" x14ac:dyDescent="0.25">
      <c r="L75853" s="472"/>
      <c r="M75853" s="472"/>
    </row>
    <row r="75925" spans="12:13" x14ac:dyDescent="0.25">
      <c r="L75925" s="472"/>
      <c r="M75925" s="472"/>
    </row>
    <row r="75926" spans="12:13" x14ac:dyDescent="0.25">
      <c r="L75926" s="472"/>
      <c r="M75926" s="472"/>
    </row>
    <row r="75927" spans="12:13" x14ac:dyDescent="0.25">
      <c r="L75927" s="472"/>
      <c r="M75927" s="472"/>
    </row>
    <row r="75999" spans="12:13" x14ac:dyDescent="0.25">
      <c r="L75999" s="472"/>
      <c r="M75999" s="472"/>
    </row>
    <row r="76000" spans="12:13" x14ac:dyDescent="0.25">
      <c r="L76000" s="472"/>
      <c r="M76000" s="472"/>
    </row>
    <row r="76001" spans="12:13" x14ac:dyDescent="0.25">
      <c r="L76001" s="472"/>
      <c r="M76001" s="472"/>
    </row>
    <row r="76073" spans="12:13" x14ac:dyDescent="0.25">
      <c r="L76073" s="472"/>
      <c r="M76073" s="472"/>
    </row>
    <row r="76074" spans="12:13" x14ac:dyDescent="0.25">
      <c r="L76074" s="472"/>
      <c r="M76074" s="472"/>
    </row>
    <row r="76075" spans="12:13" x14ac:dyDescent="0.25">
      <c r="L76075" s="472"/>
      <c r="M76075" s="472"/>
    </row>
    <row r="76147" spans="12:13" x14ac:dyDescent="0.25">
      <c r="L76147" s="472"/>
      <c r="M76147" s="472"/>
    </row>
    <row r="76148" spans="12:13" x14ac:dyDescent="0.25">
      <c r="L76148" s="472"/>
      <c r="M76148" s="472"/>
    </row>
    <row r="76149" spans="12:13" x14ac:dyDescent="0.25">
      <c r="L76149" s="472"/>
      <c r="M76149" s="472"/>
    </row>
    <row r="76221" spans="12:13" x14ac:dyDescent="0.25">
      <c r="L76221" s="472"/>
      <c r="M76221" s="472"/>
    </row>
    <row r="76222" spans="12:13" x14ac:dyDescent="0.25">
      <c r="L76222" s="472"/>
      <c r="M76222" s="472"/>
    </row>
    <row r="76223" spans="12:13" x14ac:dyDescent="0.25">
      <c r="L76223" s="472"/>
      <c r="M76223" s="472"/>
    </row>
    <row r="76295" spans="12:13" x14ac:dyDescent="0.25">
      <c r="L76295" s="472"/>
      <c r="M76295" s="472"/>
    </row>
    <row r="76296" spans="12:13" x14ac:dyDescent="0.25">
      <c r="L76296" s="472"/>
      <c r="M76296" s="472"/>
    </row>
    <row r="76297" spans="12:13" x14ac:dyDescent="0.25">
      <c r="L76297" s="472"/>
      <c r="M76297" s="472"/>
    </row>
    <row r="76369" spans="12:13" x14ac:dyDescent="0.25">
      <c r="L76369" s="472"/>
      <c r="M76369" s="472"/>
    </row>
    <row r="76370" spans="12:13" x14ac:dyDescent="0.25">
      <c r="L76370" s="472"/>
      <c r="M76370" s="472"/>
    </row>
    <row r="76371" spans="12:13" x14ac:dyDescent="0.25">
      <c r="L76371" s="472"/>
      <c r="M76371" s="472"/>
    </row>
    <row r="76443" spans="12:13" x14ac:dyDescent="0.25">
      <c r="L76443" s="472"/>
      <c r="M76443" s="472"/>
    </row>
    <row r="76444" spans="12:13" x14ac:dyDescent="0.25">
      <c r="L76444" s="472"/>
      <c r="M76444" s="472"/>
    </row>
    <row r="76445" spans="12:13" x14ac:dyDescent="0.25">
      <c r="L76445" s="472"/>
      <c r="M76445" s="472"/>
    </row>
    <row r="76517" spans="12:13" x14ac:dyDescent="0.25">
      <c r="L76517" s="472"/>
      <c r="M76517" s="472"/>
    </row>
    <row r="76518" spans="12:13" x14ac:dyDescent="0.25">
      <c r="L76518" s="472"/>
      <c r="M76518" s="472"/>
    </row>
    <row r="76519" spans="12:13" x14ac:dyDescent="0.25">
      <c r="L76519" s="472"/>
      <c r="M76519" s="472"/>
    </row>
    <row r="76591" spans="12:13" x14ac:dyDescent="0.25">
      <c r="L76591" s="472"/>
      <c r="M76591" s="472"/>
    </row>
    <row r="76592" spans="12:13" x14ac:dyDescent="0.25">
      <c r="L76592" s="472"/>
      <c r="M76592" s="472"/>
    </row>
    <row r="76593" spans="12:13" x14ac:dyDescent="0.25">
      <c r="L76593" s="472"/>
      <c r="M76593" s="472"/>
    </row>
    <row r="76665" spans="12:13" x14ac:dyDescent="0.25">
      <c r="L76665" s="472"/>
      <c r="M76665" s="472"/>
    </row>
    <row r="76666" spans="12:13" x14ac:dyDescent="0.25">
      <c r="L76666" s="472"/>
      <c r="M76666" s="472"/>
    </row>
    <row r="76667" spans="12:13" x14ac:dyDescent="0.25">
      <c r="L76667" s="472"/>
      <c r="M76667" s="472"/>
    </row>
    <row r="76739" spans="12:13" x14ac:dyDescent="0.25">
      <c r="L76739" s="472"/>
      <c r="M76739" s="472"/>
    </row>
    <row r="76740" spans="12:13" x14ac:dyDescent="0.25">
      <c r="L76740" s="472"/>
      <c r="M76740" s="472"/>
    </row>
    <row r="76741" spans="12:13" x14ac:dyDescent="0.25">
      <c r="L76741" s="472"/>
      <c r="M76741" s="472"/>
    </row>
    <row r="76813" spans="12:13" x14ac:dyDescent="0.25">
      <c r="L76813" s="472"/>
      <c r="M76813" s="472"/>
    </row>
    <row r="76814" spans="12:13" x14ac:dyDescent="0.25">
      <c r="L76814" s="472"/>
      <c r="M76814" s="472"/>
    </row>
    <row r="76815" spans="12:13" x14ac:dyDescent="0.25">
      <c r="L76815" s="472"/>
      <c r="M76815" s="472"/>
    </row>
    <row r="76887" spans="12:13" x14ac:dyDescent="0.25">
      <c r="L76887" s="472"/>
      <c r="M76887" s="472"/>
    </row>
    <row r="76888" spans="12:13" x14ac:dyDescent="0.25">
      <c r="L76888" s="472"/>
      <c r="M76888" s="472"/>
    </row>
    <row r="76889" spans="12:13" x14ac:dyDescent="0.25">
      <c r="L76889" s="472"/>
      <c r="M76889" s="472"/>
    </row>
    <row r="76961" spans="12:13" x14ac:dyDescent="0.25">
      <c r="L76961" s="472"/>
      <c r="M76961" s="472"/>
    </row>
    <row r="76962" spans="12:13" x14ac:dyDescent="0.25">
      <c r="L76962" s="472"/>
      <c r="M76962" s="472"/>
    </row>
    <row r="76963" spans="12:13" x14ac:dyDescent="0.25">
      <c r="L76963" s="472"/>
      <c r="M76963" s="472"/>
    </row>
    <row r="77035" spans="12:13" x14ac:dyDescent="0.25">
      <c r="L77035" s="472"/>
      <c r="M77035" s="472"/>
    </row>
    <row r="77036" spans="12:13" x14ac:dyDescent="0.25">
      <c r="L77036" s="472"/>
      <c r="M77036" s="472"/>
    </row>
    <row r="77037" spans="12:13" x14ac:dyDescent="0.25">
      <c r="L77037" s="472"/>
      <c r="M77037" s="472"/>
    </row>
    <row r="77109" spans="12:13" x14ac:dyDescent="0.25">
      <c r="L77109" s="472"/>
      <c r="M77109" s="472"/>
    </row>
    <row r="77110" spans="12:13" x14ac:dyDescent="0.25">
      <c r="L77110" s="472"/>
      <c r="M77110" s="472"/>
    </row>
    <row r="77111" spans="12:13" x14ac:dyDescent="0.25">
      <c r="L77111" s="472"/>
      <c r="M77111" s="472"/>
    </row>
    <row r="77183" spans="12:13" x14ac:dyDescent="0.25">
      <c r="L77183" s="472"/>
      <c r="M77183" s="472"/>
    </row>
    <row r="77184" spans="12:13" x14ac:dyDescent="0.25">
      <c r="L77184" s="472"/>
      <c r="M77184" s="472"/>
    </row>
    <row r="77185" spans="12:13" x14ac:dyDescent="0.25">
      <c r="L77185" s="472"/>
      <c r="M77185" s="472"/>
    </row>
    <row r="77257" spans="12:13" x14ac:dyDescent="0.25">
      <c r="L77257" s="472"/>
      <c r="M77257" s="472"/>
    </row>
    <row r="77258" spans="12:13" x14ac:dyDescent="0.25">
      <c r="L77258" s="472"/>
      <c r="M77258" s="472"/>
    </row>
    <row r="77259" spans="12:13" x14ac:dyDescent="0.25">
      <c r="L77259" s="472"/>
      <c r="M77259" s="472"/>
    </row>
    <row r="77331" spans="12:13" x14ac:dyDescent="0.25">
      <c r="L77331" s="472"/>
      <c r="M77331" s="472"/>
    </row>
    <row r="77332" spans="12:13" x14ac:dyDescent="0.25">
      <c r="L77332" s="472"/>
      <c r="M77332" s="472"/>
    </row>
    <row r="77333" spans="12:13" x14ac:dyDescent="0.25">
      <c r="L77333" s="472"/>
      <c r="M77333" s="472"/>
    </row>
    <row r="77405" spans="12:13" x14ac:dyDescent="0.25">
      <c r="L77405" s="472"/>
      <c r="M77405" s="472"/>
    </row>
    <row r="77406" spans="12:13" x14ac:dyDescent="0.25">
      <c r="L77406" s="472"/>
      <c r="M77406" s="472"/>
    </row>
    <row r="77407" spans="12:13" x14ac:dyDescent="0.25">
      <c r="L77407" s="472"/>
      <c r="M77407" s="472"/>
    </row>
    <row r="77479" spans="12:13" x14ac:dyDescent="0.25">
      <c r="L77479" s="472"/>
      <c r="M77479" s="472"/>
    </row>
    <row r="77480" spans="12:13" x14ac:dyDescent="0.25">
      <c r="L77480" s="472"/>
      <c r="M77480" s="472"/>
    </row>
    <row r="77481" spans="12:13" x14ac:dyDescent="0.25">
      <c r="L77481" s="472"/>
      <c r="M77481" s="472"/>
    </row>
    <row r="77553" spans="12:13" x14ac:dyDescent="0.25">
      <c r="L77553" s="472"/>
      <c r="M77553" s="472"/>
    </row>
    <row r="77554" spans="12:13" x14ac:dyDescent="0.25">
      <c r="L77554" s="472"/>
      <c r="M77554" s="472"/>
    </row>
    <row r="77555" spans="12:13" x14ac:dyDescent="0.25">
      <c r="L77555" s="472"/>
      <c r="M77555" s="472"/>
    </row>
    <row r="77627" spans="12:13" x14ac:dyDescent="0.25">
      <c r="L77627" s="472"/>
      <c r="M77627" s="472"/>
    </row>
    <row r="77628" spans="12:13" x14ac:dyDescent="0.25">
      <c r="L77628" s="472"/>
      <c r="M77628" s="472"/>
    </row>
    <row r="77629" spans="12:13" x14ac:dyDescent="0.25">
      <c r="L77629" s="472"/>
      <c r="M77629" s="472"/>
    </row>
    <row r="77701" spans="12:13" x14ac:dyDescent="0.25">
      <c r="L77701" s="472"/>
      <c r="M77701" s="472"/>
    </row>
    <row r="77702" spans="12:13" x14ac:dyDescent="0.25">
      <c r="L77702" s="472"/>
      <c r="M77702" s="472"/>
    </row>
    <row r="77703" spans="12:13" x14ac:dyDescent="0.25">
      <c r="L77703" s="472"/>
      <c r="M77703" s="472"/>
    </row>
    <row r="77775" spans="12:13" x14ac:dyDescent="0.25">
      <c r="L77775" s="472"/>
      <c r="M77775" s="472"/>
    </row>
    <row r="77776" spans="12:13" x14ac:dyDescent="0.25">
      <c r="L77776" s="472"/>
      <c r="M77776" s="472"/>
    </row>
    <row r="77777" spans="12:13" x14ac:dyDescent="0.25">
      <c r="L77777" s="472"/>
      <c r="M77777" s="472"/>
    </row>
    <row r="77849" spans="12:13" x14ac:dyDescent="0.25">
      <c r="L77849" s="472"/>
      <c r="M77849" s="472"/>
    </row>
    <row r="77850" spans="12:13" x14ac:dyDescent="0.25">
      <c r="L77850" s="472"/>
      <c r="M77850" s="472"/>
    </row>
    <row r="77851" spans="12:13" x14ac:dyDescent="0.25">
      <c r="L77851" s="472"/>
      <c r="M77851" s="472"/>
    </row>
    <row r="77923" spans="12:13" x14ac:dyDescent="0.25">
      <c r="L77923" s="472"/>
      <c r="M77923" s="472"/>
    </row>
    <row r="77924" spans="12:13" x14ac:dyDescent="0.25">
      <c r="L77924" s="472"/>
      <c r="M77924" s="472"/>
    </row>
    <row r="77925" spans="12:13" x14ac:dyDescent="0.25">
      <c r="L77925" s="472"/>
      <c r="M77925" s="472"/>
    </row>
    <row r="77997" spans="12:13" x14ac:dyDescent="0.25">
      <c r="L77997" s="472"/>
      <c r="M77997" s="472"/>
    </row>
    <row r="77998" spans="12:13" x14ac:dyDescent="0.25">
      <c r="L77998" s="472"/>
      <c r="M77998" s="472"/>
    </row>
    <row r="77999" spans="12:13" x14ac:dyDescent="0.25">
      <c r="L77999" s="472"/>
      <c r="M77999" s="472"/>
    </row>
    <row r="78071" spans="12:13" x14ac:dyDescent="0.25">
      <c r="L78071" s="472"/>
      <c r="M78071" s="472"/>
    </row>
    <row r="78072" spans="12:13" x14ac:dyDescent="0.25">
      <c r="L78072" s="472"/>
      <c r="M78072" s="472"/>
    </row>
    <row r="78073" spans="12:13" x14ac:dyDescent="0.25">
      <c r="L78073" s="472"/>
      <c r="M78073" s="472"/>
    </row>
    <row r="78145" spans="12:13" x14ac:dyDescent="0.25">
      <c r="L78145" s="472"/>
      <c r="M78145" s="472"/>
    </row>
    <row r="78146" spans="12:13" x14ac:dyDescent="0.25">
      <c r="L78146" s="472"/>
      <c r="M78146" s="472"/>
    </row>
    <row r="78147" spans="12:13" x14ac:dyDescent="0.25">
      <c r="L78147" s="472"/>
      <c r="M78147" s="472"/>
    </row>
    <row r="78219" spans="12:13" x14ac:dyDescent="0.25">
      <c r="L78219" s="472"/>
      <c r="M78219" s="472"/>
    </row>
    <row r="78220" spans="12:13" x14ac:dyDescent="0.25">
      <c r="L78220" s="472"/>
      <c r="M78220" s="472"/>
    </row>
    <row r="78221" spans="12:13" x14ac:dyDescent="0.25">
      <c r="L78221" s="472"/>
      <c r="M78221" s="472"/>
    </row>
    <row r="78293" spans="12:13" x14ac:dyDescent="0.25">
      <c r="L78293" s="472"/>
      <c r="M78293" s="472"/>
    </row>
    <row r="78294" spans="12:13" x14ac:dyDescent="0.25">
      <c r="L78294" s="472"/>
      <c r="M78294" s="472"/>
    </row>
    <row r="78295" spans="12:13" x14ac:dyDescent="0.25">
      <c r="L78295" s="472"/>
      <c r="M78295" s="472"/>
    </row>
    <row r="78367" spans="12:13" x14ac:dyDescent="0.25">
      <c r="L78367" s="472"/>
      <c r="M78367" s="472"/>
    </row>
    <row r="78368" spans="12:13" x14ac:dyDescent="0.25">
      <c r="L78368" s="472"/>
      <c r="M78368" s="472"/>
    </row>
    <row r="78369" spans="12:13" x14ac:dyDescent="0.25">
      <c r="L78369" s="472"/>
      <c r="M78369" s="472"/>
    </row>
    <row r="78441" spans="12:13" x14ac:dyDescent="0.25">
      <c r="L78441" s="472"/>
      <c r="M78441" s="472"/>
    </row>
    <row r="78442" spans="12:13" x14ac:dyDescent="0.25">
      <c r="L78442" s="472"/>
      <c r="M78442" s="472"/>
    </row>
    <row r="78443" spans="12:13" x14ac:dyDescent="0.25">
      <c r="L78443" s="472"/>
      <c r="M78443" s="472"/>
    </row>
    <row r="78515" spans="12:13" x14ac:dyDescent="0.25">
      <c r="L78515" s="472"/>
      <c r="M78515" s="472"/>
    </row>
    <row r="78516" spans="12:13" x14ac:dyDescent="0.25">
      <c r="L78516" s="472"/>
      <c r="M78516" s="472"/>
    </row>
    <row r="78517" spans="12:13" x14ac:dyDescent="0.25">
      <c r="L78517" s="472"/>
      <c r="M78517" s="472"/>
    </row>
    <row r="78589" spans="12:13" x14ac:dyDescent="0.25">
      <c r="L78589" s="472"/>
      <c r="M78589" s="472"/>
    </row>
    <row r="78590" spans="12:13" x14ac:dyDescent="0.25">
      <c r="L78590" s="472"/>
      <c r="M78590" s="472"/>
    </row>
    <row r="78591" spans="12:13" x14ac:dyDescent="0.25">
      <c r="L78591" s="472"/>
      <c r="M78591" s="472"/>
    </row>
    <row r="78663" spans="12:13" x14ac:dyDescent="0.25">
      <c r="L78663" s="472"/>
      <c r="M78663" s="472"/>
    </row>
    <row r="78664" spans="12:13" x14ac:dyDescent="0.25">
      <c r="L78664" s="472"/>
      <c r="M78664" s="472"/>
    </row>
    <row r="78665" spans="12:13" x14ac:dyDescent="0.25">
      <c r="L78665" s="472"/>
      <c r="M78665" s="472"/>
    </row>
    <row r="78737" spans="12:13" x14ac:dyDescent="0.25">
      <c r="L78737" s="472"/>
      <c r="M78737" s="472"/>
    </row>
    <row r="78738" spans="12:13" x14ac:dyDescent="0.25">
      <c r="L78738" s="472"/>
      <c r="M78738" s="472"/>
    </row>
    <row r="78739" spans="12:13" x14ac:dyDescent="0.25">
      <c r="L78739" s="472"/>
      <c r="M78739" s="472"/>
    </row>
    <row r="78811" spans="12:13" x14ac:dyDescent="0.25">
      <c r="L78811" s="472"/>
      <c r="M78811" s="472"/>
    </row>
    <row r="78812" spans="12:13" x14ac:dyDescent="0.25">
      <c r="L78812" s="472"/>
      <c r="M78812" s="472"/>
    </row>
    <row r="78813" spans="12:13" x14ac:dyDescent="0.25">
      <c r="L78813" s="472"/>
      <c r="M78813" s="472"/>
    </row>
    <row r="78885" spans="12:13" x14ac:dyDescent="0.25">
      <c r="L78885" s="472"/>
      <c r="M78885" s="472"/>
    </row>
    <row r="78886" spans="12:13" x14ac:dyDescent="0.25">
      <c r="L78886" s="472"/>
      <c r="M78886" s="472"/>
    </row>
    <row r="78887" spans="12:13" x14ac:dyDescent="0.25">
      <c r="L78887" s="472"/>
      <c r="M78887" s="472"/>
    </row>
    <row r="78959" spans="12:13" x14ac:dyDescent="0.25">
      <c r="L78959" s="472"/>
      <c r="M78959" s="472"/>
    </row>
    <row r="78960" spans="12:13" x14ac:dyDescent="0.25">
      <c r="L78960" s="472"/>
      <c r="M78960" s="472"/>
    </row>
    <row r="78961" spans="12:13" x14ac:dyDescent="0.25">
      <c r="L78961" s="472"/>
      <c r="M78961" s="472"/>
    </row>
    <row r="79033" spans="12:13" x14ac:dyDescent="0.25">
      <c r="L79033" s="472"/>
      <c r="M79033" s="472"/>
    </row>
    <row r="79034" spans="12:13" x14ac:dyDescent="0.25">
      <c r="L79034" s="472"/>
      <c r="M79034" s="472"/>
    </row>
    <row r="79035" spans="12:13" x14ac:dyDescent="0.25">
      <c r="L79035" s="472"/>
      <c r="M79035" s="472"/>
    </row>
    <row r="79107" spans="12:13" x14ac:dyDescent="0.25">
      <c r="L79107" s="472"/>
      <c r="M79107" s="472"/>
    </row>
    <row r="79108" spans="12:13" x14ac:dyDescent="0.25">
      <c r="L79108" s="472"/>
      <c r="M79108" s="472"/>
    </row>
    <row r="79109" spans="12:13" x14ac:dyDescent="0.25">
      <c r="L79109" s="472"/>
      <c r="M79109" s="472"/>
    </row>
    <row r="79181" spans="12:13" x14ac:dyDescent="0.25">
      <c r="L79181" s="472"/>
      <c r="M79181" s="472"/>
    </row>
    <row r="79182" spans="12:13" x14ac:dyDescent="0.25">
      <c r="L79182" s="472"/>
      <c r="M79182" s="472"/>
    </row>
    <row r="79183" spans="12:13" x14ac:dyDescent="0.25">
      <c r="L79183" s="472"/>
      <c r="M79183" s="472"/>
    </row>
    <row r="79255" spans="12:13" x14ac:dyDescent="0.25">
      <c r="L79255" s="472"/>
      <c r="M79255" s="472"/>
    </row>
    <row r="79256" spans="12:13" x14ac:dyDescent="0.25">
      <c r="L79256" s="472"/>
      <c r="M79256" s="472"/>
    </row>
    <row r="79257" spans="12:13" x14ac:dyDescent="0.25">
      <c r="L79257" s="472"/>
      <c r="M79257" s="472"/>
    </row>
    <row r="79329" spans="12:13" x14ac:dyDescent="0.25">
      <c r="L79329" s="472"/>
      <c r="M79329" s="472"/>
    </row>
    <row r="79330" spans="12:13" x14ac:dyDescent="0.25">
      <c r="L79330" s="472"/>
      <c r="M79330" s="472"/>
    </row>
    <row r="79331" spans="12:13" x14ac:dyDescent="0.25">
      <c r="L79331" s="472"/>
      <c r="M79331" s="472"/>
    </row>
    <row r="79403" spans="12:13" x14ac:dyDescent="0.25">
      <c r="L79403" s="472"/>
      <c r="M79403" s="472"/>
    </row>
    <row r="79404" spans="12:13" x14ac:dyDescent="0.25">
      <c r="L79404" s="472"/>
      <c r="M79404" s="472"/>
    </row>
    <row r="79405" spans="12:13" x14ac:dyDescent="0.25">
      <c r="L79405" s="472"/>
      <c r="M79405" s="472"/>
    </row>
    <row r="79477" spans="12:13" x14ac:dyDescent="0.25">
      <c r="L79477" s="472"/>
      <c r="M79477" s="472"/>
    </row>
    <row r="79478" spans="12:13" x14ac:dyDescent="0.25">
      <c r="L79478" s="472"/>
      <c r="M79478" s="472"/>
    </row>
    <row r="79479" spans="12:13" x14ac:dyDescent="0.25">
      <c r="L79479" s="472"/>
      <c r="M79479" s="472"/>
    </row>
    <row r="79551" spans="12:13" x14ac:dyDescent="0.25">
      <c r="L79551" s="472"/>
      <c r="M79551" s="472"/>
    </row>
    <row r="79552" spans="12:13" x14ac:dyDescent="0.25">
      <c r="L79552" s="472"/>
      <c r="M79552" s="472"/>
    </row>
    <row r="79553" spans="12:13" x14ac:dyDescent="0.25">
      <c r="L79553" s="472"/>
      <c r="M79553" s="472"/>
    </row>
    <row r="79625" spans="12:13" x14ac:dyDescent="0.25">
      <c r="L79625" s="472"/>
      <c r="M79625" s="472"/>
    </row>
    <row r="79626" spans="12:13" x14ac:dyDescent="0.25">
      <c r="L79626" s="472"/>
      <c r="M79626" s="472"/>
    </row>
    <row r="79627" spans="12:13" x14ac:dyDescent="0.25">
      <c r="L79627" s="472"/>
      <c r="M79627" s="472"/>
    </row>
    <row r="79699" spans="12:13" x14ac:dyDescent="0.25">
      <c r="L79699" s="472"/>
      <c r="M79699" s="472"/>
    </row>
    <row r="79700" spans="12:13" x14ac:dyDescent="0.25">
      <c r="L79700" s="472"/>
      <c r="M79700" s="472"/>
    </row>
    <row r="79701" spans="12:13" x14ac:dyDescent="0.25">
      <c r="L79701" s="472"/>
      <c r="M79701" s="472"/>
    </row>
    <row r="79773" spans="12:13" x14ac:dyDescent="0.25">
      <c r="L79773" s="472"/>
      <c r="M79773" s="472"/>
    </row>
    <row r="79774" spans="12:13" x14ac:dyDescent="0.25">
      <c r="L79774" s="472"/>
      <c r="M79774" s="472"/>
    </row>
    <row r="79775" spans="12:13" x14ac:dyDescent="0.25">
      <c r="L79775" s="472"/>
      <c r="M79775" s="472"/>
    </row>
    <row r="79847" spans="12:13" x14ac:dyDescent="0.25">
      <c r="L79847" s="472"/>
      <c r="M79847" s="472"/>
    </row>
    <row r="79848" spans="12:13" x14ac:dyDescent="0.25">
      <c r="L79848" s="472"/>
      <c r="M79848" s="472"/>
    </row>
    <row r="79849" spans="12:13" x14ac:dyDescent="0.25">
      <c r="L79849" s="472"/>
      <c r="M79849" s="472"/>
    </row>
    <row r="79921" spans="12:13" x14ac:dyDescent="0.25">
      <c r="L79921" s="472"/>
      <c r="M79921" s="472"/>
    </row>
    <row r="79922" spans="12:13" x14ac:dyDescent="0.25">
      <c r="L79922" s="472"/>
      <c r="M79922" s="472"/>
    </row>
    <row r="79923" spans="12:13" x14ac:dyDescent="0.25">
      <c r="L79923" s="472"/>
      <c r="M79923" s="472"/>
    </row>
    <row r="79995" spans="12:13" x14ac:dyDescent="0.25">
      <c r="L79995" s="472"/>
      <c r="M79995" s="472"/>
    </row>
    <row r="79996" spans="12:13" x14ac:dyDescent="0.25">
      <c r="L79996" s="472"/>
      <c r="M79996" s="472"/>
    </row>
    <row r="79997" spans="12:13" x14ac:dyDescent="0.25">
      <c r="L79997" s="472"/>
      <c r="M79997" s="472"/>
    </row>
    <row r="80069" spans="12:13" x14ac:dyDescent="0.25">
      <c r="L80069" s="472"/>
      <c r="M80069" s="472"/>
    </row>
    <row r="80070" spans="12:13" x14ac:dyDescent="0.25">
      <c r="L80070" s="472"/>
      <c r="M80070" s="472"/>
    </row>
    <row r="80071" spans="12:13" x14ac:dyDescent="0.25">
      <c r="L80071" s="472"/>
      <c r="M80071" s="472"/>
    </row>
    <row r="80143" spans="12:13" x14ac:dyDescent="0.25">
      <c r="L80143" s="472"/>
      <c r="M80143" s="472"/>
    </row>
    <row r="80144" spans="12:13" x14ac:dyDescent="0.25">
      <c r="L80144" s="472"/>
      <c r="M80144" s="472"/>
    </row>
    <row r="80145" spans="12:13" x14ac:dyDescent="0.25">
      <c r="L80145" s="472"/>
      <c r="M80145" s="472"/>
    </row>
    <row r="80217" spans="12:13" x14ac:dyDescent="0.25">
      <c r="L80217" s="472"/>
      <c r="M80217" s="472"/>
    </row>
    <row r="80218" spans="12:13" x14ac:dyDescent="0.25">
      <c r="L80218" s="472"/>
      <c r="M80218" s="472"/>
    </row>
    <row r="80219" spans="12:13" x14ac:dyDescent="0.25">
      <c r="L80219" s="472"/>
      <c r="M80219" s="472"/>
    </row>
    <row r="80291" spans="12:13" x14ac:dyDescent="0.25">
      <c r="L80291" s="472"/>
      <c r="M80291" s="472"/>
    </row>
    <row r="80292" spans="12:13" x14ac:dyDescent="0.25">
      <c r="L80292" s="472"/>
      <c r="M80292" s="472"/>
    </row>
    <row r="80293" spans="12:13" x14ac:dyDescent="0.25">
      <c r="L80293" s="472"/>
      <c r="M80293" s="472"/>
    </row>
    <row r="80365" spans="12:13" x14ac:dyDescent="0.25">
      <c r="L80365" s="472"/>
      <c r="M80365" s="472"/>
    </row>
    <row r="80366" spans="12:13" x14ac:dyDescent="0.25">
      <c r="L80366" s="472"/>
      <c r="M80366" s="472"/>
    </row>
    <row r="80367" spans="12:13" x14ac:dyDescent="0.25">
      <c r="L80367" s="472"/>
      <c r="M80367" s="472"/>
    </row>
    <row r="80439" spans="12:13" x14ac:dyDescent="0.25">
      <c r="L80439" s="472"/>
      <c r="M80439" s="472"/>
    </row>
    <row r="80440" spans="12:13" x14ac:dyDescent="0.25">
      <c r="L80440" s="472"/>
      <c r="M80440" s="472"/>
    </row>
    <row r="80441" spans="12:13" x14ac:dyDescent="0.25">
      <c r="L80441" s="472"/>
      <c r="M80441" s="472"/>
    </row>
    <row r="80513" spans="12:13" x14ac:dyDescent="0.25">
      <c r="L80513" s="472"/>
      <c r="M80513" s="472"/>
    </row>
    <row r="80514" spans="12:13" x14ac:dyDescent="0.25">
      <c r="L80514" s="472"/>
      <c r="M80514" s="472"/>
    </row>
    <row r="80515" spans="12:13" x14ac:dyDescent="0.25">
      <c r="L80515" s="472"/>
      <c r="M80515" s="472"/>
    </row>
    <row r="80587" spans="12:13" x14ac:dyDescent="0.25">
      <c r="L80587" s="472"/>
      <c r="M80587" s="472"/>
    </row>
    <row r="80588" spans="12:13" x14ac:dyDescent="0.25">
      <c r="L80588" s="472"/>
      <c r="M80588" s="472"/>
    </row>
    <row r="80589" spans="12:13" x14ac:dyDescent="0.25">
      <c r="L80589" s="472"/>
      <c r="M80589" s="472"/>
    </row>
    <row r="80661" spans="12:13" x14ac:dyDescent="0.25">
      <c r="L80661" s="472"/>
      <c r="M80661" s="472"/>
    </row>
    <row r="80662" spans="12:13" x14ac:dyDescent="0.25">
      <c r="L80662" s="472"/>
      <c r="M80662" s="472"/>
    </row>
    <row r="80663" spans="12:13" x14ac:dyDescent="0.25">
      <c r="L80663" s="472"/>
      <c r="M80663" s="472"/>
    </row>
    <row r="80735" spans="12:13" x14ac:dyDescent="0.25">
      <c r="L80735" s="472"/>
      <c r="M80735" s="472"/>
    </row>
    <row r="80736" spans="12:13" x14ac:dyDescent="0.25">
      <c r="L80736" s="472"/>
      <c r="M80736" s="472"/>
    </row>
    <row r="80737" spans="12:13" x14ac:dyDescent="0.25">
      <c r="L80737" s="472"/>
      <c r="M80737" s="472"/>
    </row>
    <row r="80809" spans="12:13" x14ac:dyDescent="0.25">
      <c r="L80809" s="472"/>
      <c r="M80809" s="472"/>
    </row>
    <row r="80810" spans="12:13" x14ac:dyDescent="0.25">
      <c r="L80810" s="472"/>
      <c r="M80810" s="472"/>
    </row>
    <row r="80811" spans="12:13" x14ac:dyDescent="0.25">
      <c r="L80811" s="472"/>
      <c r="M80811" s="472"/>
    </row>
    <row r="80883" spans="12:13" x14ac:dyDescent="0.25">
      <c r="L80883" s="472"/>
      <c r="M80883" s="472"/>
    </row>
    <row r="80884" spans="12:13" x14ac:dyDescent="0.25">
      <c r="L80884" s="472"/>
      <c r="M80884" s="472"/>
    </row>
    <row r="80885" spans="12:13" x14ac:dyDescent="0.25">
      <c r="L80885" s="472"/>
      <c r="M80885" s="472"/>
    </row>
    <row r="80957" spans="12:13" x14ac:dyDescent="0.25">
      <c r="L80957" s="472"/>
      <c r="M80957" s="472"/>
    </row>
    <row r="80958" spans="12:13" x14ac:dyDescent="0.25">
      <c r="L80958" s="472"/>
      <c r="M80958" s="472"/>
    </row>
    <row r="80959" spans="12:13" x14ac:dyDescent="0.25">
      <c r="L80959" s="472"/>
      <c r="M80959" s="472"/>
    </row>
    <row r="81031" spans="12:13" x14ac:dyDescent="0.25">
      <c r="L81031" s="472"/>
      <c r="M81031" s="472"/>
    </row>
    <row r="81032" spans="12:13" x14ac:dyDescent="0.25">
      <c r="L81032" s="472"/>
      <c r="M81032" s="472"/>
    </row>
    <row r="81033" spans="12:13" x14ac:dyDescent="0.25">
      <c r="L81033" s="472"/>
      <c r="M81033" s="472"/>
    </row>
    <row r="81105" spans="12:13" x14ac:dyDescent="0.25">
      <c r="L81105" s="472"/>
      <c r="M81105" s="472"/>
    </row>
    <row r="81106" spans="12:13" x14ac:dyDescent="0.25">
      <c r="L81106" s="472"/>
      <c r="M81106" s="472"/>
    </row>
    <row r="81107" spans="12:13" x14ac:dyDescent="0.25">
      <c r="L81107" s="472"/>
      <c r="M81107" s="472"/>
    </row>
    <row r="81179" spans="12:13" x14ac:dyDescent="0.25">
      <c r="L81179" s="472"/>
      <c r="M81179" s="472"/>
    </row>
    <row r="81180" spans="12:13" x14ac:dyDescent="0.25">
      <c r="L81180" s="472"/>
      <c r="M81180" s="472"/>
    </row>
    <row r="81181" spans="12:13" x14ac:dyDescent="0.25">
      <c r="L81181" s="472"/>
      <c r="M81181" s="472"/>
    </row>
    <row r="81253" spans="12:13" x14ac:dyDescent="0.25">
      <c r="L81253" s="472"/>
      <c r="M81253" s="472"/>
    </row>
    <row r="81254" spans="12:13" x14ac:dyDescent="0.25">
      <c r="L81254" s="472"/>
      <c r="M81254" s="472"/>
    </row>
    <row r="81255" spans="12:13" x14ac:dyDescent="0.25">
      <c r="L81255" s="472"/>
      <c r="M81255" s="472"/>
    </row>
    <row r="81327" spans="12:13" x14ac:dyDescent="0.25">
      <c r="L81327" s="472"/>
      <c r="M81327" s="472"/>
    </row>
    <row r="81328" spans="12:13" x14ac:dyDescent="0.25">
      <c r="L81328" s="472"/>
      <c r="M81328" s="472"/>
    </row>
    <row r="81329" spans="12:13" x14ac:dyDescent="0.25">
      <c r="L81329" s="472"/>
      <c r="M81329" s="472"/>
    </row>
    <row r="81401" spans="12:13" x14ac:dyDescent="0.25">
      <c r="L81401" s="472"/>
      <c r="M81401" s="472"/>
    </row>
    <row r="81402" spans="12:13" x14ac:dyDescent="0.25">
      <c r="L81402" s="472"/>
      <c r="M81402" s="472"/>
    </row>
    <row r="81403" spans="12:13" x14ac:dyDescent="0.25">
      <c r="L81403" s="472"/>
      <c r="M81403" s="472"/>
    </row>
    <row r="81475" spans="12:13" x14ac:dyDescent="0.25">
      <c r="L81475" s="472"/>
      <c r="M81475" s="472"/>
    </row>
    <row r="81476" spans="12:13" x14ac:dyDescent="0.25">
      <c r="L81476" s="472"/>
      <c r="M81476" s="472"/>
    </row>
    <row r="81477" spans="12:13" x14ac:dyDescent="0.25">
      <c r="L81477" s="472"/>
      <c r="M81477" s="472"/>
    </row>
    <row r="81549" spans="12:13" x14ac:dyDescent="0.25">
      <c r="L81549" s="472"/>
      <c r="M81549" s="472"/>
    </row>
    <row r="81550" spans="12:13" x14ac:dyDescent="0.25">
      <c r="L81550" s="472"/>
      <c r="M81550" s="472"/>
    </row>
    <row r="81551" spans="12:13" x14ac:dyDescent="0.25">
      <c r="L81551" s="472"/>
      <c r="M81551" s="472"/>
    </row>
    <row r="81623" spans="12:13" x14ac:dyDescent="0.25">
      <c r="L81623" s="472"/>
      <c r="M81623" s="472"/>
    </row>
    <row r="81624" spans="12:13" x14ac:dyDescent="0.25">
      <c r="L81624" s="472"/>
      <c r="M81624" s="472"/>
    </row>
    <row r="81625" spans="12:13" x14ac:dyDescent="0.25">
      <c r="L81625" s="472"/>
      <c r="M81625" s="472"/>
    </row>
    <row r="81697" spans="12:13" x14ac:dyDescent="0.25">
      <c r="L81697" s="472"/>
      <c r="M81697" s="472"/>
    </row>
    <row r="81698" spans="12:13" x14ac:dyDescent="0.25">
      <c r="L81698" s="472"/>
      <c r="M81698" s="472"/>
    </row>
    <row r="81699" spans="12:13" x14ac:dyDescent="0.25">
      <c r="L81699" s="472"/>
      <c r="M81699" s="472"/>
    </row>
    <row r="81771" spans="12:13" x14ac:dyDescent="0.25">
      <c r="L81771" s="472"/>
      <c r="M81771" s="472"/>
    </row>
    <row r="81772" spans="12:13" x14ac:dyDescent="0.25">
      <c r="L81772" s="472"/>
      <c r="M81772" s="472"/>
    </row>
    <row r="81773" spans="12:13" x14ac:dyDescent="0.25">
      <c r="L81773" s="472"/>
      <c r="M81773" s="472"/>
    </row>
    <row r="81845" spans="12:13" x14ac:dyDescent="0.25">
      <c r="L81845" s="472"/>
      <c r="M81845" s="472"/>
    </row>
    <row r="81846" spans="12:13" x14ac:dyDescent="0.25">
      <c r="L81846" s="472"/>
      <c r="M81846" s="472"/>
    </row>
    <row r="81847" spans="12:13" x14ac:dyDescent="0.25">
      <c r="L81847" s="472"/>
      <c r="M81847" s="472"/>
    </row>
    <row r="81919" spans="12:13" x14ac:dyDescent="0.25">
      <c r="L81919" s="472"/>
      <c r="M81919" s="472"/>
    </row>
    <row r="81920" spans="12:13" x14ac:dyDescent="0.25">
      <c r="L81920" s="472"/>
      <c r="M81920" s="472"/>
    </row>
    <row r="81921" spans="12:13" x14ac:dyDescent="0.25">
      <c r="L81921" s="472"/>
      <c r="M81921" s="472"/>
    </row>
    <row r="81993" spans="12:13" x14ac:dyDescent="0.25">
      <c r="L81993" s="472"/>
      <c r="M81993" s="472"/>
    </row>
    <row r="81994" spans="12:13" x14ac:dyDescent="0.25">
      <c r="L81994" s="472"/>
      <c r="M81994" s="472"/>
    </row>
    <row r="81995" spans="12:13" x14ac:dyDescent="0.25">
      <c r="L81995" s="472"/>
      <c r="M81995" s="472"/>
    </row>
    <row r="82067" spans="12:13" x14ac:dyDescent="0.25">
      <c r="L82067" s="472"/>
      <c r="M82067" s="472"/>
    </row>
    <row r="82068" spans="12:13" x14ac:dyDescent="0.25">
      <c r="L82068" s="472"/>
      <c r="M82068" s="472"/>
    </row>
    <row r="82069" spans="12:13" x14ac:dyDescent="0.25">
      <c r="L82069" s="472"/>
      <c r="M82069" s="472"/>
    </row>
    <row r="82141" spans="12:13" x14ac:dyDescent="0.25">
      <c r="L82141" s="472"/>
      <c r="M82141" s="472"/>
    </row>
    <row r="82142" spans="12:13" x14ac:dyDescent="0.25">
      <c r="L82142" s="472"/>
      <c r="M82142" s="472"/>
    </row>
    <row r="82143" spans="12:13" x14ac:dyDescent="0.25">
      <c r="L82143" s="472"/>
      <c r="M82143" s="472"/>
    </row>
    <row r="82215" spans="12:13" x14ac:dyDescent="0.25">
      <c r="L82215" s="472"/>
      <c r="M82215" s="472"/>
    </row>
    <row r="82216" spans="12:13" x14ac:dyDescent="0.25">
      <c r="L82216" s="472"/>
      <c r="M82216" s="472"/>
    </row>
    <row r="82217" spans="12:13" x14ac:dyDescent="0.25">
      <c r="L82217" s="472"/>
      <c r="M82217" s="472"/>
    </row>
    <row r="82289" spans="12:13" x14ac:dyDescent="0.25">
      <c r="L82289" s="472"/>
      <c r="M82289" s="472"/>
    </row>
    <row r="82290" spans="12:13" x14ac:dyDescent="0.25">
      <c r="L82290" s="472"/>
      <c r="M82290" s="472"/>
    </row>
    <row r="82291" spans="12:13" x14ac:dyDescent="0.25">
      <c r="L82291" s="472"/>
      <c r="M82291" s="472"/>
    </row>
    <row r="82363" spans="12:13" x14ac:dyDescent="0.25">
      <c r="L82363" s="472"/>
      <c r="M82363" s="472"/>
    </row>
    <row r="82364" spans="12:13" x14ac:dyDescent="0.25">
      <c r="L82364" s="472"/>
      <c r="M82364" s="472"/>
    </row>
    <row r="82365" spans="12:13" x14ac:dyDescent="0.25">
      <c r="L82365" s="472"/>
      <c r="M82365" s="472"/>
    </row>
    <row r="82437" spans="12:13" x14ac:dyDescent="0.25">
      <c r="L82437" s="472"/>
      <c r="M82437" s="472"/>
    </row>
    <row r="82438" spans="12:13" x14ac:dyDescent="0.25">
      <c r="L82438" s="472"/>
      <c r="M82438" s="472"/>
    </row>
    <row r="82439" spans="12:13" x14ac:dyDescent="0.25">
      <c r="L82439" s="472"/>
      <c r="M82439" s="472"/>
    </row>
    <row r="82511" spans="12:13" x14ac:dyDescent="0.25">
      <c r="L82511" s="472"/>
      <c r="M82511" s="472"/>
    </row>
    <row r="82512" spans="12:13" x14ac:dyDescent="0.25">
      <c r="L82512" s="472"/>
      <c r="M82512" s="472"/>
    </row>
    <row r="82513" spans="12:13" x14ac:dyDescent="0.25">
      <c r="L82513" s="472"/>
      <c r="M82513" s="472"/>
    </row>
    <row r="82585" spans="12:13" x14ac:dyDescent="0.25">
      <c r="L82585" s="472"/>
      <c r="M82585" s="472"/>
    </row>
    <row r="82586" spans="12:13" x14ac:dyDescent="0.25">
      <c r="L82586" s="472"/>
      <c r="M82586" s="472"/>
    </row>
    <row r="82587" spans="12:13" x14ac:dyDescent="0.25">
      <c r="L82587" s="472"/>
      <c r="M82587" s="472"/>
    </row>
    <row r="82659" spans="12:13" x14ac:dyDescent="0.25">
      <c r="L82659" s="472"/>
      <c r="M82659" s="472"/>
    </row>
    <row r="82660" spans="12:13" x14ac:dyDescent="0.25">
      <c r="L82660" s="472"/>
      <c r="M82660" s="472"/>
    </row>
    <row r="82661" spans="12:13" x14ac:dyDescent="0.25">
      <c r="L82661" s="472"/>
      <c r="M82661" s="472"/>
    </row>
    <row r="82733" spans="12:13" x14ac:dyDescent="0.25">
      <c r="L82733" s="472"/>
      <c r="M82733" s="472"/>
    </row>
    <row r="82734" spans="12:13" x14ac:dyDescent="0.25">
      <c r="L82734" s="472"/>
      <c r="M82734" s="472"/>
    </row>
    <row r="82735" spans="12:13" x14ac:dyDescent="0.25">
      <c r="L82735" s="472"/>
      <c r="M82735" s="472"/>
    </row>
    <row r="82807" spans="12:13" x14ac:dyDescent="0.25">
      <c r="L82807" s="472"/>
      <c r="M82807" s="472"/>
    </row>
    <row r="82808" spans="12:13" x14ac:dyDescent="0.25">
      <c r="L82808" s="472"/>
      <c r="M82808" s="472"/>
    </row>
    <row r="82809" spans="12:13" x14ac:dyDescent="0.25">
      <c r="L82809" s="472"/>
      <c r="M82809" s="472"/>
    </row>
    <row r="82881" spans="12:13" x14ac:dyDescent="0.25">
      <c r="L82881" s="472"/>
      <c r="M82881" s="472"/>
    </row>
    <row r="82882" spans="12:13" x14ac:dyDescent="0.25">
      <c r="L82882" s="472"/>
      <c r="M82882" s="472"/>
    </row>
    <row r="82883" spans="12:13" x14ac:dyDescent="0.25">
      <c r="L82883" s="472"/>
      <c r="M82883" s="472"/>
    </row>
    <row r="82955" spans="12:13" x14ac:dyDescent="0.25">
      <c r="L82955" s="472"/>
      <c r="M82955" s="472"/>
    </row>
    <row r="82956" spans="12:13" x14ac:dyDescent="0.25">
      <c r="L82956" s="472"/>
      <c r="M82956" s="472"/>
    </row>
    <row r="82957" spans="12:13" x14ac:dyDescent="0.25">
      <c r="L82957" s="472"/>
      <c r="M82957" s="472"/>
    </row>
    <row r="83029" spans="12:13" x14ac:dyDescent="0.25">
      <c r="L83029" s="472"/>
      <c r="M83029" s="472"/>
    </row>
    <row r="83030" spans="12:13" x14ac:dyDescent="0.25">
      <c r="L83030" s="472"/>
      <c r="M83030" s="472"/>
    </row>
    <row r="83031" spans="12:13" x14ac:dyDescent="0.25">
      <c r="L83031" s="472"/>
      <c r="M83031" s="472"/>
    </row>
    <row r="83103" spans="12:13" x14ac:dyDescent="0.25">
      <c r="L83103" s="472"/>
      <c r="M83103" s="472"/>
    </row>
    <row r="83104" spans="12:13" x14ac:dyDescent="0.25">
      <c r="L83104" s="472"/>
      <c r="M83104" s="472"/>
    </row>
    <row r="83105" spans="12:13" x14ac:dyDescent="0.25">
      <c r="L83105" s="472"/>
      <c r="M83105" s="472"/>
    </row>
    <row r="83177" spans="12:13" x14ac:dyDescent="0.25">
      <c r="L83177" s="472"/>
      <c r="M83177" s="472"/>
    </row>
    <row r="83178" spans="12:13" x14ac:dyDescent="0.25">
      <c r="L83178" s="472"/>
      <c r="M83178" s="472"/>
    </row>
    <row r="83179" spans="12:13" x14ac:dyDescent="0.25">
      <c r="L83179" s="472"/>
      <c r="M83179" s="472"/>
    </row>
    <row r="83251" spans="12:13" x14ac:dyDescent="0.25">
      <c r="L83251" s="472"/>
      <c r="M83251" s="472"/>
    </row>
    <row r="83252" spans="12:13" x14ac:dyDescent="0.25">
      <c r="L83252" s="472"/>
      <c r="M83252" s="472"/>
    </row>
    <row r="83253" spans="12:13" x14ac:dyDescent="0.25">
      <c r="L83253" s="472"/>
      <c r="M83253" s="472"/>
    </row>
    <row r="83325" spans="12:13" x14ac:dyDescent="0.25">
      <c r="L83325" s="472"/>
      <c r="M83325" s="472"/>
    </row>
    <row r="83326" spans="12:13" x14ac:dyDescent="0.25">
      <c r="L83326" s="472"/>
      <c r="M83326" s="472"/>
    </row>
    <row r="83327" spans="12:13" x14ac:dyDescent="0.25">
      <c r="L83327" s="472"/>
      <c r="M83327" s="472"/>
    </row>
    <row r="83399" spans="12:13" x14ac:dyDescent="0.25">
      <c r="L83399" s="472"/>
      <c r="M83399" s="472"/>
    </row>
    <row r="83400" spans="12:13" x14ac:dyDescent="0.25">
      <c r="L83400" s="472"/>
      <c r="M83400" s="472"/>
    </row>
    <row r="83401" spans="12:13" x14ac:dyDescent="0.25">
      <c r="L83401" s="472"/>
      <c r="M83401" s="472"/>
    </row>
    <row r="83473" spans="12:13" x14ac:dyDescent="0.25">
      <c r="L83473" s="472"/>
      <c r="M83473" s="472"/>
    </row>
    <row r="83474" spans="12:13" x14ac:dyDescent="0.25">
      <c r="L83474" s="472"/>
      <c r="M83474" s="472"/>
    </row>
    <row r="83475" spans="12:13" x14ac:dyDescent="0.25">
      <c r="L83475" s="472"/>
      <c r="M83475" s="472"/>
    </row>
    <row r="83547" spans="12:13" x14ac:dyDescent="0.25">
      <c r="L83547" s="472"/>
      <c r="M83547" s="472"/>
    </row>
    <row r="83548" spans="12:13" x14ac:dyDescent="0.25">
      <c r="L83548" s="472"/>
      <c r="M83548" s="472"/>
    </row>
    <row r="83549" spans="12:13" x14ac:dyDescent="0.25">
      <c r="L83549" s="472"/>
      <c r="M83549" s="472"/>
    </row>
    <row r="83621" spans="12:13" x14ac:dyDescent="0.25">
      <c r="L83621" s="472"/>
      <c r="M83621" s="472"/>
    </row>
    <row r="83622" spans="12:13" x14ac:dyDescent="0.25">
      <c r="L83622" s="472"/>
      <c r="M83622" s="472"/>
    </row>
    <row r="83623" spans="12:13" x14ac:dyDescent="0.25">
      <c r="L83623" s="472"/>
      <c r="M83623" s="472"/>
    </row>
    <row r="83695" spans="12:13" x14ac:dyDescent="0.25">
      <c r="L83695" s="472"/>
      <c r="M83695" s="472"/>
    </row>
    <row r="83696" spans="12:13" x14ac:dyDescent="0.25">
      <c r="L83696" s="472"/>
      <c r="M83696" s="472"/>
    </row>
    <row r="83697" spans="12:13" x14ac:dyDescent="0.25">
      <c r="L83697" s="472"/>
      <c r="M83697" s="472"/>
    </row>
    <row r="83769" spans="12:13" x14ac:dyDescent="0.25">
      <c r="L83769" s="472"/>
      <c r="M83769" s="472"/>
    </row>
    <row r="83770" spans="12:13" x14ac:dyDescent="0.25">
      <c r="L83770" s="472"/>
      <c r="M83770" s="472"/>
    </row>
    <row r="83771" spans="12:13" x14ac:dyDescent="0.25">
      <c r="L83771" s="472"/>
      <c r="M83771" s="472"/>
    </row>
    <row r="83843" spans="12:13" x14ac:dyDescent="0.25">
      <c r="L83843" s="472"/>
      <c r="M83843" s="472"/>
    </row>
    <row r="83844" spans="12:13" x14ac:dyDescent="0.25">
      <c r="L83844" s="472"/>
      <c r="M83844" s="472"/>
    </row>
    <row r="83845" spans="12:13" x14ac:dyDescent="0.25">
      <c r="L83845" s="472"/>
      <c r="M83845" s="472"/>
    </row>
    <row r="83917" spans="12:13" x14ac:dyDescent="0.25">
      <c r="L83917" s="472"/>
      <c r="M83917" s="472"/>
    </row>
    <row r="83918" spans="12:13" x14ac:dyDescent="0.25">
      <c r="L83918" s="472"/>
      <c r="M83918" s="472"/>
    </row>
    <row r="83919" spans="12:13" x14ac:dyDescent="0.25">
      <c r="L83919" s="472"/>
      <c r="M83919" s="472"/>
    </row>
    <row r="83991" spans="12:13" x14ac:dyDescent="0.25">
      <c r="L83991" s="472"/>
      <c r="M83991" s="472"/>
    </row>
    <row r="83992" spans="12:13" x14ac:dyDescent="0.25">
      <c r="L83992" s="472"/>
      <c r="M83992" s="472"/>
    </row>
    <row r="83993" spans="12:13" x14ac:dyDescent="0.25">
      <c r="L83993" s="472"/>
      <c r="M83993" s="472"/>
    </row>
    <row r="84065" spans="12:13" x14ac:dyDescent="0.25">
      <c r="L84065" s="472"/>
      <c r="M84065" s="472"/>
    </row>
    <row r="84066" spans="12:13" x14ac:dyDescent="0.25">
      <c r="L84066" s="472"/>
      <c r="M84066" s="472"/>
    </row>
    <row r="84067" spans="12:13" x14ac:dyDescent="0.25">
      <c r="L84067" s="472"/>
      <c r="M84067" s="472"/>
    </row>
    <row r="84139" spans="12:13" x14ac:dyDescent="0.25">
      <c r="L84139" s="472"/>
      <c r="M84139" s="472"/>
    </row>
    <row r="84140" spans="12:13" x14ac:dyDescent="0.25">
      <c r="L84140" s="472"/>
      <c r="M84140" s="472"/>
    </row>
    <row r="84141" spans="12:13" x14ac:dyDescent="0.25">
      <c r="L84141" s="472"/>
      <c r="M84141" s="472"/>
    </row>
    <row r="84213" spans="12:13" x14ac:dyDescent="0.25">
      <c r="L84213" s="472"/>
      <c r="M84213" s="472"/>
    </row>
    <row r="84214" spans="12:13" x14ac:dyDescent="0.25">
      <c r="L84214" s="472"/>
      <c r="M84214" s="472"/>
    </row>
    <row r="84215" spans="12:13" x14ac:dyDescent="0.25">
      <c r="L84215" s="472"/>
      <c r="M84215" s="472"/>
    </row>
    <row r="84287" spans="12:13" x14ac:dyDescent="0.25">
      <c r="L84287" s="472"/>
      <c r="M84287" s="472"/>
    </row>
    <row r="84288" spans="12:13" x14ac:dyDescent="0.25">
      <c r="L84288" s="472"/>
      <c r="M84288" s="472"/>
    </row>
    <row r="84289" spans="12:13" x14ac:dyDescent="0.25">
      <c r="L84289" s="472"/>
      <c r="M84289" s="472"/>
    </row>
    <row r="84361" spans="12:13" x14ac:dyDescent="0.25">
      <c r="L84361" s="472"/>
      <c r="M84361" s="472"/>
    </row>
    <row r="84362" spans="12:13" x14ac:dyDescent="0.25">
      <c r="L84362" s="472"/>
      <c r="M84362" s="472"/>
    </row>
    <row r="84363" spans="12:13" x14ac:dyDescent="0.25">
      <c r="L84363" s="472"/>
      <c r="M84363" s="472"/>
    </row>
    <row r="84435" spans="12:13" x14ac:dyDescent="0.25">
      <c r="L84435" s="472"/>
      <c r="M84435" s="472"/>
    </row>
    <row r="84436" spans="12:13" x14ac:dyDescent="0.25">
      <c r="L84436" s="472"/>
      <c r="M84436" s="472"/>
    </row>
    <row r="84437" spans="12:13" x14ac:dyDescent="0.25">
      <c r="L84437" s="472"/>
      <c r="M84437" s="472"/>
    </row>
    <row r="84509" spans="12:13" x14ac:dyDescent="0.25">
      <c r="L84509" s="472"/>
      <c r="M84509" s="472"/>
    </row>
    <row r="84510" spans="12:13" x14ac:dyDescent="0.25">
      <c r="L84510" s="472"/>
      <c r="M84510" s="472"/>
    </row>
    <row r="84511" spans="12:13" x14ac:dyDescent="0.25">
      <c r="L84511" s="472"/>
      <c r="M84511" s="472"/>
    </row>
    <row r="84583" spans="12:13" x14ac:dyDescent="0.25">
      <c r="L84583" s="472"/>
      <c r="M84583" s="472"/>
    </row>
    <row r="84584" spans="12:13" x14ac:dyDescent="0.25">
      <c r="L84584" s="472"/>
      <c r="M84584" s="472"/>
    </row>
    <row r="84585" spans="12:13" x14ac:dyDescent="0.25">
      <c r="L84585" s="472"/>
      <c r="M84585" s="472"/>
    </row>
    <row r="84657" spans="12:13" x14ac:dyDescent="0.25">
      <c r="L84657" s="472"/>
      <c r="M84657" s="472"/>
    </row>
    <row r="84658" spans="12:13" x14ac:dyDescent="0.25">
      <c r="L84658" s="472"/>
      <c r="M84658" s="472"/>
    </row>
    <row r="84659" spans="12:13" x14ac:dyDescent="0.25">
      <c r="L84659" s="472"/>
      <c r="M84659" s="472"/>
    </row>
    <row r="84731" spans="12:13" x14ac:dyDescent="0.25">
      <c r="L84731" s="472"/>
      <c r="M84731" s="472"/>
    </row>
    <row r="84732" spans="12:13" x14ac:dyDescent="0.25">
      <c r="L84732" s="472"/>
      <c r="M84732" s="472"/>
    </row>
    <row r="84733" spans="12:13" x14ac:dyDescent="0.25">
      <c r="L84733" s="472"/>
      <c r="M84733" s="472"/>
    </row>
    <row r="84805" spans="12:13" x14ac:dyDescent="0.25">
      <c r="L84805" s="472"/>
      <c r="M84805" s="472"/>
    </row>
    <row r="84806" spans="12:13" x14ac:dyDescent="0.25">
      <c r="L84806" s="472"/>
      <c r="M84806" s="472"/>
    </row>
    <row r="84807" spans="12:13" x14ac:dyDescent="0.25">
      <c r="L84807" s="472"/>
      <c r="M84807" s="472"/>
    </row>
    <row r="84879" spans="12:13" x14ac:dyDescent="0.25">
      <c r="L84879" s="472"/>
      <c r="M84879" s="472"/>
    </row>
    <row r="84880" spans="12:13" x14ac:dyDescent="0.25">
      <c r="L84880" s="472"/>
      <c r="M84880" s="472"/>
    </row>
    <row r="84881" spans="12:13" x14ac:dyDescent="0.25">
      <c r="L84881" s="472"/>
      <c r="M84881" s="472"/>
    </row>
    <row r="84953" spans="12:13" x14ac:dyDescent="0.25">
      <c r="L84953" s="472"/>
      <c r="M84953" s="472"/>
    </row>
    <row r="84954" spans="12:13" x14ac:dyDescent="0.25">
      <c r="L84954" s="472"/>
      <c r="M84954" s="472"/>
    </row>
    <row r="84955" spans="12:13" x14ac:dyDescent="0.25">
      <c r="L84955" s="472"/>
      <c r="M84955" s="472"/>
    </row>
    <row r="85027" spans="12:13" x14ac:dyDescent="0.25">
      <c r="L85027" s="472"/>
      <c r="M85027" s="472"/>
    </row>
    <row r="85028" spans="12:13" x14ac:dyDescent="0.25">
      <c r="L85028" s="472"/>
      <c r="M85028" s="472"/>
    </row>
    <row r="85029" spans="12:13" x14ac:dyDescent="0.25">
      <c r="L85029" s="472"/>
      <c r="M85029" s="472"/>
    </row>
    <row r="85101" spans="12:13" x14ac:dyDescent="0.25">
      <c r="L85101" s="472"/>
      <c r="M85101" s="472"/>
    </row>
    <row r="85102" spans="12:13" x14ac:dyDescent="0.25">
      <c r="L85102" s="472"/>
      <c r="M85102" s="472"/>
    </row>
    <row r="85103" spans="12:13" x14ac:dyDescent="0.25">
      <c r="L85103" s="472"/>
      <c r="M85103" s="472"/>
    </row>
    <row r="85175" spans="12:13" x14ac:dyDescent="0.25">
      <c r="L85175" s="472"/>
      <c r="M85175" s="472"/>
    </row>
    <row r="85176" spans="12:13" x14ac:dyDescent="0.25">
      <c r="L85176" s="472"/>
      <c r="M85176" s="472"/>
    </row>
    <row r="85177" spans="12:13" x14ac:dyDescent="0.25">
      <c r="L85177" s="472"/>
      <c r="M85177" s="472"/>
    </row>
    <row r="85249" spans="12:13" x14ac:dyDescent="0.25">
      <c r="L85249" s="472"/>
      <c r="M85249" s="472"/>
    </row>
    <row r="85250" spans="12:13" x14ac:dyDescent="0.25">
      <c r="L85250" s="472"/>
      <c r="M85250" s="472"/>
    </row>
    <row r="85251" spans="12:13" x14ac:dyDescent="0.25">
      <c r="L85251" s="472"/>
      <c r="M85251" s="472"/>
    </row>
    <row r="85323" spans="12:13" x14ac:dyDescent="0.25">
      <c r="L85323" s="472"/>
      <c r="M85323" s="472"/>
    </row>
    <row r="85324" spans="12:13" x14ac:dyDescent="0.25">
      <c r="L85324" s="472"/>
      <c r="M85324" s="472"/>
    </row>
    <row r="85325" spans="12:13" x14ac:dyDescent="0.25">
      <c r="L85325" s="472"/>
      <c r="M85325" s="472"/>
    </row>
    <row r="85397" spans="12:13" x14ac:dyDescent="0.25">
      <c r="L85397" s="472"/>
      <c r="M85397" s="472"/>
    </row>
    <row r="85398" spans="12:13" x14ac:dyDescent="0.25">
      <c r="L85398" s="472"/>
      <c r="M85398" s="472"/>
    </row>
    <row r="85399" spans="12:13" x14ac:dyDescent="0.25">
      <c r="L85399" s="472"/>
      <c r="M85399" s="472"/>
    </row>
    <row r="85471" spans="12:13" x14ac:dyDescent="0.25">
      <c r="L85471" s="472"/>
      <c r="M85471" s="472"/>
    </row>
    <row r="85472" spans="12:13" x14ac:dyDescent="0.25">
      <c r="L85472" s="472"/>
      <c r="M85472" s="472"/>
    </row>
    <row r="85473" spans="12:13" x14ac:dyDescent="0.25">
      <c r="L85473" s="472"/>
      <c r="M85473" s="472"/>
    </row>
    <row r="85545" spans="12:13" x14ac:dyDescent="0.25">
      <c r="L85545" s="472"/>
      <c r="M85545" s="472"/>
    </row>
    <row r="85546" spans="12:13" x14ac:dyDescent="0.25">
      <c r="L85546" s="472"/>
      <c r="M85546" s="472"/>
    </row>
    <row r="85547" spans="12:13" x14ac:dyDescent="0.25">
      <c r="L85547" s="472"/>
      <c r="M85547" s="472"/>
    </row>
    <row r="85619" spans="12:13" x14ac:dyDescent="0.25">
      <c r="L85619" s="472"/>
      <c r="M85619" s="472"/>
    </row>
    <row r="85620" spans="12:13" x14ac:dyDescent="0.25">
      <c r="L85620" s="472"/>
      <c r="M85620" s="472"/>
    </row>
    <row r="85621" spans="12:13" x14ac:dyDescent="0.25">
      <c r="L85621" s="472"/>
      <c r="M85621" s="472"/>
    </row>
    <row r="85693" spans="12:13" x14ac:dyDescent="0.25">
      <c r="L85693" s="472"/>
      <c r="M85693" s="472"/>
    </row>
    <row r="85694" spans="12:13" x14ac:dyDescent="0.25">
      <c r="L85694" s="472"/>
      <c r="M85694" s="472"/>
    </row>
    <row r="85695" spans="12:13" x14ac:dyDescent="0.25">
      <c r="L85695" s="472"/>
      <c r="M85695" s="472"/>
    </row>
    <row r="85767" spans="12:13" x14ac:dyDescent="0.25">
      <c r="L85767" s="472"/>
      <c r="M85767" s="472"/>
    </row>
    <row r="85768" spans="12:13" x14ac:dyDescent="0.25">
      <c r="L85768" s="472"/>
      <c r="M85768" s="472"/>
    </row>
    <row r="85769" spans="12:13" x14ac:dyDescent="0.25">
      <c r="L85769" s="472"/>
      <c r="M85769" s="472"/>
    </row>
    <row r="85841" spans="12:13" x14ac:dyDescent="0.25">
      <c r="L85841" s="472"/>
      <c r="M85841" s="472"/>
    </row>
    <row r="85842" spans="12:13" x14ac:dyDescent="0.25">
      <c r="L85842" s="472"/>
      <c r="M85842" s="472"/>
    </row>
    <row r="85843" spans="12:13" x14ac:dyDescent="0.25">
      <c r="L85843" s="472"/>
      <c r="M85843" s="472"/>
    </row>
    <row r="85915" spans="12:13" x14ac:dyDescent="0.25">
      <c r="L85915" s="472"/>
      <c r="M85915" s="472"/>
    </row>
    <row r="85916" spans="12:13" x14ac:dyDescent="0.25">
      <c r="L85916" s="472"/>
      <c r="M85916" s="472"/>
    </row>
    <row r="85917" spans="12:13" x14ac:dyDescent="0.25">
      <c r="L85917" s="472"/>
      <c r="M85917" s="472"/>
    </row>
    <row r="85989" spans="12:13" x14ac:dyDescent="0.25">
      <c r="L85989" s="472"/>
      <c r="M85989" s="472"/>
    </row>
    <row r="85990" spans="12:13" x14ac:dyDescent="0.25">
      <c r="L85990" s="472"/>
      <c r="M85990" s="472"/>
    </row>
    <row r="85991" spans="12:13" x14ac:dyDescent="0.25">
      <c r="L85991" s="472"/>
      <c r="M85991" s="472"/>
    </row>
    <row r="86063" spans="12:13" x14ac:dyDescent="0.25">
      <c r="L86063" s="472"/>
      <c r="M86063" s="472"/>
    </row>
    <row r="86064" spans="12:13" x14ac:dyDescent="0.25">
      <c r="L86064" s="472"/>
      <c r="M86064" s="472"/>
    </row>
    <row r="86065" spans="12:13" x14ac:dyDescent="0.25">
      <c r="L86065" s="472"/>
      <c r="M86065" s="472"/>
    </row>
    <row r="86137" spans="12:13" x14ac:dyDescent="0.25">
      <c r="L86137" s="472"/>
      <c r="M86137" s="472"/>
    </row>
    <row r="86138" spans="12:13" x14ac:dyDescent="0.25">
      <c r="L86138" s="472"/>
      <c r="M86138" s="472"/>
    </row>
    <row r="86139" spans="12:13" x14ac:dyDescent="0.25">
      <c r="L86139" s="472"/>
      <c r="M86139" s="472"/>
    </row>
    <row r="86211" spans="12:13" x14ac:dyDescent="0.25">
      <c r="L86211" s="472"/>
      <c r="M86211" s="472"/>
    </row>
    <row r="86212" spans="12:13" x14ac:dyDescent="0.25">
      <c r="L86212" s="472"/>
      <c r="M86212" s="472"/>
    </row>
    <row r="86213" spans="12:13" x14ac:dyDescent="0.25">
      <c r="L86213" s="472"/>
      <c r="M86213" s="472"/>
    </row>
    <row r="86285" spans="12:13" x14ac:dyDescent="0.25">
      <c r="L86285" s="472"/>
      <c r="M86285" s="472"/>
    </row>
    <row r="86286" spans="12:13" x14ac:dyDescent="0.25">
      <c r="L86286" s="472"/>
      <c r="M86286" s="472"/>
    </row>
    <row r="86287" spans="12:13" x14ac:dyDescent="0.25">
      <c r="L86287" s="472"/>
      <c r="M86287" s="472"/>
    </row>
    <row r="86359" spans="12:13" x14ac:dyDescent="0.25">
      <c r="L86359" s="472"/>
      <c r="M86359" s="472"/>
    </row>
    <row r="86360" spans="12:13" x14ac:dyDescent="0.25">
      <c r="L86360" s="472"/>
      <c r="M86360" s="472"/>
    </row>
    <row r="86361" spans="12:13" x14ac:dyDescent="0.25">
      <c r="L86361" s="472"/>
      <c r="M86361" s="472"/>
    </row>
    <row r="86433" spans="12:13" x14ac:dyDescent="0.25">
      <c r="L86433" s="472"/>
      <c r="M86433" s="472"/>
    </row>
    <row r="86434" spans="12:13" x14ac:dyDescent="0.25">
      <c r="L86434" s="472"/>
      <c r="M86434" s="472"/>
    </row>
    <row r="86435" spans="12:13" x14ac:dyDescent="0.25">
      <c r="L86435" s="472"/>
      <c r="M86435" s="472"/>
    </row>
    <row r="86507" spans="12:13" x14ac:dyDescent="0.25">
      <c r="L86507" s="472"/>
      <c r="M86507" s="472"/>
    </row>
    <row r="86508" spans="12:13" x14ac:dyDescent="0.25">
      <c r="L86508" s="472"/>
      <c r="M86508" s="472"/>
    </row>
    <row r="86509" spans="12:13" x14ac:dyDescent="0.25">
      <c r="L86509" s="472"/>
      <c r="M86509" s="472"/>
    </row>
    <row r="86581" spans="12:13" x14ac:dyDescent="0.25">
      <c r="L86581" s="472"/>
      <c r="M86581" s="472"/>
    </row>
    <row r="86582" spans="12:13" x14ac:dyDescent="0.25">
      <c r="L86582" s="472"/>
      <c r="M86582" s="472"/>
    </row>
    <row r="86583" spans="12:13" x14ac:dyDescent="0.25">
      <c r="L86583" s="472"/>
      <c r="M86583" s="472"/>
    </row>
    <row r="86655" spans="12:13" x14ac:dyDescent="0.25">
      <c r="L86655" s="472"/>
      <c r="M86655" s="472"/>
    </row>
    <row r="86656" spans="12:13" x14ac:dyDescent="0.25">
      <c r="L86656" s="472"/>
      <c r="M86656" s="472"/>
    </row>
    <row r="86657" spans="12:13" x14ac:dyDescent="0.25">
      <c r="L86657" s="472"/>
      <c r="M86657" s="472"/>
    </row>
    <row r="86729" spans="12:13" x14ac:dyDescent="0.25">
      <c r="L86729" s="472"/>
      <c r="M86729" s="472"/>
    </row>
    <row r="86730" spans="12:13" x14ac:dyDescent="0.25">
      <c r="L86730" s="472"/>
      <c r="M86730" s="472"/>
    </row>
    <row r="86731" spans="12:13" x14ac:dyDescent="0.25">
      <c r="L86731" s="472"/>
      <c r="M86731" s="472"/>
    </row>
    <row r="86803" spans="12:13" x14ac:dyDescent="0.25">
      <c r="L86803" s="472"/>
      <c r="M86803" s="472"/>
    </row>
    <row r="86804" spans="12:13" x14ac:dyDescent="0.25">
      <c r="L86804" s="472"/>
      <c r="M86804" s="472"/>
    </row>
    <row r="86805" spans="12:13" x14ac:dyDescent="0.25">
      <c r="L86805" s="472"/>
      <c r="M86805" s="472"/>
    </row>
    <row r="86877" spans="12:13" x14ac:dyDescent="0.25">
      <c r="L86877" s="472"/>
      <c r="M86877" s="472"/>
    </row>
    <row r="86878" spans="12:13" x14ac:dyDescent="0.25">
      <c r="L86878" s="472"/>
      <c r="M86878" s="472"/>
    </row>
    <row r="86879" spans="12:13" x14ac:dyDescent="0.25">
      <c r="L86879" s="472"/>
      <c r="M86879" s="472"/>
    </row>
    <row r="86951" spans="12:13" x14ac:dyDescent="0.25">
      <c r="L86951" s="472"/>
      <c r="M86951" s="472"/>
    </row>
    <row r="86952" spans="12:13" x14ac:dyDescent="0.25">
      <c r="L86952" s="472"/>
      <c r="M86952" s="472"/>
    </row>
    <row r="86953" spans="12:13" x14ac:dyDescent="0.25">
      <c r="L86953" s="472"/>
      <c r="M86953" s="472"/>
    </row>
    <row r="87025" spans="12:13" x14ac:dyDescent="0.25">
      <c r="L87025" s="472"/>
      <c r="M87025" s="472"/>
    </row>
    <row r="87026" spans="12:13" x14ac:dyDescent="0.25">
      <c r="L87026" s="472"/>
      <c r="M87026" s="472"/>
    </row>
    <row r="87027" spans="12:13" x14ac:dyDescent="0.25">
      <c r="L87027" s="472"/>
      <c r="M87027" s="472"/>
    </row>
    <row r="87099" spans="12:13" x14ac:dyDescent="0.25">
      <c r="L87099" s="472"/>
      <c r="M87099" s="472"/>
    </row>
    <row r="87100" spans="12:13" x14ac:dyDescent="0.25">
      <c r="L87100" s="472"/>
      <c r="M87100" s="472"/>
    </row>
    <row r="87101" spans="12:13" x14ac:dyDescent="0.25">
      <c r="L87101" s="472"/>
      <c r="M87101" s="472"/>
    </row>
    <row r="87173" spans="12:13" x14ac:dyDescent="0.25">
      <c r="L87173" s="472"/>
      <c r="M87173" s="472"/>
    </row>
    <row r="87174" spans="12:13" x14ac:dyDescent="0.25">
      <c r="L87174" s="472"/>
      <c r="M87174" s="472"/>
    </row>
    <row r="87175" spans="12:13" x14ac:dyDescent="0.25">
      <c r="L87175" s="472"/>
      <c r="M87175" s="472"/>
    </row>
    <row r="87247" spans="12:13" x14ac:dyDescent="0.25">
      <c r="L87247" s="472"/>
      <c r="M87247" s="472"/>
    </row>
    <row r="87248" spans="12:13" x14ac:dyDescent="0.25">
      <c r="L87248" s="472"/>
      <c r="M87248" s="472"/>
    </row>
    <row r="87249" spans="12:13" x14ac:dyDescent="0.25">
      <c r="L87249" s="472"/>
      <c r="M87249" s="472"/>
    </row>
    <row r="87321" spans="12:13" x14ac:dyDescent="0.25">
      <c r="L87321" s="472"/>
      <c r="M87321" s="472"/>
    </row>
    <row r="87322" spans="12:13" x14ac:dyDescent="0.25">
      <c r="L87322" s="472"/>
      <c r="M87322" s="472"/>
    </row>
    <row r="87323" spans="12:13" x14ac:dyDescent="0.25">
      <c r="L87323" s="472"/>
      <c r="M87323" s="472"/>
    </row>
    <row r="87395" spans="12:13" x14ac:dyDescent="0.25">
      <c r="L87395" s="472"/>
      <c r="M87395" s="472"/>
    </row>
    <row r="87396" spans="12:13" x14ac:dyDescent="0.25">
      <c r="L87396" s="472"/>
      <c r="M87396" s="472"/>
    </row>
    <row r="87397" spans="12:13" x14ac:dyDescent="0.25">
      <c r="L87397" s="472"/>
      <c r="M87397" s="472"/>
    </row>
    <row r="87469" spans="12:13" x14ac:dyDescent="0.25">
      <c r="L87469" s="472"/>
      <c r="M87469" s="472"/>
    </row>
    <row r="87470" spans="12:13" x14ac:dyDescent="0.25">
      <c r="L87470" s="472"/>
      <c r="M87470" s="472"/>
    </row>
    <row r="87471" spans="12:13" x14ac:dyDescent="0.25">
      <c r="L87471" s="472"/>
      <c r="M87471" s="472"/>
    </row>
    <row r="87543" spans="12:13" x14ac:dyDescent="0.25">
      <c r="L87543" s="472"/>
      <c r="M87543" s="472"/>
    </row>
    <row r="87544" spans="12:13" x14ac:dyDescent="0.25">
      <c r="L87544" s="472"/>
      <c r="M87544" s="472"/>
    </row>
    <row r="87545" spans="12:13" x14ac:dyDescent="0.25">
      <c r="L87545" s="472"/>
      <c r="M87545" s="472"/>
    </row>
    <row r="87617" spans="12:13" x14ac:dyDescent="0.25">
      <c r="L87617" s="472"/>
      <c r="M87617" s="472"/>
    </row>
    <row r="87618" spans="12:13" x14ac:dyDescent="0.25">
      <c r="L87618" s="472"/>
      <c r="M87618" s="472"/>
    </row>
    <row r="87619" spans="12:13" x14ac:dyDescent="0.25">
      <c r="L87619" s="472"/>
      <c r="M87619" s="472"/>
    </row>
    <row r="87691" spans="12:13" x14ac:dyDescent="0.25">
      <c r="L87691" s="472"/>
      <c r="M87691" s="472"/>
    </row>
    <row r="87692" spans="12:13" x14ac:dyDescent="0.25">
      <c r="L87692" s="472"/>
      <c r="M87692" s="472"/>
    </row>
    <row r="87693" spans="12:13" x14ac:dyDescent="0.25">
      <c r="L87693" s="472"/>
      <c r="M87693" s="472"/>
    </row>
    <row r="87765" spans="12:13" x14ac:dyDescent="0.25">
      <c r="L87765" s="472"/>
      <c r="M87765" s="472"/>
    </row>
    <row r="87766" spans="12:13" x14ac:dyDescent="0.25">
      <c r="L87766" s="472"/>
      <c r="M87766" s="472"/>
    </row>
    <row r="87767" spans="12:13" x14ac:dyDescent="0.25">
      <c r="L87767" s="472"/>
      <c r="M87767" s="472"/>
    </row>
    <row r="87839" spans="12:13" x14ac:dyDescent="0.25">
      <c r="L87839" s="472"/>
      <c r="M87839" s="472"/>
    </row>
    <row r="87840" spans="12:13" x14ac:dyDescent="0.25">
      <c r="L87840" s="472"/>
      <c r="M87840" s="472"/>
    </row>
    <row r="87841" spans="12:13" x14ac:dyDescent="0.25">
      <c r="L87841" s="472"/>
      <c r="M87841" s="472"/>
    </row>
    <row r="87913" spans="12:13" x14ac:dyDescent="0.25">
      <c r="L87913" s="472"/>
      <c r="M87913" s="472"/>
    </row>
    <row r="87914" spans="12:13" x14ac:dyDescent="0.25">
      <c r="L87914" s="472"/>
      <c r="M87914" s="472"/>
    </row>
    <row r="87915" spans="12:13" x14ac:dyDescent="0.25">
      <c r="L87915" s="472"/>
      <c r="M87915" s="472"/>
    </row>
    <row r="87987" spans="12:13" x14ac:dyDescent="0.25">
      <c r="L87987" s="472"/>
      <c r="M87987" s="472"/>
    </row>
    <row r="87988" spans="12:13" x14ac:dyDescent="0.25">
      <c r="L87988" s="472"/>
      <c r="M87988" s="472"/>
    </row>
    <row r="87989" spans="12:13" x14ac:dyDescent="0.25">
      <c r="L87989" s="472"/>
      <c r="M87989" s="472"/>
    </row>
    <row r="88061" spans="12:13" x14ac:dyDescent="0.25">
      <c r="L88061" s="472"/>
      <c r="M88061" s="472"/>
    </row>
    <row r="88062" spans="12:13" x14ac:dyDescent="0.25">
      <c r="L88062" s="472"/>
      <c r="M88062" s="472"/>
    </row>
    <row r="88063" spans="12:13" x14ac:dyDescent="0.25">
      <c r="L88063" s="472"/>
      <c r="M88063" s="472"/>
    </row>
    <row r="88135" spans="12:13" x14ac:dyDescent="0.25">
      <c r="L88135" s="472"/>
      <c r="M88135" s="472"/>
    </row>
    <row r="88136" spans="12:13" x14ac:dyDescent="0.25">
      <c r="L88136" s="472"/>
      <c r="M88136" s="472"/>
    </row>
    <row r="88137" spans="12:13" x14ac:dyDescent="0.25">
      <c r="L88137" s="472"/>
      <c r="M88137" s="472"/>
    </row>
    <row r="88209" spans="12:13" x14ac:dyDescent="0.25">
      <c r="L88209" s="472"/>
      <c r="M88209" s="472"/>
    </row>
    <row r="88210" spans="12:13" x14ac:dyDescent="0.25">
      <c r="L88210" s="472"/>
      <c r="M88210" s="472"/>
    </row>
    <row r="88211" spans="12:13" x14ac:dyDescent="0.25">
      <c r="L88211" s="472"/>
      <c r="M88211" s="472"/>
    </row>
    <row r="88283" spans="12:13" x14ac:dyDescent="0.25">
      <c r="L88283" s="472"/>
      <c r="M88283" s="472"/>
    </row>
    <row r="88284" spans="12:13" x14ac:dyDescent="0.25">
      <c r="L88284" s="472"/>
      <c r="M88284" s="472"/>
    </row>
    <row r="88285" spans="12:13" x14ac:dyDescent="0.25">
      <c r="L88285" s="472"/>
      <c r="M88285" s="472"/>
    </row>
    <row r="88357" spans="12:13" x14ac:dyDescent="0.25">
      <c r="L88357" s="472"/>
      <c r="M88357" s="472"/>
    </row>
    <row r="88358" spans="12:13" x14ac:dyDescent="0.25">
      <c r="L88358" s="472"/>
      <c r="M88358" s="472"/>
    </row>
    <row r="88359" spans="12:13" x14ac:dyDescent="0.25">
      <c r="L88359" s="472"/>
      <c r="M88359" s="472"/>
    </row>
    <row r="88431" spans="12:13" x14ac:dyDescent="0.25">
      <c r="L88431" s="472"/>
      <c r="M88431" s="472"/>
    </row>
    <row r="88432" spans="12:13" x14ac:dyDescent="0.25">
      <c r="L88432" s="472"/>
      <c r="M88432" s="472"/>
    </row>
    <row r="88433" spans="12:13" x14ac:dyDescent="0.25">
      <c r="L88433" s="472"/>
      <c r="M88433" s="472"/>
    </row>
    <row r="88505" spans="12:13" x14ac:dyDescent="0.25">
      <c r="L88505" s="472"/>
      <c r="M88505" s="472"/>
    </row>
    <row r="88506" spans="12:13" x14ac:dyDescent="0.25">
      <c r="L88506" s="472"/>
      <c r="M88506" s="472"/>
    </row>
    <row r="88507" spans="12:13" x14ac:dyDescent="0.25">
      <c r="L88507" s="472"/>
      <c r="M88507" s="472"/>
    </row>
    <row r="88579" spans="12:13" x14ac:dyDescent="0.25">
      <c r="L88579" s="472"/>
      <c r="M88579" s="472"/>
    </row>
    <row r="88580" spans="12:13" x14ac:dyDescent="0.25">
      <c r="L88580" s="472"/>
      <c r="M88580" s="472"/>
    </row>
    <row r="88581" spans="12:13" x14ac:dyDescent="0.25">
      <c r="L88581" s="472"/>
      <c r="M88581" s="472"/>
    </row>
    <row r="88653" spans="12:13" x14ac:dyDescent="0.25">
      <c r="L88653" s="472"/>
      <c r="M88653" s="472"/>
    </row>
    <row r="88654" spans="12:13" x14ac:dyDescent="0.25">
      <c r="L88654" s="472"/>
      <c r="M88654" s="472"/>
    </row>
    <row r="88655" spans="12:13" x14ac:dyDescent="0.25">
      <c r="L88655" s="472"/>
      <c r="M88655" s="472"/>
    </row>
    <row r="88727" spans="12:13" x14ac:dyDescent="0.25">
      <c r="L88727" s="472"/>
      <c r="M88727" s="472"/>
    </row>
    <row r="88728" spans="12:13" x14ac:dyDescent="0.25">
      <c r="L88728" s="472"/>
      <c r="M88728" s="472"/>
    </row>
    <row r="88729" spans="12:13" x14ac:dyDescent="0.25">
      <c r="L88729" s="472"/>
      <c r="M88729" s="472"/>
    </row>
    <row r="88801" spans="12:13" x14ac:dyDescent="0.25">
      <c r="L88801" s="472"/>
      <c r="M88801" s="472"/>
    </row>
    <row r="88802" spans="12:13" x14ac:dyDescent="0.25">
      <c r="L88802" s="472"/>
      <c r="M88802" s="472"/>
    </row>
    <row r="88803" spans="12:13" x14ac:dyDescent="0.25">
      <c r="L88803" s="472"/>
      <c r="M88803" s="472"/>
    </row>
    <row r="88875" spans="12:13" x14ac:dyDescent="0.25">
      <c r="L88875" s="472"/>
      <c r="M88875" s="472"/>
    </row>
    <row r="88876" spans="12:13" x14ac:dyDescent="0.25">
      <c r="L88876" s="472"/>
      <c r="M88876" s="472"/>
    </row>
    <row r="88877" spans="12:13" x14ac:dyDescent="0.25">
      <c r="L88877" s="472"/>
      <c r="M88877" s="472"/>
    </row>
    <row r="88949" spans="12:13" x14ac:dyDescent="0.25">
      <c r="L88949" s="472"/>
      <c r="M88949" s="472"/>
    </row>
    <row r="88950" spans="12:13" x14ac:dyDescent="0.25">
      <c r="L88950" s="472"/>
      <c r="M88950" s="472"/>
    </row>
    <row r="88951" spans="12:13" x14ac:dyDescent="0.25">
      <c r="L88951" s="472"/>
      <c r="M88951" s="472"/>
    </row>
    <row r="89023" spans="12:13" x14ac:dyDescent="0.25">
      <c r="L89023" s="472"/>
      <c r="M89023" s="472"/>
    </row>
    <row r="89024" spans="12:13" x14ac:dyDescent="0.25">
      <c r="L89024" s="472"/>
      <c r="M89024" s="472"/>
    </row>
    <row r="89025" spans="12:13" x14ac:dyDescent="0.25">
      <c r="L89025" s="472"/>
      <c r="M89025" s="472"/>
    </row>
    <row r="89097" spans="12:13" x14ac:dyDescent="0.25">
      <c r="L89097" s="472"/>
      <c r="M89097" s="472"/>
    </row>
    <row r="89098" spans="12:13" x14ac:dyDescent="0.25">
      <c r="L89098" s="472"/>
      <c r="M89098" s="472"/>
    </row>
    <row r="89099" spans="12:13" x14ac:dyDescent="0.25">
      <c r="L89099" s="472"/>
      <c r="M89099" s="472"/>
    </row>
    <row r="89171" spans="12:13" x14ac:dyDescent="0.25">
      <c r="L89171" s="472"/>
      <c r="M89171" s="472"/>
    </row>
    <row r="89172" spans="12:13" x14ac:dyDescent="0.25">
      <c r="L89172" s="472"/>
      <c r="M89172" s="472"/>
    </row>
    <row r="89173" spans="12:13" x14ac:dyDescent="0.25">
      <c r="L89173" s="472"/>
      <c r="M89173" s="472"/>
    </row>
    <row r="89245" spans="12:13" x14ac:dyDescent="0.25">
      <c r="L89245" s="472"/>
      <c r="M89245" s="472"/>
    </row>
    <row r="89246" spans="12:13" x14ac:dyDescent="0.25">
      <c r="L89246" s="472"/>
      <c r="M89246" s="472"/>
    </row>
    <row r="89247" spans="12:13" x14ac:dyDescent="0.25">
      <c r="L89247" s="472"/>
      <c r="M89247" s="472"/>
    </row>
    <row r="89319" spans="12:13" x14ac:dyDescent="0.25">
      <c r="L89319" s="472"/>
      <c r="M89319" s="472"/>
    </row>
    <row r="89320" spans="12:13" x14ac:dyDescent="0.25">
      <c r="L89320" s="472"/>
      <c r="M89320" s="472"/>
    </row>
    <row r="89321" spans="12:13" x14ac:dyDescent="0.25">
      <c r="L89321" s="472"/>
      <c r="M89321" s="472"/>
    </row>
    <row r="89393" spans="12:13" x14ac:dyDescent="0.25">
      <c r="L89393" s="472"/>
      <c r="M89393" s="472"/>
    </row>
    <row r="89394" spans="12:13" x14ac:dyDescent="0.25">
      <c r="L89394" s="472"/>
      <c r="M89394" s="472"/>
    </row>
    <row r="89395" spans="12:13" x14ac:dyDescent="0.25">
      <c r="L89395" s="472"/>
      <c r="M89395" s="472"/>
    </row>
    <row r="89467" spans="12:13" x14ac:dyDescent="0.25">
      <c r="L89467" s="472"/>
      <c r="M89467" s="472"/>
    </row>
    <row r="89468" spans="12:13" x14ac:dyDescent="0.25">
      <c r="L89468" s="472"/>
      <c r="M89468" s="472"/>
    </row>
    <row r="89469" spans="12:13" x14ac:dyDescent="0.25">
      <c r="L89469" s="472"/>
      <c r="M89469" s="472"/>
    </row>
    <row r="89541" spans="12:13" x14ac:dyDescent="0.25">
      <c r="L89541" s="472"/>
      <c r="M89541" s="472"/>
    </row>
    <row r="89542" spans="12:13" x14ac:dyDescent="0.25">
      <c r="L89542" s="472"/>
      <c r="M89542" s="472"/>
    </row>
    <row r="89543" spans="12:13" x14ac:dyDescent="0.25">
      <c r="L89543" s="472"/>
      <c r="M89543" s="472"/>
    </row>
    <row r="89615" spans="12:13" x14ac:dyDescent="0.25">
      <c r="L89615" s="472"/>
      <c r="M89615" s="472"/>
    </row>
    <row r="89616" spans="12:13" x14ac:dyDescent="0.25">
      <c r="L89616" s="472"/>
      <c r="M89616" s="472"/>
    </row>
    <row r="89617" spans="12:13" x14ac:dyDescent="0.25">
      <c r="L89617" s="472"/>
      <c r="M89617" s="472"/>
    </row>
    <row r="89689" spans="12:13" x14ac:dyDescent="0.25">
      <c r="L89689" s="472"/>
      <c r="M89689" s="472"/>
    </row>
    <row r="89690" spans="12:13" x14ac:dyDescent="0.25">
      <c r="L89690" s="472"/>
      <c r="M89690" s="472"/>
    </row>
    <row r="89691" spans="12:13" x14ac:dyDescent="0.25">
      <c r="L89691" s="472"/>
      <c r="M89691" s="472"/>
    </row>
    <row r="89763" spans="12:13" x14ac:dyDescent="0.25">
      <c r="L89763" s="472"/>
      <c r="M89763" s="472"/>
    </row>
    <row r="89764" spans="12:13" x14ac:dyDescent="0.25">
      <c r="L89764" s="472"/>
      <c r="M89764" s="472"/>
    </row>
    <row r="89765" spans="12:13" x14ac:dyDescent="0.25">
      <c r="L89765" s="472"/>
      <c r="M89765" s="472"/>
    </row>
    <row r="89837" spans="12:13" x14ac:dyDescent="0.25">
      <c r="L89837" s="472"/>
      <c r="M89837" s="472"/>
    </row>
    <row r="89838" spans="12:13" x14ac:dyDescent="0.25">
      <c r="L89838" s="472"/>
      <c r="M89838" s="472"/>
    </row>
    <row r="89839" spans="12:13" x14ac:dyDescent="0.25">
      <c r="L89839" s="472"/>
      <c r="M89839" s="472"/>
    </row>
    <row r="89911" spans="12:13" x14ac:dyDescent="0.25">
      <c r="L89911" s="472"/>
      <c r="M89911" s="472"/>
    </row>
    <row r="89912" spans="12:13" x14ac:dyDescent="0.25">
      <c r="L89912" s="472"/>
      <c r="M89912" s="472"/>
    </row>
    <row r="89913" spans="12:13" x14ac:dyDescent="0.25">
      <c r="L89913" s="472"/>
      <c r="M89913" s="472"/>
    </row>
    <row r="89985" spans="12:13" x14ac:dyDescent="0.25">
      <c r="L89985" s="472"/>
      <c r="M89985" s="472"/>
    </row>
    <row r="89986" spans="12:13" x14ac:dyDescent="0.25">
      <c r="L89986" s="472"/>
      <c r="M89986" s="472"/>
    </row>
    <row r="89987" spans="12:13" x14ac:dyDescent="0.25">
      <c r="L89987" s="472"/>
      <c r="M89987" s="472"/>
    </row>
    <row r="90059" spans="12:13" x14ac:dyDescent="0.25">
      <c r="L90059" s="472"/>
      <c r="M90059" s="472"/>
    </row>
    <row r="90060" spans="12:13" x14ac:dyDescent="0.25">
      <c r="L90060" s="472"/>
      <c r="M90060" s="472"/>
    </row>
    <row r="90061" spans="12:13" x14ac:dyDescent="0.25">
      <c r="L90061" s="472"/>
      <c r="M90061" s="472"/>
    </row>
    <row r="90133" spans="12:13" x14ac:dyDescent="0.25">
      <c r="L90133" s="472"/>
      <c r="M90133" s="472"/>
    </row>
    <row r="90134" spans="12:13" x14ac:dyDescent="0.25">
      <c r="L90134" s="472"/>
      <c r="M90134" s="472"/>
    </row>
    <row r="90135" spans="12:13" x14ac:dyDescent="0.25">
      <c r="L90135" s="472"/>
      <c r="M90135" s="472"/>
    </row>
    <row r="90207" spans="12:13" x14ac:dyDescent="0.25">
      <c r="L90207" s="472"/>
      <c r="M90207" s="472"/>
    </row>
    <row r="90208" spans="12:13" x14ac:dyDescent="0.25">
      <c r="L90208" s="472"/>
      <c r="M90208" s="472"/>
    </row>
    <row r="90209" spans="12:13" x14ac:dyDescent="0.25">
      <c r="L90209" s="472"/>
      <c r="M90209" s="472"/>
    </row>
    <row r="90281" spans="12:13" x14ac:dyDescent="0.25">
      <c r="L90281" s="472"/>
      <c r="M90281" s="472"/>
    </row>
    <row r="90282" spans="12:13" x14ac:dyDescent="0.25">
      <c r="L90282" s="472"/>
      <c r="M90282" s="472"/>
    </row>
    <row r="90283" spans="12:13" x14ac:dyDescent="0.25">
      <c r="L90283" s="472"/>
      <c r="M90283" s="472"/>
    </row>
    <row r="90355" spans="12:13" x14ac:dyDescent="0.25">
      <c r="L90355" s="472"/>
      <c r="M90355" s="472"/>
    </row>
    <row r="90356" spans="12:13" x14ac:dyDescent="0.25">
      <c r="L90356" s="472"/>
      <c r="M90356" s="472"/>
    </row>
    <row r="90357" spans="12:13" x14ac:dyDescent="0.25">
      <c r="L90357" s="472"/>
      <c r="M90357" s="472"/>
    </row>
    <row r="90429" spans="12:13" x14ac:dyDescent="0.25">
      <c r="L90429" s="472"/>
      <c r="M90429" s="472"/>
    </row>
    <row r="90430" spans="12:13" x14ac:dyDescent="0.25">
      <c r="L90430" s="472"/>
      <c r="M90430" s="472"/>
    </row>
    <row r="90431" spans="12:13" x14ac:dyDescent="0.25">
      <c r="L90431" s="472"/>
      <c r="M90431" s="472"/>
    </row>
    <row r="90503" spans="12:13" x14ac:dyDescent="0.25">
      <c r="L90503" s="472"/>
      <c r="M90503" s="472"/>
    </row>
    <row r="90504" spans="12:13" x14ac:dyDescent="0.25">
      <c r="L90504" s="472"/>
      <c r="M90504" s="472"/>
    </row>
    <row r="90505" spans="12:13" x14ac:dyDescent="0.25">
      <c r="L90505" s="472"/>
      <c r="M90505" s="472"/>
    </row>
    <row r="90577" spans="12:13" x14ac:dyDescent="0.25">
      <c r="L90577" s="472"/>
      <c r="M90577" s="472"/>
    </row>
    <row r="90578" spans="12:13" x14ac:dyDescent="0.25">
      <c r="L90578" s="472"/>
      <c r="M90578" s="472"/>
    </row>
    <row r="90579" spans="12:13" x14ac:dyDescent="0.25">
      <c r="L90579" s="472"/>
      <c r="M90579" s="472"/>
    </row>
    <row r="90651" spans="12:13" x14ac:dyDescent="0.25">
      <c r="L90651" s="472"/>
      <c r="M90651" s="472"/>
    </row>
    <row r="90652" spans="12:13" x14ac:dyDescent="0.25">
      <c r="L90652" s="472"/>
      <c r="M90652" s="472"/>
    </row>
    <row r="90653" spans="12:13" x14ac:dyDescent="0.25">
      <c r="L90653" s="472"/>
      <c r="M90653" s="472"/>
    </row>
    <row r="90725" spans="12:13" x14ac:dyDescent="0.25">
      <c r="L90725" s="472"/>
      <c r="M90725" s="472"/>
    </row>
    <row r="90726" spans="12:13" x14ac:dyDescent="0.25">
      <c r="L90726" s="472"/>
      <c r="M90726" s="472"/>
    </row>
    <row r="90727" spans="12:13" x14ac:dyDescent="0.25">
      <c r="L90727" s="472"/>
      <c r="M90727" s="472"/>
    </row>
    <row r="90799" spans="12:13" x14ac:dyDescent="0.25">
      <c r="L90799" s="472"/>
      <c r="M90799" s="472"/>
    </row>
    <row r="90800" spans="12:13" x14ac:dyDescent="0.25">
      <c r="L90800" s="472"/>
      <c r="M90800" s="472"/>
    </row>
    <row r="90801" spans="12:13" x14ac:dyDescent="0.25">
      <c r="L90801" s="472"/>
      <c r="M90801" s="472"/>
    </row>
    <row r="90873" spans="12:13" x14ac:dyDescent="0.25">
      <c r="L90873" s="472"/>
      <c r="M90873" s="472"/>
    </row>
    <row r="90874" spans="12:13" x14ac:dyDescent="0.25">
      <c r="L90874" s="472"/>
      <c r="M90874" s="472"/>
    </row>
    <row r="90875" spans="12:13" x14ac:dyDescent="0.25">
      <c r="L90875" s="472"/>
      <c r="M90875" s="472"/>
    </row>
    <row r="90947" spans="12:13" x14ac:dyDescent="0.25">
      <c r="L90947" s="472"/>
      <c r="M90947" s="472"/>
    </row>
    <row r="90948" spans="12:13" x14ac:dyDescent="0.25">
      <c r="L90948" s="472"/>
      <c r="M90948" s="472"/>
    </row>
    <row r="90949" spans="12:13" x14ac:dyDescent="0.25">
      <c r="L90949" s="472"/>
      <c r="M90949" s="472"/>
    </row>
    <row r="91021" spans="12:13" x14ac:dyDescent="0.25">
      <c r="L91021" s="472"/>
      <c r="M91021" s="472"/>
    </row>
    <row r="91022" spans="12:13" x14ac:dyDescent="0.25">
      <c r="L91022" s="472"/>
      <c r="M91022" s="472"/>
    </row>
    <row r="91023" spans="12:13" x14ac:dyDescent="0.25">
      <c r="L91023" s="472"/>
      <c r="M91023" s="472"/>
    </row>
    <row r="91095" spans="12:13" x14ac:dyDescent="0.25">
      <c r="L91095" s="472"/>
      <c r="M91095" s="472"/>
    </row>
    <row r="91096" spans="12:13" x14ac:dyDescent="0.25">
      <c r="L91096" s="472"/>
      <c r="M91096" s="472"/>
    </row>
    <row r="91097" spans="12:13" x14ac:dyDescent="0.25">
      <c r="L91097" s="472"/>
      <c r="M91097" s="472"/>
    </row>
    <row r="91169" spans="12:13" x14ac:dyDescent="0.25">
      <c r="L91169" s="472"/>
      <c r="M91169" s="472"/>
    </row>
    <row r="91170" spans="12:13" x14ac:dyDescent="0.25">
      <c r="L91170" s="472"/>
      <c r="M91170" s="472"/>
    </row>
    <row r="91171" spans="12:13" x14ac:dyDescent="0.25">
      <c r="L91171" s="472"/>
      <c r="M91171" s="472"/>
    </row>
    <row r="91243" spans="12:13" x14ac:dyDescent="0.25">
      <c r="L91243" s="472"/>
      <c r="M91243" s="472"/>
    </row>
    <row r="91244" spans="12:13" x14ac:dyDescent="0.25">
      <c r="L91244" s="472"/>
      <c r="M91244" s="472"/>
    </row>
    <row r="91245" spans="12:13" x14ac:dyDescent="0.25">
      <c r="L91245" s="472"/>
      <c r="M91245" s="472"/>
    </row>
    <row r="91317" spans="12:13" x14ac:dyDescent="0.25">
      <c r="L91317" s="472"/>
      <c r="M91317" s="472"/>
    </row>
    <row r="91318" spans="12:13" x14ac:dyDescent="0.25">
      <c r="L91318" s="472"/>
      <c r="M91318" s="472"/>
    </row>
    <row r="91319" spans="12:13" x14ac:dyDescent="0.25">
      <c r="L91319" s="472"/>
      <c r="M91319" s="472"/>
    </row>
    <row r="91391" spans="12:13" x14ac:dyDescent="0.25">
      <c r="L91391" s="472"/>
      <c r="M91391" s="472"/>
    </row>
    <row r="91392" spans="12:13" x14ac:dyDescent="0.25">
      <c r="L91392" s="472"/>
      <c r="M91392" s="472"/>
    </row>
    <row r="91393" spans="12:13" x14ac:dyDescent="0.25">
      <c r="L91393" s="472"/>
      <c r="M91393" s="472"/>
    </row>
    <row r="91465" spans="12:13" x14ac:dyDescent="0.25">
      <c r="L91465" s="472"/>
      <c r="M91465" s="472"/>
    </row>
    <row r="91466" spans="12:13" x14ac:dyDescent="0.25">
      <c r="L91466" s="472"/>
      <c r="M91466" s="472"/>
    </row>
    <row r="91467" spans="12:13" x14ac:dyDescent="0.25">
      <c r="L91467" s="472"/>
      <c r="M91467" s="472"/>
    </row>
    <row r="91539" spans="12:13" x14ac:dyDescent="0.25">
      <c r="L91539" s="472"/>
      <c r="M91539" s="472"/>
    </row>
    <row r="91540" spans="12:13" x14ac:dyDescent="0.25">
      <c r="L91540" s="472"/>
      <c r="M91540" s="472"/>
    </row>
    <row r="91541" spans="12:13" x14ac:dyDescent="0.25">
      <c r="L91541" s="472"/>
      <c r="M91541" s="472"/>
    </row>
    <row r="91613" spans="12:13" x14ac:dyDescent="0.25">
      <c r="L91613" s="472"/>
      <c r="M91613" s="472"/>
    </row>
    <row r="91614" spans="12:13" x14ac:dyDescent="0.25">
      <c r="L91614" s="472"/>
      <c r="M91614" s="472"/>
    </row>
    <row r="91615" spans="12:13" x14ac:dyDescent="0.25">
      <c r="L91615" s="472"/>
      <c r="M91615" s="472"/>
    </row>
    <row r="91687" spans="12:13" x14ac:dyDescent="0.25">
      <c r="L91687" s="472"/>
      <c r="M91687" s="472"/>
    </row>
    <row r="91688" spans="12:13" x14ac:dyDescent="0.25">
      <c r="L91688" s="472"/>
      <c r="M91688" s="472"/>
    </row>
    <row r="91689" spans="12:13" x14ac:dyDescent="0.25">
      <c r="L91689" s="472"/>
      <c r="M91689" s="472"/>
    </row>
    <row r="91761" spans="12:13" x14ac:dyDescent="0.25">
      <c r="L91761" s="472"/>
      <c r="M91761" s="472"/>
    </row>
    <row r="91762" spans="12:13" x14ac:dyDescent="0.25">
      <c r="L91762" s="472"/>
      <c r="M91762" s="472"/>
    </row>
    <row r="91763" spans="12:13" x14ac:dyDescent="0.25">
      <c r="L91763" s="472"/>
      <c r="M91763" s="472"/>
    </row>
    <row r="91835" spans="12:13" x14ac:dyDescent="0.25">
      <c r="L91835" s="472"/>
      <c r="M91835" s="472"/>
    </row>
    <row r="91836" spans="12:13" x14ac:dyDescent="0.25">
      <c r="L91836" s="472"/>
      <c r="M91836" s="472"/>
    </row>
    <row r="91837" spans="12:13" x14ac:dyDescent="0.25">
      <c r="L91837" s="472"/>
      <c r="M91837" s="472"/>
    </row>
    <row r="91909" spans="12:13" x14ac:dyDescent="0.25">
      <c r="L91909" s="472"/>
      <c r="M91909" s="472"/>
    </row>
    <row r="91910" spans="12:13" x14ac:dyDescent="0.25">
      <c r="L91910" s="472"/>
      <c r="M91910" s="472"/>
    </row>
    <row r="91911" spans="12:13" x14ac:dyDescent="0.25">
      <c r="L91911" s="472"/>
      <c r="M91911" s="472"/>
    </row>
    <row r="91983" spans="12:13" x14ac:dyDescent="0.25">
      <c r="L91983" s="472"/>
      <c r="M91983" s="472"/>
    </row>
    <row r="91984" spans="12:13" x14ac:dyDescent="0.25">
      <c r="L91984" s="472"/>
      <c r="M91984" s="472"/>
    </row>
    <row r="91985" spans="12:13" x14ac:dyDescent="0.25">
      <c r="L91985" s="472"/>
      <c r="M91985" s="472"/>
    </row>
    <row r="92057" spans="12:13" x14ac:dyDescent="0.25">
      <c r="L92057" s="472"/>
      <c r="M92057" s="472"/>
    </row>
    <row r="92058" spans="12:13" x14ac:dyDescent="0.25">
      <c r="L92058" s="472"/>
      <c r="M92058" s="472"/>
    </row>
    <row r="92059" spans="12:13" x14ac:dyDescent="0.25">
      <c r="L92059" s="472"/>
      <c r="M92059" s="472"/>
    </row>
    <row r="92131" spans="12:13" x14ac:dyDescent="0.25">
      <c r="L92131" s="472"/>
      <c r="M92131" s="472"/>
    </row>
    <row r="92132" spans="12:13" x14ac:dyDescent="0.25">
      <c r="L92132" s="472"/>
      <c r="M92132" s="472"/>
    </row>
    <row r="92133" spans="12:13" x14ac:dyDescent="0.25">
      <c r="L92133" s="472"/>
      <c r="M92133" s="472"/>
    </row>
    <row r="92205" spans="12:13" x14ac:dyDescent="0.25">
      <c r="L92205" s="472"/>
      <c r="M92205" s="472"/>
    </row>
    <row r="92206" spans="12:13" x14ac:dyDescent="0.25">
      <c r="L92206" s="472"/>
      <c r="M92206" s="472"/>
    </row>
    <row r="92207" spans="12:13" x14ac:dyDescent="0.25">
      <c r="L92207" s="472"/>
      <c r="M92207" s="472"/>
    </row>
    <row r="92279" spans="12:13" x14ac:dyDescent="0.25">
      <c r="L92279" s="472"/>
      <c r="M92279" s="472"/>
    </row>
    <row r="92280" spans="12:13" x14ac:dyDescent="0.25">
      <c r="L92280" s="472"/>
      <c r="M92280" s="472"/>
    </row>
    <row r="92281" spans="12:13" x14ac:dyDescent="0.25">
      <c r="L92281" s="472"/>
      <c r="M92281" s="472"/>
    </row>
    <row r="92353" spans="12:13" x14ac:dyDescent="0.25">
      <c r="L92353" s="472"/>
      <c r="M92353" s="472"/>
    </row>
    <row r="92354" spans="12:13" x14ac:dyDescent="0.25">
      <c r="L92354" s="472"/>
      <c r="M92354" s="472"/>
    </row>
    <row r="92355" spans="12:13" x14ac:dyDescent="0.25">
      <c r="L92355" s="472"/>
      <c r="M92355" s="472"/>
    </row>
    <row r="92427" spans="12:13" x14ac:dyDescent="0.25">
      <c r="L92427" s="472"/>
      <c r="M92427" s="472"/>
    </row>
    <row r="92428" spans="12:13" x14ac:dyDescent="0.25">
      <c r="L92428" s="472"/>
      <c r="M92428" s="472"/>
    </row>
    <row r="92429" spans="12:13" x14ac:dyDescent="0.25">
      <c r="L92429" s="472"/>
      <c r="M92429" s="472"/>
    </row>
    <row r="92501" spans="12:13" x14ac:dyDescent="0.25">
      <c r="L92501" s="472"/>
      <c r="M92501" s="472"/>
    </row>
    <row r="92502" spans="12:13" x14ac:dyDescent="0.25">
      <c r="L92502" s="472"/>
      <c r="M92502" s="472"/>
    </row>
    <row r="92503" spans="12:13" x14ac:dyDescent="0.25">
      <c r="L92503" s="472"/>
      <c r="M92503" s="472"/>
    </row>
    <row r="92575" spans="12:13" x14ac:dyDescent="0.25">
      <c r="L92575" s="472"/>
      <c r="M92575" s="472"/>
    </row>
    <row r="92576" spans="12:13" x14ac:dyDescent="0.25">
      <c r="L92576" s="472"/>
      <c r="M92576" s="472"/>
    </row>
    <row r="92577" spans="12:13" x14ac:dyDescent="0.25">
      <c r="L92577" s="472"/>
      <c r="M92577" s="472"/>
    </row>
    <row r="92649" spans="12:13" x14ac:dyDescent="0.25">
      <c r="L92649" s="472"/>
      <c r="M92649" s="472"/>
    </row>
    <row r="92650" spans="12:13" x14ac:dyDescent="0.25">
      <c r="L92650" s="472"/>
      <c r="M92650" s="472"/>
    </row>
    <row r="92651" spans="12:13" x14ac:dyDescent="0.25">
      <c r="L92651" s="472"/>
      <c r="M92651" s="472"/>
    </row>
    <row r="92723" spans="12:13" x14ac:dyDescent="0.25">
      <c r="L92723" s="472"/>
      <c r="M92723" s="472"/>
    </row>
    <row r="92724" spans="12:13" x14ac:dyDescent="0.25">
      <c r="L92724" s="472"/>
      <c r="M92724" s="472"/>
    </row>
    <row r="92725" spans="12:13" x14ac:dyDescent="0.25">
      <c r="L92725" s="472"/>
      <c r="M92725" s="472"/>
    </row>
    <row r="92797" spans="12:13" x14ac:dyDescent="0.25">
      <c r="L92797" s="472"/>
      <c r="M92797" s="472"/>
    </row>
    <row r="92798" spans="12:13" x14ac:dyDescent="0.25">
      <c r="L92798" s="472"/>
      <c r="M92798" s="472"/>
    </row>
    <row r="92799" spans="12:13" x14ac:dyDescent="0.25">
      <c r="L92799" s="472"/>
      <c r="M92799" s="472"/>
    </row>
    <row r="92871" spans="12:13" x14ac:dyDescent="0.25">
      <c r="L92871" s="472"/>
      <c r="M92871" s="472"/>
    </row>
    <row r="92872" spans="12:13" x14ac:dyDescent="0.25">
      <c r="L92872" s="472"/>
      <c r="M92872" s="472"/>
    </row>
    <row r="92873" spans="12:13" x14ac:dyDescent="0.25">
      <c r="L92873" s="472"/>
      <c r="M92873" s="472"/>
    </row>
    <row r="92945" spans="12:13" x14ac:dyDescent="0.25">
      <c r="L92945" s="472"/>
      <c r="M92945" s="472"/>
    </row>
    <row r="92946" spans="12:13" x14ac:dyDescent="0.25">
      <c r="L92946" s="472"/>
      <c r="M92946" s="472"/>
    </row>
    <row r="92947" spans="12:13" x14ac:dyDescent="0.25">
      <c r="L92947" s="472"/>
      <c r="M92947" s="472"/>
    </row>
    <row r="93019" spans="12:13" x14ac:dyDescent="0.25">
      <c r="L93019" s="472"/>
      <c r="M93019" s="472"/>
    </row>
    <row r="93020" spans="12:13" x14ac:dyDescent="0.25">
      <c r="L93020" s="472"/>
      <c r="M93020" s="472"/>
    </row>
    <row r="93021" spans="12:13" x14ac:dyDescent="0.25">
      <c r="L93021" s="472"/>
      <c r="M93021" s="472"/>
    </row>
    <row r="93093" spans="12:13" x14ac:dyDescent="0.25">
      <c r="L93093" s="472"/>
      <c r="M93093" s="472"/>
    </row>
    <row r="93094" spans="12:13" x14ac:dyDescent="0.25">
      <c r="L93094" s="472"/>
      <c r="M93094" s="472"/>
    </row>
    <row r="93095" spans="12:13" x14ac:dyDescent="0.25">
      <c r="L93095" s="472"/>
      <c r="M93095" s="472"/>
    </row>
    <row r="93167" spans="12:13" x14ac:dyDescent="0.25">
      <c r="L93167" s="472"/>
      <c r="M93167" s="472"/>
    </row>
    <row r="93168" spans="12:13" x14ac:dyDescent="0.25">
      <c r="L93168" s="472"/>
      <c r="M93168" s="472"/>
    </row>
    <row r="93169" spans="12:13" x14ac:dyDescent="0.25">
      <c r="L93169" s="472"/>
      <c r="M93169" s="472"/>
    </row>
    <row r="93241" spans="12:13" x14ac:dyDescent="0.25">
      <c r="L93241" s="472"/>
      <c r="M93241" s="472"/>
    </row>
    <row r="93242" spans="12:13" x14ac:dyDescent="0.25">
      <c r="L93242" s="472"/>
      <c r="M93242" s="472"/>
    </row>
    <row r="93243" spans="12:13" x14ac:dyDescent="0.25">
      <c r="L93243" s="472"/>
      <c r="M93243" s="472"/>
    </row>
    <row r="93315" spans="12:13" x14ac:dyDescent="0.25">
      <c r="L93315" s="472"/>
      <c r="M93315" s="472"/>
    </row>
    <row r="93316" spans="12:13" x14ac:dyDescent="0.25">
      <c r="L93316" s="472"/>
      <c r="M93316" s="472"/>
    </row>
    <row r="93317" spans="12:13" x14ac:dyDescent="0.25">
      <c r="L93317" s="472"/>
      <c r="M93317" s="472"/>
    </row>
    <row r="93389" spans="12:13" x14ac:dyDescent="0.25">
      <c r="L93389" s="472"/>
      <c r="M93389" s="472"/>
    </row>
    <row r="93390" spans="12:13" x14ac:dyDescent="0.25">
      <c r="L93390" s="472"/>
      <c r="M93390" s="472"/>
    </row>
    <row r="93391" spans="12:13" x14ac:dyDescent="0.25">
      <c r="L93391" s="472"/>
      <c r="M93391" s="472"/>
    </row>
    <row r="93463" spans="12:13" x14ac:dyDescent="0.25">
      <c r="L93463" s="472"/>
      <c r="M93463" s="472"/>
    </row>
    <row r="93464" spans="12:13" x14ac:dyDescent="0.25">
      <c r="L93464" s="472"/>
      <c r="M93464" s="472"/>
    </row>
    <row r="93465" spans="12:13" x14ac:dyDescent="0.25">
      <c r="L93465" s="472"/>
      <c r="M93465" s="472"/>
    </row>
    <row r="93537" spans="12:13" x14ac:dyDescent="0.25">
      <c r="L93537" s="472"/>
      <c r="M93537" s="472"/>
    </row>
    <row r="93538" spans="12:13" x14ac:dyDescent="0.25">
      <c r="L93538" s="472"/>
      <c r="M93538" s="472"/>
    </row>
    <row r="93539" spans="12:13" x14ac:dyDescent="0.25">
      <c r="L93539" s="472"/>
      <c r="M93539" s="472"/>
    </row>
    <row r="93611" spans="12:13" x14ac:dyDescent="0.25">
      <c r="L93611" s="472"/>
      <c r="M93611" s="472"/>
    </row>
    <row r="93612" spans="12:13" x14ac:dyDescent="0.25">
      <c r="L93612" s="472"/>
      <c r="M93612" s="472"/>
    </row>
    <row r="93613" spans="12:13" x14ac:dyDescent="0.25">
      <c r="L93613" s="472"/>
      <c r="M93613" s="472"/>
    </row>
    <row r="93685" spans="12:13" x14ac:dyDescent="0.25">
      <c r="L93685" s="472"/>
      <c r="M93685" s="472"/>
    </row>
    <row r="93686" spans="12:13" x14ac:dyDescent="0.25">
      <c r="L93686" s="472"/>
      <c r="M93686" s="472"/>
    </row>
    <row r="93687" spans="12:13" x14ac:dyDescent="0.25">
      <c r="L93687" s="472"/>
      <c r="M93687" s="472"/>
    </row>
    <row r="93759" spans="12:13" x14ac:dyDescent="0.25">
      <c r="L93759" s="472"/>
      <c r="M93759" s="472"/>
    </row>
    <row r="93760" spans="12:13" x14ac:dyDescent="0.25">
      <c r="L93760" s="472"/>
      <c r="M93760" s="472"/>
    </row>
    <row r="93761" spans="12:13" x14ac:dyDescent="0.25">
      <c r="L93761" s="472"/>
      <c r="M93761" s="472"/>
    </row>
    <row r="93833" spans="12:13" x14ac:dyDescent="0.25">
      <c r="L93833" s="472"/>
      <c r="M93833" s="472"/>
    </row>
    <row r="93834" spans="12:13" x14ac:dyDescent="0.25">
      <c r="L93834" s="472"/>
      <c r="M93834" s="472"/>
    </row>
    <row r="93835" spans="12:13" x14ac:dyDescent="0.25">
      <c r="L93835" s="472"/>
      <c r="M93835" s="472"/>
    </row>
    <row r="93907" spans="12:13" x14ac:dyDescent="0.25">
      <c r="L93907" s="472"/>
      <c r="M93907" s="472"/>
    </row>
    <row r="93908" spans="12:13" x14ac:dyDescent="0.25">
      <c r="L93908" s="472"/>
      <c r="M93908" s="472"/>
    </row>
    <row r="93909" spans="12:13" x14ac:dyDescent="0.25">
      <c r="L93909" s="472"/>
      <c r="M93909" s="472"/>
    </row>
    <row r="93981" spans="12:13" x14ac:dyDescent="0.25">
      <c r="L93981" s="472"/>
      <c r="M93981" s="472"/>
    </row>
    <row r="93982" spans="12:13" x14ac:dyDescent="0.25">
      <c r="L93982" s="472"/>
      <c r="M93982" s="472"/>
    </row>
    <row r="93983" spans="12:13" x14ac:dyDescent="0.25">
      <c r="L93983" s="472"/>
      <c r="M93983" s="472"/>
    </row>
    <row r="94055" spans="12:13" x14ac:dyDescent="0.25">
      <c r="L94055" s="472"/>
      <c r="M94055" s="472"/>
    </row>
    <row r="94056" spans="12:13" x14ac:dyDescent="0.25">
      <c r="L94056" s="472"/>
      <c r="M94056" s="472"/>
    </row>
    <row r="94057" spans="12:13" x14ac:dyDescent="0.25">
      <c r="L94057" s="472"/>
      <c r="M94057" s="472"/>
    </row>
    <row r="94129" spans="12:13" x14ac:dyDescent="0.25">
      <c r="L94129" s="472"/>
      <c r="M94129" s="472"/>
    </row>
    <row r="94130" spans="12:13" x14ac:dyDescent="0.25">
      <c r="L94130" s="472"/>
      <c r="M94130" s="472"/>
    </row>
    <row r="94131" spans="12:13" x14ac:dyDescent="0.25">
      <c r="L94131" s="472"/>
      <c r="M94131" s="472"/>
    </row>
    <row r="94203" spans="12:13" x14ac:dyDescent="0.25">
      <c r="L94203" s="472"/>
      <c r="M94203" s="472"/>
    </row>
    <row r="94204" spans="12:13" x14ac:dyDescent="0.25">
      <c r="L94204" s="472"/>
      <c r="M94204" s="472"/>
    </row>
    <row r="94205" spans="12:13" x14ac:dyDescent="0.25">
      <c r="L94205" s="472"/>
      <c r="M94205" s="472"/>
    </row>
    <row r="94277" spans="12:13" x14ac:dyDescent="0.25">
      <c r="L94277" s="472"/>
      <c r="M94277" s="472"/>
    </row>
    <row r="94278" spans="12:13" x14ac:dyDescent="0.25">
      <c r="L94278" s="472"/>
      <c r="M94278" s="472"/>
    </row>
    <row r="94279" spans="12:13" x14ac:dyDescent="0.25">
      <c r="L94279" s="472"/>
      <c r="M94279" s="472"/>
    </row>
    <row r="94351" spans="12:13" x14ac:dyDescent="0.25">
      <c r="L94351" s="472"/>
      <c r="M94351" s="472"/>
    </row>
    <row r="94352" spans="12:13" x14ac:dyDescent="0.25">
      <c r="L94352" s="472"/>
      <c r="M94352" s="472"/>
    </row>
    <row r="94353" spans="12:13" x14ac:dyDescent="0.25">
      <c r="L94353" s="472"/>
      <c r="M94353" s="472"/>
    </row>
    <row r="94425" spans="12:13" x14ac:dyDescent="0.25">
      <c r="L94425" s="472"/>
      <c r="M94425" s="472"/>
    </row>
    <row r="94426" spans="12:13" x14ac:dyDescent="0.25">
      <c r="L94426" s="472"/>
      <c r="M94426" s="472"/>
    </row>
    <row r="94427" spans="12:13" x14ac:dyDescent="0.25">
      <c r="L94427" s="472"/>
      <c r="M94427" s="472"/>
    </row>
    <row r="94499" spans="12:13" x14ac:dyDescent="0.25">
      <c r="L94499" s="472"/>
      <c r="M94499" s="472"/>
    </row>
    <row r="94500" spans="12:13" x14ac:dyDescent="0.25">
      <c r="L94500" s="472"/>
      <c r="M94500" s="472"/>
    </row>
    <row r="94501" spans="12:13" x14ac:dyDescent="0.25">
      <c r="L94501" s="472"/>
      <c r="M94501" s="472"/>
    </row>
    <row r="94573" spans="12:13" x14ac:dyDescent="0.25">
      <c r="L94573" s="472"/>
      <c r="M94573" s="472"/>
    </row>
    <row r="94574" spans="12:13" x14ac:dyDescent="0.25">
      <c r="L94574" s="472"/>
      <c r="M94574" s="472"/>
    </row>
    <row r="94575" spans="12:13" x14ac:dyDescent="0.25">
      <c r="L94575" s="472"/>
      <c r="M94575" s="472"/>
    </row>
    <row r="94647" spans="12:13" x14ac:dyDescent="0.25">
      <c r="L94647" s="472"/>
      <c r="M94647" s="472"/>
    </row>
    <row r="94648" spans="12:13" x14ac:dyDescent="0.25">
      <c r="L94648" s="472"/>
      <c r="M94648" s="472"/>
    </row>
    <row r="94649" spans="12:13" x14ac:dyDescent="0.25">
      <c r="L94649" s="472"/>
      <c r="M94649" s="472"/>
    </row>
    <row r="94721" spans="12:13" x14ac:dyDescent="0.25">
      <c r="L94721" s="472"/>
      <c r="M94721" s="472"/>
    </row>
    <row r="94722" spans="12:13" x14ac:dyDescent="0.25">
      <c r="L94722" s="472"/>
      <c r="M94722" s="472"/>
    </row>
    <row r="94723" spans="12:13" x14ac:dyDescent="0.25">
      <c r="L94723" s="472"/>
      <c r="M94723" s="472"/>
    </row>
    <row r="94795" spans="12:13" x14ac:dyDescent="0.25">
      <c r="L94795" s="472"/>
      <c r="M94795" s="472"/>
    </row>
    <row r="94796" spans="12:13" x14ac:dyDescent="0.25">
      <c r="L94796" s="472"/>
      <c r="M94796" s="472"/>
    </row>
    <row r="94797" spans="12:13" x14ac:dyDescent="0.25">
      <c r="L94797" s="472"/>
      <c r="M94797" s="472"/>
    </row>
    <row r="94869" spans="12:13" x14ac:dyDescent="0.25">
      <c r="L94869" s="472"/>
      <c r="M94869" s="472"/>
    </row>
    <row r="94870" spans="12:13" x14ac:dyDescent="0.25">
      <c r="L94870" s="472"/>
      <c r="M94870" s="472"/>
    </row>
    <row r="94871" spans="12:13" x14ac:dyDescent="0.25">
      <c r="L94871" s="472"/>
      <c r="M94871" s="472"/>
    </row>
    <row r="94943" spans="12:13" x14ac:dyDescent="0.25">
      <c r="L94943" s="472"/>
      <c r="M94943" s="472"/>
    </row>
    <row r="94944" spans="12:13" x14ac:dyDescent="0.25">
      <c r="L94944" s="472"/>
      <c r="M94944" s="472"/>
    </row>
    <row r="94945" spans="12:13" x14ac:dyDescent="0.25">
      <c r="L94945" s="472"/>
      <c r="M94945" s="472"/>
    </row>
    <row r="95017" spans="12:13" x14ac:dyDescent="0.25">
      <c r="L95017" s="472"/>
      <c r="M95017" s="472"/>
    </row>
    <row r="95018" spans="12:13" x14ac:dyDescent="0.25">
      <c r="L95018" s="472"/>
      <c r="M95018" s="472"/>
    </row>
    <row r="95019" spans="12:13" x14ac:dyDescent="0.25">
      <c r="L95019" s="472"/>
      <c r="M95019" s="472"/>
    </row>
    <row r="95091" spans="12:13" x14ac:dyDescent="0.25">
      <c r="L95091" s="472"/>
      <c r="M95091" s="472"/>
    </row>
    <row r="95092" spans="12:13" x14ac:dyDescent="0.25">
      <c r="L95092" s="472"/>
      <c r="M95092" s="472"/>
    </row>
    <row r="95093" spans="12:13" x14ac:dyDescent="0.25">
      <c r="L95093" s="472"/>
      <c r="M95093" s="472"/>
    </row>
    <row r="95165" spans="12:13" x14ac:dyDescent="0.25">
      <c r="L95165" s="472"/>
      <c r="M95165" s="472"/>
    </row>
    <row r="95166" spans="12:13" x14ac:dyDescent="0.25">
      <c r="L95166" s="472"/>
      <c r="M95166" s="472"/>
    </row>
    <row r="95167" spans="12:13" x14ac:dyDescent="0.25">
      <c r="L95167" s="472"/>
      <c r="M95167" s="472"/>
    </row>
    <row r="95239" spans="12:13" x14ac:dyDescent="0.25">
      <c r="L95239" s="472"/>
      <c r="M95239" s="472"/>
    </row>
    <row r="95240" spans="12:13" x14ac:dyDescent="0.25">
      <c r="L95240" s="472"/>
      <c r="M95240" s="472"/>
    </row>
    <row r="95241" spans="12:13" x14ac:dyDescent="0.25">
      <c r="L95241" s="472"/>
      <c r="M95241" s="472"/>
    </row>
    <row r="95313" spans="12:13" x14ac:dyDescent="0.25">
      <c r="L95313" s="472"/>
      <c r="M95313" s="472"/>
    </row>
    <row r="95314" spans="12:13" x14ac:dyDescent="0.25">
      <c r="L95314" s="472"/>
      <c r="M95314" s="472"/>
    </row>
    <row r="95315" spans="12:13" x14ac:dyDescent="0.25">
      <c r="L95315" s="472"/>
      <c r="M95315" s="472"/>
    </row>
    <row r="95387" spans="12:13" x14ac:dyDescent="0.25">
      <c r="L95387" s="472"/>
      <c r="M95387" s="472"/>
    </row>
    <row r="95388" spans="12:13" x14ac:dyDescent="0.25">
      <c r="L95388" s="472"/>
      <c r="M95388" s="472"/>
    </row>
    <row r="95389" spans="12:13" x14ac:dyDescent="0.25">
      <c r="L95389" s="472"/>
      <c r="M95389" s="472"/>
    </row>
    <row r="95461" spans="12:13" x14ac:dyDescent="0.25">
      <c r="L95461" s="472"/>
      <c r="M95461" s="472"/>
    </row>
    <row r="95462" spans="12:13" x14ac:dyDescent="0.25">
      <c r="L95462" s="472"/>
      <c r="M95462" s="472"/>
    </row>
    <row r="95463" spans="12:13" x14ac:dyDescent="0.25">
      <c r="L95463" s="472"/>
      <c r="M95463" s="472"/>
    </row>
    <row r="95535" spans="12:13" x14ac:dyDescent="0.25">
      <c r="L95535" s="472"/>
      <c r="M95535" s="472"/>
    </row>
    <row r="95536" spans="12:13" x14ac:dyDescent="0.25">
      <c r="L95536" s="472"/>
      <c r="M95536" s="472"/>
    </row>
    <row r="95537" spans="12:13" x14ac:dyDescent="0.25">
      <c r="L95537" s="472"/>
      <c r="M95537" s="472"/>
    </row>
    <row r="95609" spans="12:13" x14ac:dyDescent="0.25">
      <c r="L95609" s="472"/>
      <c r="M95609" s="472"/>
    </row>
    <row r="95610" spans="12:13" x14ac:dyDescent="0.25">
      <c r="L95610" s="472"/>
      <c r="M95610" s="472"/>
    </row>
    <row r="95611" spans="12:13" x14ac:dyDescent="0.25">
      <c r="L95611" s="472"/>
      <c r="M95611" s="472"/>
    </row>
    <row r="95683" spans="12:13" x14ac:dyDescent="0.25">
      <c r="L95683" s="472"/>
      <c r="M95683" s="472"/>
    </row>
    <row r="95684" spans="12:13" x14ac:dyDescent="0.25">
      <c r="L95684" s="472"/>
      <c r="M95684" s="472"/>
    </row>
    <row r="95685" spans="12:13" x14ac:dyDescent="0.25">
      <c r="L95685" s="472"/>
      <c r="M95685" s="472"/>
    </row>
    <row r="95757" spans="12:13" x14ac:dyDescent="0.25">
      <c r="L95757" s="472"/>
      <c r="M95757" s="472"/>
    </row>
    <row r="95758" spans="12:13" x14ac:dyDescent="0.25">
      <c r="L95758" s="472"/>
      <c r="M95758" s="472"/>
    </row>
    <row r="95759" spans="12:13" x14ac:dyDescent="0.25">
      <c r="L95759" s="472"/>
      <c r="M95759" s="472"/>
    </row>
    <row r="95831" spans="12:13" x14ac:dyDescent="0.25">
      <c r="L95831" s="472"/>
      <c r="M95831" s="472"/>
    </row>
    <row r="95832" spans="12:13" x14ac:dyDescent="0.25">
      <c r="L95832" s="472"/>
      <c r="M95832" s="472"/>
    </row>
    <row r="95833" spans="12:13" x14ac:dyDescent="0.25">
      <c r="L95833" s="472"/>
      <c r="M95833" s="472"/>
    </row>
    <row r="95905" spans="12:13" x14ac:dyDescent="0.25">
      <c r="L95905" s="472"/>
      <c r="M95905" s="472"/>
    </row>
    <row r="95906" spans="12:13" x14ac:dyDescent="0.25">
      <c r="L95906" s="472"/>
      <c r="M95906" s="472"/>
    </row>
    <row r="95907" spans="12:13" x14ac:dyDescent="0.25">
      <c r="L95907" s="472"/>
      <c r="M95907" s="472"/>
    </row>
    <row r="95979" spans="12:13" x14ac:dyDescent="0.25">
      <c r="L95979" s="472"/>
      <c r="M95979" s="472"/>
    </row>
    <row r="95980" spans="12:13" x14ac:dyDescent="0.25">
      <c r="L95980" s="472"/>
      <c r="M95980" s="472"/>
    </row>
    <row r="95981" spans="12:13" x14ac:dyDescent="0.25">
      <c r="L95981" s="472"/>
      <c r="M95981" s="472"/>
    </row>
    <row r="96053" spans="12:13" x14ac:dyDescent="0.25">
      <c r="L96053" s="472"/>
      <c r="M96053" s="472"/>
    </row>
    <row r="96054" spans="12:13" x14ac:dyDescent="0.25">
      <c r="L96054" s="472"/>
      <c r="M96054" s="472"/>
    </row>
    <row r="96055" spans="12:13" x14ac:dyDescent="0.25">
      <c r="L96055" s="472"/>
      <c r="M96055" s="472"/>
    </row>
    <row r="96127" spans="12:13" x14ac:dyDescent="0.25">
      <c r="L96127" s="472"/>
      <c r="M96127" s="472"/>
    </row>
    <row r="96128" spans="12:13" x14ac:dyDescent="0.25">
      <c r="L96128" s="472"/>
      <c r="M96128" s="472"/>
    </row>
    <row r="96129" spans="12:13" x14ac:dyDescent="0.25">
      <c r="L96129" s="472"/>
      <c r="M96129" s="472"/>
    </row>
    <row r="96201" spans="12:13" x14ac:dyDescent="0.25">
      <c r="L96201" s="472"/>
      <c r="M96201" s="472"/>
    </row>
    <row r="96202" spans="12:13" x14ac:dyDescent="0.25">
      <c r="L96202" s="472"/>
      <c r="M96202" s="472"/>
    </row>
    <row r="96203" spans="12:13" x14ac:dyDescent="0.25">
      <c r="L96203" s="472"/>
      <c r="M96203" s="472"/>
    </row>
    <row r="96275" spans="12:13" x14ac:dyDescent="0.25">
      <c r="L96275" s="472"/>
      <c r="M96275" s="472"/>
    </row>
    <row r="96276" spans="12:13" x14ac:dyDescent="0.25">
      <c r="L96276" s="472"/>
      <c r="M96276" s="472"/>
    </row>
    <row r="96277" spans="12:13" x14ac:dyDescent="0.25">
      <c r="L96277" s="472"/>
      <c r="M96277" s="472"/>
    </row>
    <row r="96349" spans="12:13" x14ac:dyDescent="0.25">
      <c r="L96349" s="472"/>
      <c r="M96349" s="472"/>
    </row>
    <row r="96350" spans="12:13" x14ac:dyDescent="0.25">
      <c r="L96350" s="472"/>
      <c r="M96350" s="472"/>
    </row>
    <row r="96351" spans="12:13" x14ac:dyDescent="0.25">
      <c r="L96351" s="472"/>
      <c r="M96351" s="472"/>
    </row>
    <row r="96423" spans="12:13" x14ac:dyDescent="0.25">
      <c r="L96423" s="472"/>
      <c r="M96423" s="472"/>
    </row>
    <row r="96424" spans="12:13" x14ac:dyDescent="0.25">
      <c r="L96424" s="472"/>
      <c r="M96424" s="472"/>
    </row>
    <row r="96425" spans="12:13" x14ac:dyDescent="0.25">
      <c r="L96425" s="472"/>
      <c r="M96425" s="472"/>
    </row>
    <row r="96497" spans="12:13" x14ac:dyDescent="0.25">
      <c r="L96497" s="472"/>
      <c r="M96497" s="472"/>
    </row>
    <row r="96498" spans="12:13" x14ac:dyDescent="0.25">
      <c r="L96498" s="472"/>
      <c r="M96498" s="472"/>
    </row>
    <row r="96499" spans="12:13" x14ac:dyDescent="0.25">
      <c r="L96499" s="472"/>
      <c r="M96499" s="472"/>
    </row>
    <row r="96571" spans="12:13" x14ac:dyDescent="0.25">
      <c r="L96571" s="472"/>
      <c r="M96571" s="472"/>
    </row>
    <row r="96572" spans="12:13" x14ac:dyDescent="0.25">
      <c r="L96572" s="472"/>
      <c r="M96572" s="472"/>
    </row>
    <row r="96573" spans="12:13" x14ac:dyDescent="0.25">
      <c r="L96573" s="472"/>
      <c r="M96573" s="472"/>
    </row>
    <row r="96645" spans="12:13" x14ac:dyDescent="0.25">
      <c r="L96645" s="472"/>
      <c r="M96645" s="472"/>
    </row>
    <row r="96646" spans="12:13" x14ac:dyDescent="0.25">
      <c r="L96646" s="472"/>
      <c r="M96646" s="472"/>
    </row>
    <row r="96647" spans="12:13" x14ac:dyDescent="0.25">
      <c r="L96647" s="472"/>
      <c r="M96647" s="472"/>
    </row>
    <row r="96719" spans="12:13" x14ac:dyDescent="0.25">
      <c r="L96719" s="472"/>
      <c r="M96719" s="472"/>
    </row>
    <row r="96720" spans="12:13" x14ac:dyDescent="0.25">
      <c r="L96720" s="472"/>
      <c r="M96720" s="472"/>
    </row>
    <row r="96721" spans="12:13" x14ac:dyDescent="0.25">
      <c r="L96721" s="472"/>
      <c r="M96721" s="472"/>
    </row>
    <row r="96793" spans="12:13" x14ac:dyDescent="0.25">
      <c r="L96793" s="472"/>
      <c r="M96793" s="472"/>
    </row>
    <row r="96794" spans="12:13" x14ac:dyDescent="0.25">
      <c r="L96794" s="472"/>
      <c r="M96794" s="472"/>
    </row>
    <row r="96795" spans="12:13" x14ac:dyDescent="0.25">
      <c r="L96795" s="472"/>
      <c r="M96795" s="472"/>
    </row>
    <row r="96867" spans="12:13" x14ac:dyDescent="0.25">
      <c r="L96867" s="472"/>
      <c r="M96867" s="472"/>
    </row>
    <row r="96868" spans="12:13" x14ac:dyDescent="0.25">
      <c r="L96868" s="472"/>
      <c r="M96868" s="472"/>
    </row>
    <row r="96869" spans="12:13" x14ac:dyDescent="0.25">
      <c r="L96869" s="472"/>
      <c r="M96869" s="472"/>
    </row>
    <row r="96941" spans="12:13" x14ac:dyDescent="0.25">
      <c r="L96941" s="472"/>
      <c r="M96941" s="472"/>
    </row>
    <row r="96942" spans="12:13" x14ac:dyDescent="0.25">
      <c r="L96942" s="472"/>
      <c r="M96942" s="472"/>
    </row>
    <row r="96943" spans="12:13" x14ac:dyDescent="0.25">
      <c r="L96943" s="472"/>
      <c r="M96943" s="472"/>
    </row>
    <row r="97015" spans="12:13" x14ac:dyDescent="0.25">
      <c r="L97015" s="472"/>
      <c r="M97015" s="472"/>
    </row>
    <row r="97016" spans="12:13" x14ac:dyDescent="0.25">
      <c r="L97016" s="472"/>
      <c r="M97016" s="472"/>
    </row>
    <row r="97017" spans="12:13" x14ac:dyDescent="0.25">
      <c r="L97017" s="472"/>
      <c r="M97017" s="472"/>
    </row>
    <row r="97089" spans="12:13" x14ac:dyDescent="0.25">
      <c r="L97089" s="472"/>
      <c r="M97089" s="472"/>
    </row>
    <row r="97090" spans="12:13" x14ac:dyDescent="0.25">
      <c r="L97090" s="472"/>
      <c r="M97090" s="472"/>
    </row>
    <row r="97091" spans="12:13" x14ac:dyDescent="0.25">
      <c r="L97091" s="472"/>
      <c r="M97091" s="472"/>
    </row>
    <row r="97163" spans="12:13" x14ac:dyDescent="0.25">
      <c r="L97163" s="472"/>
      <c r="M97163" s="472"/>
    </row>
    <row r="97164" spans="12:13" x14ac:dyDescent="0.25">
      <c r="L97164" s="472"/>
      <c r="M97164" s="472"/>
    </row>
    <row r="97165" spans="12:13" x14ac:dyDescent="0.25">
      <c r="L97165" s="472"/>
      <c r="M97165" s="472"/>
    </row>
    <row r="97237" spans="12:13" x14ac:dyDescent="0.25">
      <c r="L97237" s="472"/>
      <c r="M97237" s="472"/>
    </row>
    <row r="97238" spans="12:13" x14ac:dyDescent="0.25">
      <c r="L97238" s="472"/>
      <c r="M97238" s="472"/>
    </row>
    <row r="97239" spans="12:13" x14ac:dyDescent="0.25">
      <c r="L97239" s="472"/>
      <c r="M97239" s="472"/>
    </row>
    <row r="97311" spans="12:13" x14ac:dyDescent="0.25">
      <c r="L97311" s="472"/>
      <c r="M97311" s="472"/>
    </row>
    <row r="97312" spans="12:13" x14ac:dyDescent="0.25">
      <c r="L97312" s="472"/>
      <c r="M97312" s="472"/>
    </row>
    <row r="97313" spans="12:13" x14ac:dyDescent="0.25">
      <c r="L97313" s="472"/>
      <c r="M97313" s="472"/>
    </row>
    <row r="97385" spans="12:13" x14ac:dyDescent="0.25">
      <c r="L97385" s="472"/>
      <c r="M97385" s="472"/>
    </row>
    <row r="97386" spans="12:13" x14ac:dyDescent="0.25">
      <c r="L97386" s="472"/>
      <c r="M97386" s="472"/>
    </row>
    <row r="97387" spans="12:13" x14ac:dyDescent="0.25">
      <c r="L97387" s="472"/>
      <c r="M97387" s="472"/>
    </row>
    <row r="97459" spans="12:13" x14ac:dyDescent="0.25">
      <c r="L97459" s="472"/>
      <c r="M97459" s="472"/>
    </row>
    <row r="97460" spans="12:13" x14ac:dyDescent="0.25">
      <c r="L97460" s="472"/>
      <c r="M97460" s="472"/>
    </row>
    <row r="97461" spans="12:13" x14ac:dyDescent="0.25">
      <c r="L97461" s="472"/>
      <c r="M97461" s="472"/>
    </row>
    <row r="97533" spans="12:13" x14ac:dyDescent="0.25">
      <c r="L97533" s="472"/>
      <c r="M97533" s="472"/>
    </row>
    <row r="97534" spans="12:13" x14ac:dyDescent="0.25">
      <c r="L97534" s="472"/>
      <c r="M97534" s="472"/>
    </row>
    <row r="97535" spans="12:13" x14ac:dyDescent="0.25">
      <c r="L97535" s="472"/>
      <c r="M97535" s="472"/>
    </row>
    <row r="97607" spans="12:13" x14ac:dyDescent="0.25">
      <c r="L97607" s="472"/>
      <c r="M97607" s="472"/>
    </row>
    <row r="97608" spans="12:13" x14ac:dyDescent="0.25">
      <c r="L97608" s="472"/>
      <c r="M97608" s="472"/>
    </row>
    <row r="97609" spans="12:13" x14ac:dyDescent="0.25">
      <c r="L97609" s="472"/>
      <c r="M97609" s="472"/>
    </row>
    <row r="97681" spans="12:13" x14ac:dyDescent="0.25">
      <c r="L97681" s="472"/>
      <c r="M97681" s="472"/>
    </row>
    <row r="97682" spans="12:13" x14ac:dyDescent="0.25">
      <c r="L97682" s="472"/>
      <c r="M97682" s="472"/>
    </row>
    <row r="97683" spans="12:13" x14ac:dyDescent="0.25">
      <c r="L97683" s="472"/>
      <c r="M97683" s="472"/>
    </row>
    <row r="97755" spans="12:13" x14ac:dyDescent="0.25">
      <c r="L97755" s="472"/>
      <c r="M97755" s="472"/>
    </row>
    <row r="97756" spans="12:13" x14ac:dyDescent="0.25">
      <c r="L97756" s="472"/>
      <c r="M97756" s="472"/>
    </row>
    <row r="97757" spans="12:13" x14ac:dyDescent="0.25">
      <c r="L97757" s="472"/>
      <c r="M97757" s="472"/>
    </row>
    <row r="97829" spans="12:13" x14ac:dyDescent="0.25">
      <c r="L97829" s="472"/>
      <c r="M97829" s="472"/>
    </row>
    <row r="97830" spans="12:13" x14ac:dyDescent="0.25">
      <c r="L97830" s="472"/>
      <c r="M97830" s="472"/>
    </row>
    <row r="97831" spans="12:13" x14ac:dyDescent="0.25">
      <c r="L97831" s="472"/>
      <c r="M97831" s="472"/>
    </row>
    <row r="97903" spans="12:13" x14ac:dyDescent="0.25">
      <c r="L97903" s="472"/>
      <c r="M97903" s="472"/>
    </row>
    <row r="97904" spans="12:13" x14ac:dyDescent="0.25">
      <c r="L97904" s="472"/>
      <c r="M97904" s="472"/>
    </row>
    <row r="97905" spans="12:13" x14ac:dyDescent="0.25">
      <c r="L97905" s="472"/>
      <c r="M97905" s="472"/>
    </row>
    <row r="97977" spans="12:13" x14ac:dyDescent="0.25">
      <c r="L97977" s="472"/>
      <c r="M97977" s="472"/>
    </row>
    <row r="97978" spans="12:13" x14ac:dyDescent="0.25">
      <c r="L97978" s="472"/>
      <c r="M97978" s="472"/>
    </row>
    <row r="97979" spans="12:13" x14ac:dyDescent="0.25">
      <c r="L97979" s="472"/>
      <c r="M97979" s="472"/>
    </row>
    <row r="98051" spans="12:13" x14ac:dyDescent="0.25">
      <c r="L98051" s="472"/>
      <c r="M98051" s="472"/>
    </row>
    <row r="98052" spans="12:13" x14ac:dyDescent="0.25">
      <c r="L98052" s="472"/>
      <c r="M98052" s="472"/>
    </row>
    <row r="98053" spans="12:13" x14ac:dyDescent="0.25">
      <c r="L98053" s="472"/>
      <c r="M98053" s="472"/>
    </row>
    <row r="98125" spans="12:13" x14ac:dyDescent="0.25">
      <c r="L98125" s="472"/>
      <c r="M98125" s="472"/>
    </row>
    <row r="98126" spans="12:13" x14ac:dyDescent="0.25">
      <c r="L98126" s="472"/>
      <c r="M98126" s="472"/>
    </row>
    <row r="98127" spans="12:13" x14ac:dyDescent="0.25">
      <c r="L98127" s="472"/>
      <c r="M98127" s="472"/>
    </row>
    <row r="98199" spans="12:13" x14ac:dyDescent="0.25">
      <c r="L98199" s="472"/>
      <c r="M98199" s="472"/>
    </row>
    <row r="98200" spans="12:13" x14ac:dyDescent="0.25">
      <c r="L98200" s="472"/>
      <c r="M98200" s="472"/>
    </row>
    <row r="98201" spans="12:13" x14ac:dyDescent="0.25">
      <c r="L98201" s="472"/>
      <c r="M98201" s="472"/>
    </row>
    <row r="98273" spans="12:13" x14ac:dyDescent="0.25">
      <c r="L98273" s="472"/>
      <c r="M98273" s="472"/>
    </row>
    <row r="98274" spans="12:13" x14ac:dyDescent="0.25">
      <c r="L98274" s="472"/>
      <c r="M98274" s="472"/>
    </row>
    <row r="98275" spans="12:13" x14ac:dyDescent="0.25">
      <c r="L98275" s="472"/>
      <c r="M98275" s="472"/>
    </row>
    <row r="98347" spans="12:13" x14ac:dyDescent="0.25">
      <c r="L98347" s="472"/>
      <c r="M98347" s="472"/>
    </row>
    <row r="98348" spans="12:13" x14ac:dyDescent="0.25">
      <c r="L98348" s="472"/>
      <c r="M98348" s="472"/>
    </row>
    <row r="98349" spans="12:13" x14ac:dyDescent="0.25">
      <c r="L98349" s="472"/>
      <c r="M98349" s="472"/>
    </row>
    <row r="98421" spans="12:13" x14ac:dyDescent="0.25">
      <c r="L98421" s="472"/>
      <c r="M98421" s="472"/>
    </row>
    <row r="98422" spans="12:13" x14ac:dyDescent="0.25">
      <c r="L98422" s="472"/>
      <c r="M98422" s="472"/>
    </row>
    <row r="98423" spans="12:13" x14ac:dyDescent="0.25">
      <c r="L98423" s="472"/>
      <c r="M98423" s="472"/>
    </row>
    <row r="98495" spans="12:13" x14ac:dyDescent="0.25">
      <c r="L98495" s="472"/>
      <c r="M98495" s="472"/>
    </row>
    <row r="98496" spans="12:13" x14ac:dyDescent="0.25">
      <c r="L98496" s="472"/>
      <c r="M98496" s="472"/>
    </row>
    <row r="98497" spans="12:13" x14ac:dyDescent="0.25">
      <c r="L98497" s="472"/>
      <c r="M98497" s="472"/>
    </row>
    <row r="98569" spans="12:13" x14ac:dyDescent="0.25">
      <c r="L98569" s="472"/>
      <c r="M98569" s="472"/>
    </row>
    <row r="98570" spans="12:13" x14ac:dyDescent="0.25">
      <c r="L98570" s="472"/>
      <c r="M98570" s="472"/>
    </row>
    <row r="98571" spans="12:13" x14ac:dyDescent="0.25">
      <c r="L98571" s="472"/>
      <c r="M98571" s="472"/>
    </row>
    <row r="98643" spans="12:13" x14ac:dyDescent="0.25">
      <c r="L98643" s="472"/>
      <c r="M98643" s="472"/>
    </row>
    <row r="98644" spans="12:13" x14ac:dyDescent="0.25">
      <c r="L98644" s="472"/>
      <c r="M98644" s="472"/>
    </row>
    <row r="98645" spans="12:13" x14ac:dyDescent="0.25">
      <c r="L98645" s="472"/>
      <c r="M98645" s="472"/>
    </row>
    <row r="98717" spans="12:13" x14ac:dyDescent="0.25">
      <c r="L98717" s="472"/>
      <c r="M98717" s="472"/>
    </row>
    <row r="98718" spans="12:13" x14ac:dyDescent="0.25">
      <c r="L98718" s="472"/>
      <c r="M98718" s="472"/>
    </row>
    <row r="98719" spans="12:13" x14ac:dyDescent="0.25">
      <c r="L98719" s="472"/>
      <c r="M98719" s="472"/>
    </row>
    <row r="98791" spans="12:13" x14ac:dyDescent="0.25">
      <c r="L98791" s="472"/>
      <c r="M98791" s="472"/>
    </row>
    <row r="98792" spans="12:13" x14ac:dyDescent="0.25">
      <c r="L98792" s="472"/>
      <c r="M98792" s="472"/>
    </row>
    <row r="98793" spans="12:13" x14ac:dyDescent="0.25">
      <c r="L98793" s="472"/>
      <c r="M98793" s="472"/>
    </row>
    <row r="98865" spans="12:13" x14ac:dyDescent="0.25">
      <c r="L98865" s="472"/>
      <c r="M98865" s="472"/>
    </row>
    <row r="98866" spans="12:13" x14ac:dyDescent="0.25">
      <c r="L98866" s="472"/>
      <c r="M98866" s="472"/>
    </row>
    <row r="98867" spans="12:13" x14ac:dyDescent="0.25">
      <c r="L98867" s="472"/>
      <c r="M98867" s="472"/>
    </row>
    <row r="98939" spans="12:13" x14ac:dyDescent="0.25">
      <c r="L98939" s="472"/>
      <c r="M98939" s="472"/>
    </row>
    <row r="98940" spans="12:13" x14ac:dyDescent="0.25">
      <c r="L98940" s="472"/>
      <c r="M98940" s="472"/>
    </row>
    <row r="98941" spans="12:13" x14ac:dyDescent="0.25">
      <c r="L98941" s="472"/>
      <c r="M98941" s="472"/>
    </row>
    <row r="99013" spans="12:13" x14ac:dyDescent="0.25">
      <c r="L99013" s="472"/>
      <c r="M99013" s="472"/>
    </row>
    <row r="99014" spans="12:13" x14ac:dyDescent="0.25">
      <c r="L99014" s="472"/>
      <c r="M99014" s="472"/>
    </row>
    <row r="99015" spans="12:13" x14ac:dyDescent="0.25">
      <c r="L99015" s="472"/>
      <c r="M99015" s="472"/>
    </row>
    <row r="99087" spans="12:13" x14ac:dyDescent="0.25">
      <c r="L99087" s="472"/>
      <c r="M99087" s="472"/>
    </row>
    <row r="99088" spans="12:13" x14ac:dyDescent="0.25">
      <c r="L99088" s="472"/>
      <c r="M99088" s="472"/>
    </row>
    <row r="99089" spans="12:13" x14ac:dyDescent="0.25">
      <c r="L99089" s="472"/>
      <c r="M99089" s="472"/>
    </row>
    <row r="99161" spans="12:13" x14ac:dyDescent="0.25">
      <c r="L99161" s="472"/>
      <c r="M99161" s="472"/>
    </row>
    <row r="99162" spans="12:13" x14ac:dyDescent="0.25">
      <c r="L99162" s="472"/>
      <c r="M99162" s="472"/>
    </row>
    <row r="99163" spans="12:13" x14ac:dyDescent="0.25">
      <c r="L99163" s="472"/>
      <c r="M99163" s="472"/>
    </row>
    <row r="99235" spans="12:13" x14ac:dyDescent="0.25">
      <c r="L99235" s="472"/>
      <c r="M99235" s="472"/>
    </row>
    <row r="99236" spans="12:13" x14ac:dyDescent="0.25">
      <c r="L99236" s="472"/>
      <c r="M99236" s="472"/>
    </row>
    <row r="99237" spans="12:13" x14ac:dyDescent="0.25">
      <c r="L99237" s="472"/>
      <c r="M99237" s="472"/>
    </row>
    <row r="99309" spans="12:13" x14ac:dyDescent="0.25">
      <c r="L99309" s="472"/>
      <c r="M99309" s="472"/>
    </row>
    <row r="99310" spans="12:13" x14ac:dyDescent="0.25">
      <c r="L99310" s="472"/>
      <c r="M99310" s="472"/>
    </row>
    <row r="99311" spans="12:13" x14ac:dyDescent="0.25">
      <c r="L99311" s="472"/>
      <c r="M99311" s="472"/>
    </row>
    <row r="99383" spans="12:13" x14ac:dyDescent="0.25">
      <c r="L99383" s="472"/>
      <c r="M99383" s="472"/>
    </row>
    <row r="99384" spans="12:13" x14ac:dyDescent="0.25">
      <c r="L99384" s="472"/>
      <c r="M99384" s="472"/>
    </row>
    <row r="99385" spans="12:13" x14ac:dyDescent="0.25">
      <c r="L99385" s="472"/>
      <c r="M99385" s="472"/>
    </row>
    <row r="99457" spans="12:13" x14ac:dyDescent="0.25">
      <c r="L99457" s="472"/>
      <c r="M99457" s="472"/>
    </row>
    <row r="99458" spans="12:13" x14ac:dyDescent="0.25">
      <c r="L99458" s="472"/>
      <c r="M99458" s="472"/>
    </row>
    <row r="99459" spans="12:13" x14ac:dyDescent="0.25">
      <c r="L99459" s="472"/>
      <c r="M99459" s="472"/>
    </row>
    <row r="99531" spans="12:13" x14ac:dyDescent="0.25">
      <c r="L99531" s="472"/>
      <c r="M99531" s="472"/>
    </row>
    <row r="99532" spans="12:13" x14ac:dyDescent="0.25">
      <c r="L99532" s="472"/>
      <c r="M99532" s="472"/>
    </row>
    <row r="99533" spans="12:13" x14ac:dyDescent="0.25">
      <c r="L99533" s="472"/>
      <c r="M99533" s="472"/>
    </row>
    <row r="99605" spans="12:13" x14ac:dyDescent="0.25">
      <c r="L99605" s="472"/>
      <c r="M99605" s="472"/>
    </row>
    <row r="99606" spans="12:13" x14ac:dyDescent="0.25">
      <c r="L99606" s="472"/>
      <c r="M99606" s="472"/>
    </row>
    <row r="99607" spans="12:13" x14ac:dyDescent="0.25">
      <c r="L99607" s="472"/>
      <c r="M99607" s="472"/>
    </row>
    <row r="99679" spans="12:13" x14ac:dyDescent="0.25">
      <c r="L99679" s="472"/>
      <c r="M99679" s="472"/>
    </row>
    <row r="99680" spans="12:13" x14ac:dyDescent="0.25">
      <c r="L99680" s="472"/>
      <c r="M99680" s="472"/>
    </row>
    <row r="99681" spans="12:13" x14ac:dyDescent="0.25">
      <c r="L99681" s="472"/>
      <c r="M99681" s="472"/>
    </row>
    <row r="99753" spans="12:13" x14ac:dyDescent="0.25">
      <c r="L99753" s="472"/>
      <c r="M99753" s="472"/>
    </row>
    <row r="99754" spans="12:13" x14ac:dyDescent="0.25">
      <c r="L99754" s="472"/>
      <c r="M99754" s="472"/>
    </row>
    <row r="99755" spans="12:13" x14ac:dyDescent="0.25">
      <c r="L99755" s="472"/>
      <c r="M99755" s="472"/>
    </row>
    <row r="99827" spans="12:13" x14ac:dyDescent="0.25">
      <c r="L99827" s="472"/>
      <c r="M99827" s="472"/>
    </row>
    <row r="99828" spans="12:13" x14ac:dyDescent="0.25">
      <c r="L99828" s="472"/>
      <c r="M99828" s="472"/>
    </row>
    <row r="99829" spans="12:13" x14ac:dyDescent="0.25">
      <c r="L99829" s="472"/>
      <c r="M99829" s="472"/>
    </row>
    <row r="99901" spans="12:13" x14ac:dyDescent="0.25">
      <c r="L99901" s="472"/>
      <c r="M99901" s="472"/>
    </row>
    <row r="99902" spans="12:13" x14ac:dyDescent="0.25">
      <c r="L99902" s="472"/>
      <c r="M99902" s="472"/>
    </row>
    <row r="99903" spans="12:13" x14ac:dyDescent="0.25">
      <c r="L99903" s="472"/>
      <c r="M99903" s="472"/>
    </row>
    <row r="99975" spans="12:13" x14ac:dyDescent="0.25">
      <c r="L99975" s="472"/>
      <c r="M99975" s="472"/>
    </row>
    <row r="99976" spans="12:13" x14ac:dyDescent="0.25">
      <c r="L99976" s="472"/>
      <c r="M99976" s="472"/>
    </row>
    <row r="99977" spans="12:13" x14ac:dyDescent="0.25">
      <c r="L99977" s="472"/>
      <c r="M99977" s="472"/>
    </row>
    <row r="100049" spans="12:13" x14ac:dyDescent="0.25">
      <c r="L100049" s="472"/>
      <c r="M100049" s="472"/>
    </row>
    <row r="100050" spans="12:13" x14ac:dyDescent="0.25">
      <c r="L100050" s="472"/>
      <c r="M100050" s="472"/>
    </row>
    <row r="100051" spans="12:13" x14ac:dyDescent="0.25">
      <c r="L100051" s="472"/>
      <c r="M100051" s="472"/>
    </row>
    <row r="100123" spans="12:13" x14ac:dyDescent="0.25">
      <c r="L100123" s="472"/>
      <c r="M100123" s="472"/>
    </row>
    <row r="100124" spans="12:13" x14ac:dyDescent="0.25">
      <c r="L100124" s="472"/>
      <c r="M100124" s="472"/>
    </row>
    <row r="100125" spans="12:13" x14ac:dyDescent="0.25">
      <c r="L100125" s="472"/>
      <c r="M100125" s="472"/>
    </row>
    <row r="100197" spans="12:13" x14ac:dyDescent="0.25">
      <c r="L100197" s="472"/>
      <c r="M100197" s="472"/>
    </row>
    <row r="100198" spans="12:13" x14ac:dyDescent="0.25">
      <c r="L100198" s="472"/>
      <c r="M100198" s="472"/>
    </row>
    <row r="100199" spans="12:13" x14ac:dyDescent="0.25">
      <c r="L100199" s="472"/>
      <c r="M100199" s="472"/>
    </row>
    <row r="100271" spans="12:13" x14ac:dyDescent="0.25">
      <c r="L100271" s="472"/>
      <c r="M100271" s="472"/>
    </row>
    <row r="100272" spans="12:13" x14ac:dyDescent="0.25">
      <c r="L100272" s="472"/>
      <c r="M100272" s="472"/>
    </row>
    <row r="100273" spans="12:13" x14ac:dyDescent="0.25">
      <c r="L100273" s="472"/>
      <c r="M100273" s="472"/>
    </row>
    <row r="100345" spans="12:13" x14ac:dyDescent="0.25">
      <c r="L100345" s="472"/>
      <c r="M100345" s="472"/>
    </row>
    <row r="100346" spans="12:13" x14ac:dyDescent="0.25">
      <c r="L100346" s="472"/>
      <c r="M100346" s="472"/>
    </row>
    <row r="100347" spans="12:13" x14ac:dyDescent="0.25">
      <c r="L100347" s="472"/>
      <c r="M100347" s="472"/>
    </row>
    <row r="100419" spans="12:13" x14ac:dyDescent="0.25">
      <c r="L100419" s="472"/>
      <c r="M100419" s="472"/>
    </row>
    <row r="100420" spans="12:13" x14ac:dyDescent="0.25">
      <c r="L100420" s="472"/>
      <c r="M100420" s="472"/>
    </row>
    <row r="100421" spans="12:13" x14ac:dyDescent="0.25">
      <c r="L100421" s="472"/>
      <c r="M100421" s="472"/>
    </row>
    <row r="100493" spans="12:13" x14ac:dyDescent="0.25">
      <c r="L100493" s="472"/>
      <c r="M100493" s="472"/>
    </row>
    <row r="100494" spans="12:13" x14ac:dyDescent="0.25">
      <c r="L100494" s="472"/>
      <c r="M100494" s="472"/>
    </row>
    <row r="100495" spans="12:13" x14ac:dyDescent="0.25">
      <c r="L100495" s="472"/>
      <c r="M100495" s="472"/>
    </row>
    <row r="100567" spans="12:13" x14ac:dyDescent="0.25">
      <c r="L100567" s="472"/>
      <c r="M100567" s="472"/>
    </row>
    <row r="100568" spans="12:13" x14ac:dyDescent="0.25">
      <c r="L100568" s="472"/>
      <c r="M100568" s="472"/>
    </row>
    <row r="100569" spans="12:13" x14ac:dyDescent="0.25">
      <c r="L100569" s="472"/>
      <c r="M100569" s="472"/>
    </row>
    <row r="100641" spans="12:13" x14ac:dyDescent="0.25">
      <c r="L100641" s="472"/>
      <c r="M100641" s="472"/>
    </row>
    <row r="100642" spans="12:13" x14ac:dyDescent="0.25">
      <c r="L100642" s="472"/>
      <c r="M100642" s="472"/>
    </row>
    <row r="100643" spans="12:13" x14ac:dyDescent="0.25">
      <c r="L100643" s="472"/>
      <c r="M100643" s="472"/>
    </row>
    <row r="100715" spans="12:13" x14ac:dyDescent="0.25">
      <c r="L100715" s="472"/>
      <c r="M100715" s="472"/>
    </row>
    <row r="100716" spans="12:13" x14ac:dyDescent="0.25">
      <c r="L100716" s="472"/>
      <c r="M100716" s="472"/>
    </row>
    <row r="100717" spans="12:13" x14ac:dyDescent="0.25">
      <c r="L100717" s="472"/>
      <c r="M100717" s="472"/>
    </row>
    <row r="100789" spans="12:13" x14ac:dyDescent="0.25">
      <c r="L100789" s="472"/>
      <c r="M100789" s="472"/>
    </row>
    <row r="100790" spans="12:13" x14ac:dyDescent="0.25">
      <c r="L100790" s="472"/>
      <c r="M100790" s="472"/>
    </row>
    <row r="100791" spans="12:13" x14ac:dyDescent="0.25">
      <c r="L100791" s="472"/>
      <c r="M100791" s="472"/>
    </row>
    <row r="100863" spans="12:13" x14ac:dyDescent="0.25">
      <c r="L100863" s="472"/>
      <c r="M100863" s="472"/>
    </row>
    <row r="100864" spans="12:13" x14ac:dyDescent="0.25">
      <c r="L100864" s="472"/>
      <c r="M100864" s="472"/>
    </row>
    <row r="100865" spans="12:13" x14ac:dyDescent="0.25">
      <c r="L100865" s="472"/>
      <c r="M100865" s="472"/>
    </row>
    <row r="100937" spans="12:13" x14ac:dyDescent="0.25">
      <c r="L100937" s="472"/>
      <c r="M100937" s="472"/>
    </row>
    <row r="100938" spans="12:13" x14ac:dyDescent="0.25">
      <c r="L100938" s="472"/>
      <c r="M100938" s="472"/>
    </row>
    <row r="100939" spans="12:13" x14ac:dyDescent="0.25">
      <c r="L100939" s="472"/>
      <c r="M100939" s="472"/>
    </row>
    <row r="101011" spans="12:13" x14ac:dyDescent="0.25">
      <c r="L101011" s="472"/>
      <c r="M101011" s="472"/>
    </row>
    <row r="101012" spans="12:13" x14ac:dyDescent="0.25">
      <c r="L101012" s="472"/>
      <c r="M101012" s="472"/>
    </row>
    <row r="101013" spans="12:13" x14ac:dyDescent="0.25">
      <c r="L101013" s="472"/>
      <c r="M101013" s="472"/>
    </row>
    <row r="101085" spans="12:13" x14ac:dyDescent="0.25">
      <c r="L101085" s="472"/>
      <c r="M101085" s="472"/>
    </row>
    <row r="101086" spans="12:13" x14ac:dyDescent="0.25">
      <c r="L101086" s="472"/>
      <c r="M101086" s="472"/>
    </row>
    <row r="101087" spans="12:13" x14ac:dyDescent="0.25">
      <c r="L101087" s="472"/>
      <c r="M101087" s="472"/>
    </row>
    <row r="101159" spans="12:13" x14ac:dyDescent="0.25">
      <c r="L101159" s="472"/>
      <c r="M101159" s="472"/>
    </row>
    <row r="101160" spans="12:13" x14ac:dyDescent="0.25">
      <c r="L101160" s="472"/>
      <c r="M101160" s="472"/>
    </row>
    <row r="101161" spans="12:13" x14ac:dyDescent="0.25">
      <c r="L101161" s="472"/>
      <c r="M101161" s="472"/>
    </row>
    <row r="101233" spans="12:13" x14ac:dyDescent="0.25">
      <c r="L101233" s="472"/>
      <c r="M101233" s="472"/>
    </row>
    <row r="101234" spans="12:13" x14ac:dyDescent="0.25">
      <c r="L101234" s="472"/>
      <c r="M101234" s="472"/>
    </row>
    <row r="101235" spans="12:13" x14ac:dyDescent="0.25">
      <c r="L101235" s="472"/>
      <c r="M101235" s="472"/>
    </row>
    <row r="101307" spans="12:13" x14ac:dyDescent="0.25">
      <c r="L101307" s="472"/>
      <c r="M101307" s="472"/>
    </row>
    <row r="101308" spans="12:13" x14ac:dyDescent="0.25">
      <c r="L101308" s="472"/>
      <c r="M101308" s="472"/>
    </row>
    <row r="101309" spans="12:13" x14ac:dyDescent="0.25">
      <c r="L101309" s="472"/>
      <c r="M101309" s="472"/>
    </row>
    <row r="101381" spans="12:13" x14ac:dyDescent="0.25">
      <c r="L101381" s="472"/>
      <c r="M101381" s="472"/>
    </row>
    <row r="101382" spans="12:13" x14ac:dyDescent="0.25">
      <c r="L101382" s="472"/>
      <c r="M101382" s="472"/>
    </row>
    <row r="101383" spans="12:13" x14ac:dyDescent="0.25">
      <c r="L101383" s="472"/>
      <c r="M101383" s="472"/>
    </row>
    <row r="101455" spans="12:13" x14ac:dyDescent="0.25">
      <c r="L101455" s="472"/>
      <c r="M101455" s="472"/>
    </row>
    <row r="101456" spans="12:13" x14ac:dyDescent="0.25">
      <c r="L101456" s="472"/>
      <c r="M101456" s="472"/>
    </row>
    <row r="101457" spans="12:13" x14ac:dyDescent="0.25">
      <c r="L101457" s="472"/>
      <c r="M101457" s="472"/>
    </row>
    <row r="101529" spans="12:13" x14ac:dyDescent="0.25">
      <c r="L101529" s="472"/>
      <c r="M101529" s="472"/>
    </row>
    <row r="101530" spans="12:13" x14ac:dyDescent="0.25">
      <c r="L101530" s="472"/>
      <c r="M101530" s="472"/>
    </row>
    <row r="101531" spans="12:13" x14ac:dyDescent="0.25">
      <c r="L101531" s="472"/>
      <c r="M101531" s="472"/>
    </row>
    <row r="101603" spans="12:13" x14ac:dyDescent="0.25">
      <c r="L101603" s="472"/>
      <c r="M101603" s="472"/>
    </row>
    <row r="101604" spans="12:13" x14ac:dyDescent="0.25">
      <c r="L101604" s="472"/>
      <c r="M101604" s="472"/>
    </row>
    <row r="101605" spans="12:13" x14ac:dyDescent="0.25">
      <c r="L101605" s="472"/>
      <c r="M101605" s="472"/>
    </row>
    <row r="101677" spans="12:13" x14ac:dyDescent="0.25">
      <c r="L101677" s="472"/>
      <c r="M101677" s="472"/>
    </row>
    <row r="101678" spans="12:13" x14ac:dyDescent="0.25">
      <c r="L101678" s="472"/>
      <c r="M101678" s="472"/>
    </row>
    <row r="101679" spans="12:13" x14ac:dyDescent="0.25">
      <c r="L101679" s="472"/>
      <c r="M101679" s="472"/>
    </row>
    <row r="101751" spans="12:13" x14ac:dyDescent="0.25">
      <c r="L101751" s="472"/>
      <c r="M101751" s="472"/>
    </row>
    <row r="101752" spans="12:13" x14ac:dyDescent="0.25">
      <c r="L101752" s="472"/>
      <c r="M101752" s="472"/>
    </row>
    <row r="101753" spans="12:13" x14ac:dyDescent="0.25">
      <c r="L101753" s="472"/>
      <c r="M101753" s="472"/>
    </row>
    <row r="101825" spans="12:13" x14ac:dyDescent="0.25">
      <c r="L101825" s="472"/>
      <c r="M101825" s="472"/>
    </row>
    <row r="101826" spans="12:13" x14ac:dyDescent="0.25">
      <c r="L101826" s="472"/>
      <c r="M101826" s="472"/>
    </row>
    <row r="101827" spans="12:13" x14ac:dyDescent="0.25">
      <c r="L101827" s="472"/>
      <c r="M101827" s="472"/>
    </row>
    <row r="101899" spans="12:13" x14ac:dyDescent="0.25">
      <c r="L101899" s="472"/>
      <c r="M101899" s="472"/>
    </row>
    <row r="101900" spans="12:13" x14ac:dyDescent="0.25">
      <c r="L101900" s="472"/>
      <c r="M101900" s="472"/>
    </row>
    <row r="101901" spans="12:13" x14ac:dyDescent="0.25">
      <c r="L101901" s="472"/>
      <c r="M101901" s="472"/>
    </row>
    <row r="101973" spans="12:13" x14ac:dyDescent="0.25">
      <c r="L101973" s="472"/>
      <c r="M101973" s="472"/>
    </row>
    <row r="101974" spans="12:13" x14ac:dyDescent="0.25">
      <c r="L101974" s="472"/>
      <c r="M101974" s="472"/>
    </row>
    <row r="101975" spans="12:13" x14ac:dyDescent="0.25">
      <c r="L101975" s="472"/>
      <c r="M101975" s="472"/>
    </row>
    <row r="102047" spans="12:13" x14ac:dyDescent="0.25">
      <c r="L102047" s="472"/>
      <c r="M102047" s="472"/>
    </row>
    <row r="102048" spans="12:13" x14ac:dyDescent="0.25">
      <c r="L102048" s="472"/>
      <c r="M102048" s="472"/>
    </row>
    <row r="102049" spans="12:13" x14ac:dyDescent="0.25">
      <c r="L102049" s="472"/>
      <c r="M102049" s="472"/>
    </row>
    <row r="102121" spans="12:13" x14ac:dyDescent="0.25">
      <c r="L102121" s="472"/>
      <c r="M102121" s="472"/>
    </row>
    <row r="102122" spans="12:13" x14ac:dyDescent="0.25">
      <c r="L102122" s="472"/>
      <c r="M102122" s="472"/>
    </row>
    <row r="102123" spans="12:13" x14ac:dyDescent="0.25">
      <c r="L102123" s="472"/>
      <c r="M102123" s="472"/>
    </row>
    <row r="102195" spans="12:13" x14ac:dyDescent="0.25">
      <c r="L102195" s="472"/>
      <c r="M102195" s="472"/>
    </row>
    <row r="102196" spans="12:13" x14ac:dyDescent="0.25">
      <c r="L102196" s="472"/>
      <c r="M102196" s="472"/>
    </row>
    <row r="102197" spans="12:13" x14ac:dyDescent="0.25">
      <c r="L102197" s="472"/>
      <c r="M102197" s="472"/>
    </row>
    <row r="102269" spans="12:13" x14ac:dyDescent="0.25">
      <c r="L102269" s="472"/>
      <c r="M102269" s="472"/>
    </row>
    <row r="102270" spans="12:13" x14ac:dyDescent="0.25">
      <c r="L102270" s="472"/>
      <c r="M102270" s="472"/>
    </row>
    <row r="102271" spans="12:13" x14ac:dyDescent="0.25">
      <c r="L102271" s="472"/>
      <c r="M102271" s="472"/>
    </row>
    <row r="102343" spans="12:13" x14ac:dyDescent="0.25">
      <c r="L102343" s="472"/>
      <c r="M102343" s="472"/>
    </row>
    <row r="102344" spans="12:13" x14ac:dyDescent="0.25">
      <c r="L102344" s="472"/>
      <c r="M102344" s="472"/>
    </row>
    <row r="102345" spans="12:13" x14ac:dyDescent="0.25">
      <c r="L102345" s="472"/>
      <c r="M102345" s="472"/>
    </row>
    <row r="102417" spans="12:13" x14ac:dyDescent="0.25">
      <c r="L102417" s="472"/>
      <c r="M102417" s="472"/>
    </row>
    <row r="102418" spans="12:13" x14ac:dyDescent="0.25">
      <c r="L102418" s="472"/>
      <c r="M102418" s="472"/>
    </row>
    <row r="102419" spans="12:13" x14ac:dyDescent="0.25">
      <c r="L102419" s="472"/>
      <c r="M102419" s="472"/>
    </row>
    <row r="102491" spans="12:13" x14ac:dyDescent="0.25">
      <c r="L102491" s="472"/>
      <c r="M102491" s="472"/>
    </row>
    <row r="102492" spans="12:13" x14ac:dyDescent="0.25">
      <c r="L102492" s="472"/>
      <c r="M102492" s="472"/>
    </row>
    <row r="102493" spans="12:13" x14ac:dyDescent="0.25">
      <c r="L102493" s="472"/>
      <c r="M102493" s="472"/>
    </row>
    <row r="102565" spans="12:13" x14ac:dyDescent="0.25">
      <c r="L102565" s="472"/>
      <c r="M102565" s="472"/>
    </row>
    <row r="102566" spans="12:13" x14ac:dyDescent="0.25">
      <c r="L102566" s="472"/>
      <c r="M102566" s="472"/>
    </row>
    <row r="102567" spans="12:13" x14ac:dyDescent="0.25">
      <c r="L102567" s="472"/>
      <c r="M102567" s="472"/>
    </row>
    <row r="102639" spans="12:13" x14ac:dyDescent="0.25">
      <c r="L102639" s="472"/>
      <c r="M102639" s="472"/>
    </row>
    <row r="102640" spans="12:13" x14ac:dyDescent="0.25">
      <c r="L102640" s="472"/>
      <c r="M102640" s="472"/>
    </row>
    <row r="102641" spans="12:13" x14ac:dyDescent="0.25">
      <c r="L102641" s="472"/>
      <c r="M102641" s="472"/>
    </row>
    <row r="102713" spans="12:13" x14ac:dyDescent="0.25">
      <c r="L102713" s="472"/>
      <c r="M102713" s="472"/>
    </row>
    <row r="102714" spans="12:13" x14ac:dyDescent="0.25">
      <c r="L102714" s="472"/>
      <c r="M102714" s="472"/>
    </row>
    <row r="102715" spans="12:13" x14ac:dyDescent="0.25">
      <c r="L102715" s="472"/>
      <c r="M102715" s="472"/>
    </row>
    <row r="102787" spans="12:13" x14ac:dyDescent="0.25">
      <c r="L102787" s="472"/>
      <c r="M102787" s="472"/>
    </row>
    <row r="102788" spans="12:13" x14ac:dyDescent="0.25">
      <c r="L102788" s="472"/>
      <c r="M102788" s="472"/>
    </row>
    <row r="102789" spans="12:13" x14ac:dyDescent="0.25">
      <c r="L102789" s="472"/>
      <c r="M102789" s="472"/>
    </row>
    <row r="102861" spans="12:13" x14ac:dyDescent="0.25">
      <c r="L102861" s="472"/>
      <c r="M102861" s="472"/>
    </row>
    <row r="102862" spans="12:13" x14ac:dyDescent="0.25">
      <c r="L102862" s="472"/>
      <c r="M102862" s="472"/>
    </row>
    <row r="102863" spans="12:13" x14ac:dyDescent="0.25">
      <c r="L102863" s="472"/>
      <c r="M102863" s="472"/>
    </row>
    <row r="102935" spans="12:13" x14ac:dyDescent="0.25">
      <c r="L102935" s="472"/>
      <c r="M102935" s="472"/>
    </row>
    <row r="102936" spans="12:13" x14ac:dyDescent="0.25">
      <c r="L102936" s="472"/>
      <c r="M102936" s="472"/>
    </row>
    <row r="102937" spans="12:13" x14ac:dyDescent="0.25">
      <c r="L102937" s="472"/>
      <c r="M102937" s="472"/>
    </row>
    <row r="103009" spans="12:13" x14ac:dyDescent="0.25">
      <c r="L103009" s="472"/>
      <c r="M103009" s="472"/>
    </row>
    <row r="103010" spans="12:13" x14ac:dyDescent="0.25">
      <c r="L103010" s="472"/>
      <c r="M103010" s="472"/>
    </row>
    <row r="103011" spans="12:13" x14ac:dyDescent="0.25">
      <c r="L103011" s="472"/>
      <c r="M103011" s="472"/>
    </row>
    <row r="103083" spans="12:13" x14ac:dyDescent="0.25">
      <c r="L103083" s="472"/>
      <c r="M103083" s="472"/>
    </row>
    <row r="103084" spans="12:13" x14ac:dyDescent="0.25">
      <c r="L103084" s="472"/>
      <c r="M103084" s="472"/>
    </row>
    <row r="103085" spans="12:13" x14ac:dyDescent="0.25">
      <c r="L103085" s="472"/>
      <c r="M103085" s="472"/>
    </row>
    <row r="103157" spans="12:13" x14ac:dyDescent="0.25">
      <c r="L103157" s="472"/>
      <c r="M103157" s="472"/>
    </row>
    <row r="103158" spans="12:13" x14ac:dyDescent="0.25">
      <c r="L103158" s="472"/>
      <c r="M103158" s="472"/>
    </row>
    <row r="103159" spans="12:13" x14ac:dyDescent="0.25">
      <c r="L103159" s="472"/>
      <c r="M103159" s="472"/>
    </row>
    <row r="103231" spans="12:13" x14ac:dyDescent="0.25">
      <c r="L103231" s="472"/>
      <c r="M103231" s="472"/>
    </row>
    <row r="103232" spans="12:13" x14ac:dyDescent="0.25">
      <c r="L103232" s="472"/>
      <c r="M103232" s="472"/>
    </row>
    <row r="103233" spans="12:13" x14ac:dyDescent="0.25">
      <c r="L103233" s="472"/>
      <c r="M103233" s="472"/>
    </row>
    <row r="103305" spans="12:13" x14ac:dyDescent="0.25">
      <c r="L103305" s="472"/>
      <c r="M103305" s="472"/>
    </row>
    <row r="103306" spans="12:13" x14ac:dyDescent="0.25">
      <c r="L103306" s="472"/>
      <c r="M103306" s="472"/>
    </row>
    <row r="103307" spans="12:13" x14ac:dyDescent="0.25">
      <c r="L103307" s="472"/>
      <c r="M103307" s="472"/>
    </row>
    <row r="103379" spans="12:13" x14ac:dyDescent="0.25">
      <c r="L103379" s="472"/>
      <c r="M103379" s="472"/>
    </row>
    <row r="103380" spans="12:13" x14ac:dyDescent="0.25">
      <c r="L103380" s="472"/>
      <c r="M103380" s="472"/>
    </row>
    <row r="103381" spans="12:13" x14ac:dyDescent="0.25">
      <c r="L103381" s="472"/>
      <c r="M103381" s="472"/>
    </row>
    <row r="103453" spans="12:13" x14ac:dyDescent="0.25">
      <c r="L103453" s="472"/>
      <c r="M103453" s="472"/>
    </row>
    <row r="103454" spans="12:13" x14ac:dyDescent="0.25">
      <c r="L103454" s="472"/>
      <c r="M103454" s="472"/>
    </row>
    <row r="103455" spans="12:13" x14ac:dyDescent="0.25">
      <c r="L103455" s="472"/>
      <c r="M103455" s="472"/>
    </row>
    <row r="103527" spans="12:13" x14ac:dyDescent="0.25">
      <c r="L103527" s="472"/>
      <c r="M103527" s="472"/>
    </row>
    <row r="103528" spans="12:13" x14ac:dyDescent="0.25">
      <c r="L103528" s="472"/>
      <c r="M103528" s="472"/>
    </row>
    <row r="103529" spans="12:13" x14ac:dyDescent="0.25">
      <c r="L103529" s="472"/>
      <c r="M103529" s="472"/>
    </row>
    <row r="103601" spans="12:13" x14ac:dyDescent="0.25">
      <c r="L103601" s="472"/>
      <c r="M103601" s="472"/>
    </row>
    <row r="103602" spans="12:13" x14ac:dyDescent="0.25">
      <c r="L103602" s="472"/>
      <c r="M103602" s="472"/>
    </row>
    <row r="103603" spans="12:13" x14ac:dyDescent="0.25">
      <c r="L103603" s="472"/>
      <c r="M103603" s="472"/>
    </row>
    <row r="103675" spans="12:13" x14ac:dyDescent="0.25">
      <c r="L103675" s="472"/>
      <c r="M103675" s="472"/>
    </row>
    <row r="103676" spans="12:13" x14ac:dyDescent="0.25">
      <c r="L103676" s="472"/>
      <c r="M103676" s="472"/>
    </row>
    <row r="103677" spans="12:13" x14ac:dyDescent="0.25">
      <c r="L103677" s="472"/>
      <c r="M103677" s="472"/>
    </row>
    <row r="103749" spans="12:13" x14ac:dyDescent="0.25">
      <c r="L103749" s="472"/>
      <c r="M103749" s="472"/>
    </row>
    <row r="103750" spans="12:13" x14ac:dyDescent="0.25">
      <c r="L103750" s="472"/>
      <c r="M103750" s="472"/>
    </row>
    <row r="103751" spans="12:13" x14ac:dyDescent="0.25">
      <c r="L103751" s="472"/>
      <c r="M103751" s="472"/>
    </row>
    <row r="103823" spans="12:13" x14ac:dyDescent="0.25">
      <c r="L103823" s="472"/>
      <c r="M103823" s="472"/>
    </row>
    <row r="103824" spans="12:13" x14ac:dyDescent="0.25">
      <c r="L103824" s="472"/>
      <c r="M103824" s="472"/>
    </row>
    <row r="103825" spans="12:13" x14ac:dyDescent="0.25">
      <c r="L103825" s="472"/>
      <c r="M103825" s="472"/>
    </row>
    <row r="103897" spans="12:13" x14ac:dyDescent="0.25">
      <c r="L103897" s="472"/>
      <c r="M103897" s="472"/>
    </row>
    <row r="103898" spans="12:13" x14ac:dyDescent="0.25">
      <c r="L103898" s="472"/>
      <c r="M103898" s="472"/>
    </row>
    <row r="103899" spans="12:13" x14ac:dyDescent="0.25">
      <c r="L103899" s="472"/>
      <c r="M103899" s="472"/>
    </row>
    <row r="103971" spans="12:13" x14ac:dyDescent="0.25">
      <c r="L103971" s="472"/>
      <c r="M103971" s="472"/>
    </row>
    <row r="103972" spans="12:13" x14ac:dyDescent="0.25">
      <c r="L103972" s="472"/>
      <c r="M103972" s="472"/>
    </row>
    <row r="103973" spans="12:13" x14ac:dyDescent="0.25">
      <c r="L103973" s="472"/>
      <c r="M103973" s="472"/>
    </row>
    <row r="104045" spans="12:13" x14ac:dyDescent="0.25">
      <c r="L104045" s="472"/>
      <c r="M104045" s="472"/>
    </row>
    <row r="104046" spans="12:13" x14ac:dyDescent="0.25">
      <c r="L104046" s="472"/>
      <c r="M104046" s="472"/>
    </row>
    <row r="104047" spans="12:13" x14ac:dyDescent="0.25">
      <c r="L104047" s="472"/>
      <c r="M104047" s="472"/>
    </row>
    <row r="104119" spans="12:13" x14ac:dyDescent="0.25">
      <c r="L104119" s="472"/>
      <c r="M104119" s="472"/>
    </row>
    <row r="104120" spans="12:13" x14ac:dyDescent="0.25">
      <c r="L104120" s="472"/>
      <c r="M104120" s="472"/>
    </row>
    <row r="104121" spans="12:13" x14ac:dyDescent="0.25">
      <c r="L104121" s="472"/>
      <c r="M104121" s="472"/>
    </row>
    <row r="104193" spans="12:13" x14ac:dyDescent="0.25">
      <c r="L104193" s="472"/>
      <c r="M104193" s="472"/>
    </row>
    <row r="104194" spans="12:13" x14ac:dyDescent="0.25">
      <c r="L104194" s="472"/>
      <c r="M104194" s="472"/>
    </row>
    <row r="104195" spans="12:13" x14ac:dyDescent="0.25">
      <c r="L104195" s="472"/>
      <c r="M104195" s="472"/>
    </row>
    <row r="104267" spans="12:13" x14ac:dyDescent="0.25">
      <c r="L104267" s="472"/>
      <c r="M104267" s="472"/>
    </row>
    <row r="104268" spans="12:13" x14ac:dyDescent="0.25">
      <c r="L104268" s="472"/>
      <c r="M104268" s="472"/>
    </row>
    <row r="104269" spans="12:13" x14ac:dyDescent="0.25">
      <c r="L104269" s="472"/>
      <c r="M104269" s="472"/>
    </row>
    <row r="104341" spans="12:13" x14ac:dyDescent="0.25">
      <c r="L104341" s="472"/>
      <c r="M104341" s="472"/>
    </row>
    <row r="104342" spans="12:13" x14ac:dyDescent="0.25">
      <c r="L104342" s="472"/>
      <c r="M104342" s="472"/>
    </row>
    <row r="104343" spans="12:13" x14ac:dyDescent="0.25">
      <c r="L104343" s="472"/>
      <c r="M104343" s="472"/>
    </row>
    <row r="104415" spans="12:13" x14ac:dyDescent="0.25">
      <c r="L104415" s="472"/>
      <c r="M104415" s="472"/>
    </row>
    <row r="104416" spans="12:13" x14ac:dyDescent="0.25">
      <c r="L104416" s="472"/>
      <c r="M104416" s="472"/>
    </row>
    <row r="104417" spans="12:13" x14ac:dyDescent="0.25">
      <c r="L104417" s="472"/>
      <c r="M104417" s="472"/>
    </row>
    <row r="104489" spans="12:13" x14ac:dyDescent="0.25">
      <c r="L104489" s="472"/>
      <c r="M104489" s="472"/>
    </row>
    <row r="104490" spans="12:13" x14ac:dyDescent="0.25">
      <c r="L104490" s="472"/>
      <c r="M104490" s="472"/>
    </row>
    <row r="104491" spans="12:13" x14ac:dyDescent="0.25">
      <c r="L104491" s="472"/>
      <c r="M104491" s="472"/>
    </row>
    <row r="104563" spans="12:13" x14ac:dyDescent="0.25">
      <c r="L104563" s="472"/>
      <c r="M104563" s="472"/>
    </row>
    <row r="104564" spans="12:13" x14ac:dyDescent="0.25">
      <c r="L104564" s="472"/>
      <c r="M104564" s="472"/>
    </row>
    <row r="104565" spans="12:13" x14ac:dyDescent="0.25">
      <c r="L104565" s="472"/>
      <c r="M104565" s="472"/>
    </row>
    <row r="104637" spans="12:13" x14ac:dyDescent="0.25">
      <c r="L104637" s="472"/>
      <c r="M104637" s="472"/>
    </row>
    <row r="104638" spans="12:13" x14ac:dyDescent="0.25">
      <c r="L104638" s="472"/>
      <c r="M104638" s="472"/>
    </row>
    <row r="104639" spans="12:13" x14ac:dyDescent="0.25">
      <c r="L104639" s="472"/>
      <c r="M104639" s="472"/>
    </row>
    <row r="104711" spans="12:13" x14ac:dyDescent="0.25">
      <c r="L104711" s="472"/>
      <c r="M104711" s="472"/>
    </row>
    <row r="104712" spans="12:13" x14ac:dyDescent="0.25">
      <c r="L104712" s="472"/>
      <c r="M104712" s="472"/>
    </row>
    <row r="104713" spans="12:13" x14ac:dyDescent="0.25">
      <c r="L104713" s="472"/>
      <c r="M104713" s="472"/>
    </row>
    <row r="104785" spans="12:13" x14ac:dyDescent="0.25">
      <c r="L104785" s="472"/>
      <c r="M104785" s="472"/>
    </row>
    <row r="104786" spans="12:13" x14ac:dyDescent="0.25">
      <c r="L104786" s="472"/>
      <c r="M104786" s="472"/>
    </row>
    <row r="104787" spans="12:13" x14ac:dyDescent="0.25">
      <c r="L104787" s="472"/>
      <c r="M104787" s="472"/>
    </row>
    <row r="104859" spans="12:13" x14ac:dyDescent="0.25">
      <c r="L104859" s="472"/>
      <c r="M104859" s="472"/>
    </row>
    <row r="104860" spans="12:13" x14ac:dyDescent="0.25">
      <c r="L104860" s="472"/>
      <c r="M104860" s="472"/>
    </row>
    <row r="104861" spans="12:13" x14ac:dyDescent="0.25">
      <c r="L104861" s="472"/>
      <c r="M104861" s="472"/>
    </row>
    <row r="104933" spans="12:13" x14ac:dyDescent="0.25">
      <c r="L104933" s="472"/>
      <c r="M104933" s="472"/>
    </row>
    <row r="104934" spans="12:13" x14ac:dyDescent="0.25">
      <c r="L104934" s="472"/>
      <c r="M104934" s="472"/>
    </row>
    <row r="104935" spans="12:13" x14ac:dyDescent="0.25">
      <c r="L104935" s="472"/>
      <c r="M104935" s="472"/>
    </row>
    <row r="105007" spans="12:13" x14ac:dyDescent="0.25">
      <c r="L105007" s="472"/>
      <c r="M105007" s="472"/>
    </row>
    <row r="105008" spans="12:13" x14ac:dyDescent="0.25">
      <c r="L105008" s="472"/>
      <c r="M105008" s="472"/>
    </row>
    <row r="105009" spans="12:13" x14ac:dyDescent="0.25">
      <c r="L105009" s="472"/>
      <c r="M105009" s="472"/>
    </row>
    <row r="105081" spans="12:13" x14ac:dyDescent="0.25">
      <c r="L105081" s="472"/>
      <c r="M105081" s="472"/>
    </row>
    <row r="105082" spans="12:13" x14ac:dyDescent="0.25">
      <c r="L105082" s="472"/>
      <c r="M105082" s="472"/>
    </row>
    <row r="105083" spans="12:13" x14ac:dyDescent="0.25">
      <c r="L105083" s="472"/>
      <c r="M105083" s="472"/>
    </row>
    <row r="105155" spans="12:13" x14ac:dyDescent="0.25">
      <c r="L105155" s="472"/>
      <c r="M105155" s="472"/>
    </row>
    <row r="105156" spans="12:13" x14ac:dyDescent="0.25">
      <c r="L105156" s="472"/>
      <c r="M105156" s="472"/>
    </row>
    <row r="105157" spans="12:13" x14ac:dyDescent="0.25">
      <c r="L105157" s="472"/>
      <c r="M105157" s="472"/>
    </row>
    <row r="105229" spans="12:13" x14ac:dyDescent="0.25">
      <c r="L105229" s="472"/>
      <c r="M105229" s="472"/>
    </row>
    <row r="105230" spans="12:13" x14ac:dyDescent="0.25">
      <c r="L105230" s="472"/>
      <c r="M105230" s="472"/>
    </row>
    <row r="105231" spans="12:13" x14ac:dyDescent="0.25">
      <c r="L105231" s="472"/>
      <c r="M105231" s="472"/>
    </row>
    <row r="105303" spans="12:13" x14ac:dyDescent="0.25">
      <c r="L105303" s="472"/>
      <c r="M105303" s="472"/>
    </row>
    <row r="105304" spans="12:13" x14ac:dyDescent="0.25">
      <c r="L105304" s="472"/>
      <c r="M105304" s="472"/>
    </row>
    <row r="105305" spans="12:13" x14ac:dyDescent="0.25">
      <c r="L105305" s="472"/>
      <c r="M105305" s="472"/>
    </row>
    <row r="105377" spans="12:13" x14ac:dyDescent="0.25">
      <c r="L105377" s="472"/>
      <c r="M105377" s="472"/>
    </row>
    <row r="105378" spans="12:13" x14ac:dyDescent="0.25">
      <c r="L105378" s="472"/>
      <c r="M105378" s="472"/>
    </row>
    <row r="105379" spans="12:13" x14ac:dyDescent="0.25">
      <c r="L105379" s="472"/>
      <c r="M105379" s="472"/>
    </row>
    <row r="105451" spans="12:13" x14ac:dyDescent="0.25">
      <c r="L105451" s="472"/>
      <c r="M105451" s="472"/>
    </row>
    <row r="105452" spans="12:13" x14ac:dyDescent="0.25">
      <c r="L105452" s="472"/>
      <c r="M105452" s="472"/>
    </row>
    <row r="105453" spans="12:13" x14ac:dyDescent="0.25">
      <c r="L105453" s="472"/>
      <c r="M105453" s="472"/>
    </row>
    <row r="105525" spans="12:13" x14ac:dyDescent="0.25">
      <c r="L105525" s="472"/>
      <c r="M105525" s="472"/>
    </row>
    <row r="105526" spans="12:13" x14ac:dyDescent="0.25">
      <c r="L105526" s="472"/>
      <c r="M105526" s="472"/>
    </row>
    <row r="105527" spans="12:13" x14ac:dyDescent="0.25">
      <c r="L105527" s="472"/>
      <c r="M105527" s="472"/>
    </row>
    <row r="105599" spans="12:13" x14ac:dyDescent="0.25">
      <c r="L105599" s="472"/>
      <c r="M105599" s="472"/>
    </row>
    <row r="105600" spans="12:13" x14ac:dyDescent="0.25">
      <c r="L105600" s="472"/>
      <c r="M105600" s="472"/>
    </row>
    <row r="105601" spans="12:13" x14ac:dyDescent="0.25">
      <c r="L105601" s="472"/>
      <c r="M105601" s="472"/>
    </row>
    <row r="105673" spans="12:13" x14ac:dyDescent="0.25">
      <c r="L105673" s="472"/>
      <c r="M105673" s="472"/>
    </row>
    <row r="105674" spans="12:13" x14ac:dyDescent="0.25">
      <c r="L105674" s="472"/>
      <c r="M105674" s="472"/>
    </row>
    <row r="105675" spans="12:13" x14ac:dyDescent="0.25">
      <c r="L105675" s="472"/>
      <c r="M105675" s="472"/>
    </row>
    <row r="105747" spans="12:13" x14ac:dyDescent="0.25">
      <c r="L105747" s="472"/>
      <c r="M105747" s="472"/>
    </row>
    <row r="105748" spans="12:13" x14ac:dyDescent="0.25">
      <c r="L105748" s="472"/>
      <c r="M105748" s="472"/>
    </row>
    <row r="105749" spans="12:13" x14ac:dyDescent="0.25">
      <c r="L105749" s="472"/>
      <c r="M105749" s="472"/>
    </row>
    <row r="105821" spans="12:13" x14ac:dyDescent="0.25">
      <c r="L105821" s="472"/>
      <c r="M105821" s="472"/>
    </row>
    <row r="105822" spans="12:13" x14ac:dyDescent="0.25">
      <c r="L105822" s="472"/>
      <c r="M105822" s="472"/>
    </row>
    <row r="105823" spans="12:13" x14ac:dyDescent="0.25">
      <c r="L105823" s="472"/>
      <c r="M105823" s="472"/>
    </row>
    <row r="105895" spans="12:13" x14ac:dyDescent="0.25">
      <c r="L105895" s="472"/>
      <c r="M105895" s="472"/>
    </row>
    <row r="105896" spans="12:13" x14ac:dyDescent="0.25">
      <c r="L105896" s="472"/>
      <c r="M105896" s="472"/>
    </row>
    <row r="105897" spans="12:13" x14ac:dyDescent="0.25">
      <c r="L105897" s="472"/>
      <c r="M105897" s="472"/>
    </row>
    <row r="105969" spans="12:13" x14ac:dyDescent="0.25">
      <c r="L105969" s="472"/>
      <c r="M105969" s="472"/>
    </row>
    <row r="105970" spans="12:13" x14ac:dyDescent="0.25">
      <c r="L105970" s="472"/>
      <c r="M105970" s="472"/>
    </row>
    <row r="105971" spans="12:13" x14ac:dyDescent="0.25">
      <c r="L105971" s="472"/>
      <c r="M105971" s="472"/>
    </row>
    <row r="106043" spans="12:13" x14ac:dyDescent="0.25">
      <c r="L106043" s="472"/>
      <c r="M106043" s="472"/>
    </row>
    <row r="106044" spans="12:13" x14ac:dyDescent="0.25">
      <c r="L106044" s="472"/>
      <c r="M106044" s="472"/>
    </row>
    <row r="106045" spans="12:13" x14ac:dyDescent="0.25">
      <c r="L106045" s="472"/>
      <c r="M106045" s="472"/>
    </row>
    <row r="106117" spans="12:13" x14ac:dyDescent="0.25">
      <c r="L106117" s="472"/>
      <c r="M106117" s="472"/>
    </row>
    <row r="106118" spans="12:13" x14ac:dyDescent="0.25">
      <c r="L106118" s="472"/>
      <c r="M106118" s="472"/>
    </row>
    <row r="106119" spans="12:13" x14ac:dyDescent="0.25">
      <c r="L106119" s="472"/>
      <c r="M106119" s="472"/>
    </row>
    <row r="106191" spans="12:13" x14ac:dyDescent="0.25">
      <c r="L106191" s="472"/>
      <c r="M106191" s="472"/>
    </row>
    <row r="106192" spans="12:13" x14ac:dyDescent="0.25">
      <c r="L106192" s="472"/>
      <c r="M106192" s="472"/>
    </row>
    <row r="106193" spans="12:13" x14ac:dyDescent="0.25">
      <c r="L106193" s="472"/>
      <c r="M106193" s="472"/>
    </row>
    <row r="106265" spans="12:13" x14ac:dyDescent="0.25">
      <c r="L106265" s="472"/>
      <c r="M106265" s="472"/>
    </row>
    <row r="106266" spans="12:13" x14ac:dyDescent="0.25">
      <c r="L106266" s="472"/>
      <c r="M106266" s="472"/>
    </row>
    <row r="106267" spans="12:13" x14ac:dyDescent="0.25">
      <c r="L106267" s="472"/>
      <c r="M106267" s="472"/>
    </row>
    <row r="106339" spans="12:13" x14ac:dyDescent="0.25">
      <c r="L106339" s="472"/>
      <c r="M106339" s="472"/>
    </row>
    <row r="106340" spans="12:13" x14ac:dyDescent="0.25">
      <c r="L106340" s="472"/>
      <c r="M106340" s="472"/>
    </row>
    <row r="106341" spans="12:13" x14ac:dyDescent="0.25">
      <c r="L106341" s="472"/>
      <c r="M106341" s="472"/>
    </row>
    <row r="106413" spans="12:13" x14ac:dyDescent="0.25">
      <c r="L106413" s="472"/>
      <c r="M106413" s="472"/>
    </row>
    <row r="106414" spans="12:13" x14ac:dyDescent="0.25">
      <c r="L106414" s="472"/>
      <c r="M106414" s="472"/>
    </row>
    <row r="106415" spans="12:13" x14ac:dyDescent="0.25">
      <c r="L106415" s="472"/>
      <c r="M106415" s="472"/>
    </row>
    <row r="106487" spans="12:13" x14ac:dyDescent="0.25">
      <c r="L106487" s="472"/>
      <c r="M106487" s="472"/>
    </row>
    <row r="106488" spans="12:13" x14ac:dyDescent="0.25">
      <c r="L106488" s="472"/>
      <c r="M106488" s="472"/>
    </row>
    <row r="106489" spans="12:13" x14ac:dyDescent="0.25">
      <c r="L106489" s="472"/>
      <c r="M106489" s="472"/>
    </row>
    <row r="106561" spans="12:13" x14ac:dyDescent="0.25">
      <c r="L106561" s="472"/>
      <c r="M106561" s="472"/>
    </row>
    <row r="106562" spans="12:13" x14ac:dyDescent="0.25">
      <c r="L106562" s="472"/>
      <c r="M106562" s="472"/>
    </row>
    <row r="106563" spans="12:13" x14ac:dyDescent="0.25">
      <c r="L106563" s="472"/>
      <c r="M106563" s="472"/>
    </row>
    <row r="106635" spans="12:13" x14ac:dyDescent="0.25">
      <c r="L106635" s="472"/>
      <c r="M106635" s="472"/>
    </row>
    <row r="106636" spans="12:13" x14ac:dyDescent="0.25">
      <c r="L106636" s="472"/>
      <c r="M106636" s="472"/>
    </row>
    <row r="106637" spans="12:13" x14ac:dyDescent="0.25">
      <c r="L106637" s="472"/>
      <c r="M106637" s="472"/>
    </row>
    <row r="106709" spans="12:13" x14ac:dyDescent="0.25">
      <c r="L106709" s="472"/>
      <c r="M106709" s="472"/>
    </row>
    <row r="106710" spans="12:13" x14ac:dyDescent="0.25">
      <c r="L106710" s="472"/>
      <c r="M106710" s="472"/>
    </row>
    <row r="106711" spans="12:13" x14ac:dyDescent="0.25">
      <c r="L106711" s="472"/>
      <c r="M106711" s="472"/>
    </row>
    <row r="106783" spans="12:13" x14ac:dyDescent="0.25">
      <c r="L106783" s="472"/>
      <c r="M106783" s="472"/>
    </row>
    <row r="106784" spans="12:13" x14ac:dyDescent="0.25">
      <c r="L106784" s="472"/>
      <c r="M106784" s="472"/>
    </row>
    <row r="106785" spans="12:13" x14ac:dyDescent="0.25">
      <c r="L106785" s="472"/>
      <c r="M106785" s="472"/>
    </row>
    <row r="106857" spans="12:13" x14ac:dyDescent="0.25">
      <c r="L106857" s="472"/>
      <c r="M106857" s="472"/>
    </row>
    <row r="106858" spans="12:13" x14ac:dyDescent="0.25">
      <c r="L106858" s="472"/>
      <c r="M106858" s="472"/>
    </row>
    <row r="106859" spans="12:13" x14ac:dyDescent="0.25">
      <c r="L106859" s="472"/>
      <c r="M106859" s="472"/>
    </row>
    <row r="106931" spans="12:13" x14ac:dyDescent="0.25">
      <c r="L106931" s="472"/>
      <c r="M106931" s="472"/>
    </row>
    <row r="106932" spans="12:13" x14ac:dyDescent="0.25">
      <c r="L106932" s="472"/>
      <c r="M106932" s="472"/>
    </row>
    <row r="106933" spans="12:13" x14ac:dyDescent="0.25">
      <c r="L106933" s="472"/>
      <c r="M106933" s="472"/>
    </row>
    <row r="107005" spans="12:13" x14ac:dyDescent="0.25">
      <c r="L107005" s="472"/>
      <c r="M107005" s="472"/>
    </row>
    <row r="107006" spans="12:13" x14ac:dyDescent="0.25">
      <c r="L107006" s="472"/>
      <c r="M107006" s="472"/>
    </row>
    <row r="107007" spans="12:13" x14ac:dyDescent="0.25">
      <c r="L107007" s="472"/>
      <c r="M107007" s="472"/>
    </row>
    <row r="107079" spans="12:13" x14ac:dyDescent="0.25">
      <c r="L107079" s="472"/>
      <c r="M107079" s="472"/>
    </row>
    <row r="107080" spans="12:13" x14ac:dyDescent="0.25">
      <c r="L107080" s="472"/>
      <c r="M107080" s="472"/>
    </row>
    <row r="107081" spans="12:13" x14ac:dyDescent="0.25">
      <c r="L107081" s="472"/>
      <c r="M107081" s="472"/>
    </row>
    <row r="107153" spans="12:13" x14ac:dyDescent="0.25">
      <c r="L107153" s="472"/>
      <c r="M107153" s="472"/>
    </row>
    <row r="107154" spans="12:13" x14ac:dyDescent="0.25">
      <c r="L107154" s="472"/>
      <c r="M107154" s="472"/>
    </row>
    <row r="107155" spans="12:13" x14ac:dyDescent="0.25">
      <c r="L107155" s="472"/>
      <c r="M107155" s="472"/>
    </row>
    <row r="107227" spans="12:13" x14ac:dyDescent="0.25">
      <c r="L107227" s="472"/>
      <c r="M107227" s="472"/>
    </row>
    <row r="107228" spans="12:13" x14ac:dyDescent="0.25">
      <c r="L107228" s="472"/>
      <c r="M107228" s="472"/>
    </row>
    <row r="107229" spans="12:13" x14ac:dyDescent="0.25">
      <c r="L107229" s="472"/>
      <c r="M107229" s="472"/>
    </row>
    <row r="107301" spans="12:13" x14ac:dyDescent="0.25">
      <c r="L107301" s="472"/>
      <c r="M107301" s="472"/>
    </row>
    <row r="107302" spans="12:13" x14ac:dyDescent="0.25">
      <c r="L107302" s="472"/>
      <c r="M107302" s="472"/>
    </row>
    <row r="107303" spans="12:13" x14ac:dyDescent="0.25">
      <c r="L107303" s="472"/>
      <c r="M107303" s="472"/>
    </row>
    <row r="107375" spans="12:13" x14ac:dyDescent="0.25">
      <c r="L107375" s="472"/>
      <c r="M107375" s="472"/>
    </row>
    <row r="107376" spans="12:13" x14ac:dyDescent="0.25">
      <c r="L107376" s="472"/>
      <c r="M107376" s="472"/>
    </row>
    <row r="107377" spans="12:13" x14ac:dyDescent="0.25">
      <c r="L107377" s="472"/>
      <c r="M107377" s="472"/>
    </row>
    <row r="107449" spans="12:13" x14ac:dyDescent="0.25">
      <c r="L107449" s="472"/>
      <c r="M107449" s="472"/>
    </row>
    <row r="107450" spans="12:13" x14ac:dyDescent="0.25">
      <c r="L107450" s="472"/>
      <c r="M107450" s="472"/>
    </row>
    <row r="107451" spans="12:13" x14ac:dyDescent="0.25">
      <c r="L107451" s="472"/>
      <c r="M107451" s="472"/>
    </row>
    <row r="107523" spans="12:13" x14ac:dyDescent="0.25">
      <c r="L107523" s="472"/>
      <c r="M107523" s="472"/>
    </row>
    <row r="107524" spans="12:13" x14ac:dyDescent="0.25">
      <c r="L107524" s="472"/>
      <c r="M107524" s="472"/>
    </row>
    <row r="107525" spans="12:13" x14ac:dyDescent="0.25">
      <c r="L107525" s="472"/>
      <c r="M107525" s="472"/>
    </row>
    <row r="107597" spans="12:13" x14ac:dyDescent="0.25">
      <c r="L107597" s="472"/>
      <c r="M107597" s="472"/>
    </row>
    <row r="107598" spans="12:13" x14ac:dyDescent="0.25">
      <c r="L107598" s="472"/>
      <c r="M107598" s="472"/>
    </row>
    <row r="107599" spans="12:13" x14ac:dyDescent="0.25">
      <c r="L107599" s="472"/>
      <c r="M107599" s="472"/>
    </row>
    <row r="107671" spans="12:13" x14ac:dyDescent="0.25">
      <c r="L107671" s="472"/>
      <c r="M107671" s="472"/>
    </row>
    <row r="107672" spans="12:13" x14ac:dyDescent="0.25">
      <c r="L107672" s="472"/>
      <c r="M107672" s="472"/>
    </row>
    <row r="107673" spans="12:13" x14ac:dyDescent="0.25">
      <c r="L107673" s="472"/>
      <c r="M107673" s="472"/>
    </row>
    <row r="107745" spans="12:13" x14ac:dyDescent="0.25">
      <c r="L107745" s="472"/>
      <c r="M107745" s="472"/>
    </row>
    <row r="107746" spans="12:13" x14ac:dyDescent="0.25">
      <c r="L107746" s="472"/>
      <c r="M107746" s="472"/>
    </row>
    <row r="107747" spans="12:13" x14ac:dyDescent="0.25">
      <c r="L107747" s="472"/>
      <c r="M107747" s="472"/>
    </row>
    <row r="107819" spans="12:13" x14ac:dyDescent="0.25">
      <c r="L107819" s="472"/>
      <c r="M107819" s="472"/>
    </row>
    <row r="107820" spans="12:13" x14ac:dyDescent="0.25">
      <c r="L107820" s="472"/>
      <c r="M107820" s="472"/>
    </row>
    <row r="107821" spans="12:13" x14ac:dyDescent="0.25">
      <c r="L107821" s="472"/>
      <c r="M107821" s="472"/>
    </row>
    <row r="107893" spans="12:13" x14ac:dyDescent="0.25">
      <c r="L107893" s="472"/>
      <c r="M107893" s="472"/>
    </row>
    <row r="107894" spans="12:13" x14ac:dyDescent="0.25">
      <c r="L107894" s="472"/>
      <c r="M107894" s="472"/>
    </row>
    <row r="107895" spans="12:13" x14ac:dyDescent="0.25">
      <c r="L107895" s="472"/>
      <c r="M107895" s="472"/>
    </row>
    <row r="107967" spans="12:13" x14ac:dyDescent="0.25">
      <c r="L107967" s="472"/>
      <c r="M107967" s="472"/>
    </row>
    <row r="107968" spans="12:13" x14ac:dyDescent="0.25">
      <c r="L107968" s="472"/>
      <c r="M107968" s="472"/>
    </row>
    <row r="107969" spans="12:13" x14ac:dyDescent="0.25">
      <c r="L107969" s="472"/>
      <c r="M107969" s="472"/>
    </row>
    <row r="108041" spans="12:13" x14ac:dyDescent="0.25">
      <c r="L108041" s="472"/>
      <c r="M108041" s="472"/>
    </row>
    <row r="108042" spans="12:13" x14ac:dyDescent="0.25">
      <c r="L108042" s="472"/>
      <c r="M108042" s="472"/>
    </row>
    <row r="108043" spans="12:13" x14ac:dyDescent="0.25">
      <c r="L108043" s="472"/>
      <c r="M108043" s="472"/>
    </row>
    <row r="108115" spans="12:13" x14ac:dyDescent="0.25">
      <c r="L108115" s="472"/>
      <c r="M108115" s="472"/>
    </row>
    <row r="108116" spans="12:13" x14ac:dyDescent="0.25">
      <c r="L108116" s="472"/>
      <c r="M108116" s="472"/>
    </row>
    <row r="108117" spans="12:13" x14ac:dyDescent="0.25">
      <c r="L108117" s="472"/>
      <c r="M108117" s="472"/>
    </row>
    <row r="108189" spans="12:13" x14ac:dyDescent="0.25">
      <c r="L108189" s="472"/>
      <c r="M108189" s="472"/>
    </row>
    <row r="108190" spans="12:13" x14ac:dyDescent="0.25">
      <c r="L108190" s="472"/>
      <c r="M108190" s="472"/>
    </row>
    <row r="108191" spans="12:13" x14ac:dyDescent="0.25">
      <c r="L108191" s="472"/>
      <c r="M108191" s="472"/>
    </row>
    <row r="108263" spans="12:13" x14ac:dyDescent="0.25">
      <c r="L108263" s="472"/>
      <c r="M108263" s="472"/>
    </row>
    <row r="108264" spans="12:13" x14ac:dyDescent="0.25">
      <c r="L108264" s="472"/>
      <c r="M108264" s="472"/>
    </row>
    <row r="108265" spans="12:13" x14ac:dyDescent="0.25">
      <c r="L108265" s="472"/>
      <c r="M108265" s="472"/>
    </row>
    <row r="108337" spans="12:13" x14ac:dyDescent="0.25">
      <c r="L108337" s="472"/>
      <c r="M108337" s="472"/>
    </row>
    <row r="108338" spans="12:13" x14ac:dyDescent="0.25">
      <c r="L108338" s="472"/>
      <c r="M108338" s="472"/>
    </row>
    <row r="108339" spans="12:13" x14ac:dyDescent="0.25">
      <c r="L108339" s="472"/>
      <c r="M108339" s="472"/>
    </row>
    <row r="108411" spans="12:13" x14ac:dyDescent="0.25">
      <c r="L108411" s="472"/>
      <c r="M108411" s="472"/>
    </row>
    <row r="108412" spans="12:13" x14ac:dyDescent="0.25">
      <c r="L108412" s="472"/>
      <c r="M108412" s="472"/>
    </row>
    <row r="108413" spans="12:13" x14ac:dyDescent="0.25">
      <c r="L108413" s="472"/>
      <c r="M108413" s="472"/>
    </row>
    <row r="108485" spans="12:13" x14ac:dyDescent="0.25">
      <c r="L108485" s="472"/>
      <c r="M108485" s="472"/>
    </row>
    <row r="108486" spans="12:13" x14ac:dyDescent="0.25">
      <c r="L108486" s="472"/>
      <c r="M108486" s="472"/>
    </row>
    <row r="108487" spans="12:13" x14ac:dyDescent="0.25">
      <c r="L108487" s="472"/>
      <c r="M108487" s="472"/>
    </row>
    <row r="108559" spans="12:13" x14ac:dyDescent="0.25">
      <c r="L108559" s="472"/>
      <c r="M108559" s="472"/>
    </row>
    <row r="108560" spans="12:13" x14ac:dyDescent="0.25">
      <c r="L108560" s="472"/>
      <c r="M108560" s="472"/>
    </row>
    <row r="108561" spans="12:13" x14ac:dyDescent="0.25">
      <c r="L108561" s="472"/>
      <c r="M108561" s="472"/>
    </row>
    <row r="108633" spans="12:13" x14ac:dyDescent="0.25">
      <c r="L108633" s="472"/>
      <c r="M108633" s="472"/>
    </row>
    <row r="108634" spans="12:13" x14ac:dyDescent="0.25">
      <c r="L108634" s="472"/>
      <c r="M108634" s="472"/>
    </row>
    <row r="108635" spans="12:13" x14ac:dyDescent="0.25">
      <c r="L108635" s="472"/>
      <c r="M108635" s="472"/>
    </row>
    <row r="108707" spans="12:13" x14ac:dyDescent="0.25">
      <c r="L108707" s="472"/>
      <c r="M108707" s="472"/>
    </row>
    <row r="108708" spans="12:13" x14ac:dyDescent="0.25">
      <c r="L108708" s="472"/>
      <c r="M108708" s="472"/>
    </row>
    <row r="108709" spans="12:13" x14ac:dyDescent="0.25">
      <c r="L108709" s="472"/>
      <c r="M108709" s="472"/>
    </row>
    <row r="108781" spans="12:13" x14ac:dyDescent="0.25">
      <c r="L108781" s="472"/>
      <c r="M108781" s="472"/>
    </row>
    <row r="108782" spans="12:13" x14ac:dyDescent="0.25">
      <c r="L108782" s="472"/>
      <c r="M108782" s="472"/>
    </row>
    <row r="108783" spans="12:13" x14ac:dyDescent="0.25">
      <c r="L108783" s="472"/>
      <c r="M108783" s="472"/>
    </row>
    <row r="108855" spans="12:13" x14ac:dyDescent="0.25">
      <c r="L108855" s="472"/>
      <c r="M108855" s="472"/>
    </row>
    <row r="108856" spans="12:13" x14ac:dyDescent="0.25">
      <c r="L108856" s="472"/>
      <c r="M108856" s="472"/>
    </row>
    <row r="108857" spans="12:13" x14ac:dyDescent="0.25">
      <c r="L108857" s="472"/>
      <c r="M108857" s="472"/>
    </row>
    <row r="108929" spans="12:13" x14ac:dyDescent="0.25">
      <c r="L108929" s="472"/>
      <c r="M108929" s="472"/>
    </row>
    <row r="108930" spans="12:13" x14ac:dyDescent="0.25">
      <c r="L108930" s="472"/>
      <c r="M108930" s="472"/>
    </row>
    <row r="108931" spans="12:13" x14ac:dyDescent="0.25">
      <c r="L108931" s="472"/>
      <c r="M108931" s="472"/>
    </row>
    <row r="109003" spans="12:13" x14ac:dyDescent="0.25">
      <c r="L109003" s="472"/>
      <c r="M109003" s="472"/>
    </row>
    <row r="109004" spans="12:13" x14ac:dyDescent="0.25">
      <c r="L109004" s="472"/>
      <c r="M109004" s="472"/>
    </row>
    <row r="109005" spans="12:13" x14ac:dyDescent="0.25">
      <c r="L109005" s="472"/>
      <c r="M109005" s="472"/>
    </row>
    <row r="109077" spans="12:13" x14ac:dyDescent="0.25">
      <c r="L109077" s="472"/>
      <c r="M109077" s="472"/>
    </row>
    <row r="109078" spans="12:13" x14ac:dyDescent="0.25">
      <c r="L109078" s="472"/>
      <c r="M109078" s="472"/>
    </row>
    <row r="109079" spans="12:13" x14ac:dyDescent="0.25">
      <c r="L109079" s="472"/>
      <c r="M109079" s="472"/>
    </row>
    <row r="109151" spans="12:13" x14ac:dyDescent="0.25">
      <c r="L109151" s="472"/>
      <c r="M109151" s="472"/>
    </row>
    <row r="109152" spans="12:13" x14ac:dyDescent="0.25">
      <c r="L109152" s="472"/>
      <c r="M109152" s="472"/>
    </row>
    <row r="109153" spans="12:13" x14ac:dyDescent="0.25">
      <c r="L109153" s="472"/>
      <c r="M109153" s="472"/>
    </row>
    <row r="109225" spans="12:13" x14ac:dyDescent="0.25">
      <c r="L109225" s="472"/>
      <c r="M109225" s="472"/>
    </row>
    <row r="109226" spans="12:13" x14ac:dyDescent="0.25">
      <c r="L109226" s="472"/>
      <c r="M109226" s="472"/>
    </row>
    <row r="109227" spans="12:13" x14ac:dyDescent="0.25">
      <c r="L109227" s="472"/>
      <c r="M109227" s="472"/>
    </row>
    <row r="109299" spans="12:13" x14ac:dyDescent="0.25">
      <c r="L109299" s="472"/>
      <c r="M109299" s="472"/>
    </row>
    <row r="109300" spans="12:13" x14ac:dyDescent="0.25">
      <c r="L109300" s="472"/>
      <c r="M109300" s="472"/>
    </row>
    <row r="109301" spans="12:13" x14ac:dyDescent="0.25">
      <c r="L109301" s="472"/>
      <c r="M109301" s="472"/>
    </row>
    <row r="109373" spans="12:13" x14ac:dyDescent="0.25">
      <c r="L109373" s="472"/>
      <c r="M109373" s="472"/>
    </row>
    <row r="109374" spans="12:13" x14ac:dyDescent="0.25">
      <c r="L109374" s="472"/>
      <c r="M109374" s="472"/>
    </row>
    <row r="109375" spans="12:13" x14ac:dyDescent="0.25">
      <c r="L109375" s="472"/>
      <c r="M109375" s="472"/>
    </row>
    <row r="109447" spans="12:13" x14ac:dyDescent="0.25">
      <c r="L109447" s="472"/>
      <c r="M109447" s="472"/>
    </row>
    <row r="109448" spans="12:13" x14ac:dyDescent="0.25">
      <c r="L109448" s="472"/>
      <c r="M109448" s="472"/>
    </row>
    <row r="109449" spans="12:13" x14ac:dyDescent="0.25">
      <c r="L109449" s="472"/>
      <c r="M109449" s="472"/>
    </row>
    <row r="109521" spans="12:13" x14ac:dyDescent="0.25">
      <c r="L109521" s="472"/>
      <c r="M109521" s="472"/>
    </row>
    <row r="109522" spans="12:13" x14ac:dyDescent="0.25">
      <c r="L109522" s="472"/>
      <c r="M109522" s="472"/>
    </row>
    <row r="109523" spans="12:13" x14ac:dyDescent="0.25">
      <c r="L109523" s="472"/>
      <c r="M109523" s="472"/>
    </row>
    <row r="109595" spans="12:13" x14ac:dyDescent="0.25">
      <c r="L109595" s="472"/>
      <c r="M109595" s="472"/>
    </row>
    <row r="109596" spans="12:13" x14ac:dyDescent="0.25">
      <c r="L109596" s="472"/>
      <c r="M109596" s="472"/>
    </row>
    <row r="109597" spans="12:13" x14ac:dyDescent="0.25">
      <c r="L109597" s="472"/>
      <c r="M109597" s="472"/>
    </row>
    <row r="109669" spans="12:13" x14ac:dyDescent="0.25">
      <c r="L109669" s="472"/>
      <c r="M109669" s="472"/>
    </row>
    <row r="109670" spans="12:13" x14ac:dyDescent="0.25">
      <c r="L109670" s="472"/>
      <c r="M109670" s="472"/>
    </row>
    <row r="109671" spans="12:13" x14ac:dyDescent="0.25">
      <c r="L109671" s="472"/>
      <c r="M109671" s="472"/>
    </row>
    <row r="109743" spans="12:13" x14ac:dyDescent="0.25">
      <c r="L109743" s="472"/>
      <c r="M109743" s="472"/>
    </row>
    <row r="109744" spans="12:13" x14ac:dyDescent="0.25">
      <c r="L109744" s="472"/>
      <c r="M109744" s="472"/>
    </row>
    <row r="109745" spans="12:13" x14ac:dyDescent="0.25">
      <c r="L109745" s="472"/>
      <c r="M109745" s="472"/>
    </row>
    <row r="109817" spans="12:13" x14ac:dyDescent="0.25">
      <c r="L109817" s="472"/>
      <c r="M109817" s="472"/>
    </row>
    <row r="109818" spans="12:13" x14ac:dyDescent="0.25">
      <c r="L109818" s="472"/>
      <c r="M109818" s="472"/>
    </row>
    <row r="109819" spans="12:13" x14ac:dyDescent="0.25">
      <c r="L109819" s="472"/>
      <c r="M109819" s="472"/>
    </row>
    <row r="109891" spans="12:13" x14ac:dyDescent="0.25">
      <c r="L109891" s="472"/>
      <c r="M109891" s="472"/>
    </row>
    <row r="109892" spans="12:13" x14ac:dyDescent="0.25">
      <c r="L109892" s="472"/>
      <c r="M109892" s="472"/>
    </row>
    <row r="109893" spans="12:13" x14ac:dyDescent="0.25">
      <c r="L109893" s="472"/>
      <c r="M109893" s="472"/>
    </row>
    <row r="109965" spans="12:13" x14ac:dyDescent="0.25">
      <c r="L109965" s="472"/>
      <c r="M109965" s="472"/>
    </row>
    <row r="109966" spans="12:13" x14ac:dyDescent="0.25">
      <c r="L109966" s="472"/>
      <c r="M109966" s="472"/>
    </row>
    <row r="109967" spans="12:13" x14ac:dyDescent="0.25">
      <c r="L109967" s="472"/>
      <c r="M109967" s="472"/>
    </row>
    <row r="110039" spans="12:13" x14ac:dyDescent="0.25">
      <c r="L110039" s="472"/>
      <c r="M110039" s="472"/>
    </row>
    <row r="110040" spans="12:13" x14ac:dyDescent="0.25">
      <c r="L110040" s="472"/>
      <c r="M110040" s="472"/>
    </row>
    <row r="110041" spans="12:13" x14ac:dyDescent="0.25">
      <c r="L110041" s="472"/>
      <c r="M110041" s="472"/>
    </row>
    <row r="110113" spans="12:13" x14ac:dyDescent="0.25">
      <c r="L110113" s="472"/>
      <c r="M110113" s="472"/>
    </row>
    <row r="110114" spans="12:13" x14ac:dyDescent="0.25">
      <c r="L110114" s="472"/>
      <c r="M110114" s="472"/>
    </row>
    <row r="110115" spans="12:13" x14ac:dyDescent="0.25">
      <c r="L110115" s="472"/>
      <c r="M110115" s="472"/>
    </row>
    <row r="110187" spans="12:13" x14ac:dyDescent="0.25">
      <c r="L110187" s="472"/>
      <c r="M110187" s="472"/>
    </row>
    <row r="110188" spans="12:13" x14ac:dyDescent="0.25">
      <c r="L110188" s="472"/>
      <c r="M110188" s="472"/>
    </row>
    <row r="110189" spans="12:13" x14ac:dyDescent="0.25">
      <c r="L110189" s="472"/>
      <c r="M110189" s="472"/>
    </row>
    <row r="110261" spans="12:13" x14ac:dyDescent="0.25">
      <c r="L110261" s="472"/>
      <c r="M110261" s="472"/>
    </row>
    <row r="110262" spans="12:13" x14ac:dyDescent="0.25">
      <c r="L110262" s="472"/>
      <c r="M110262" s="472"/>
    </row>
    <row r="110263" spans="12:13" x14ac:dyDescent="0.25">
      <c r="L110263" s="472"/>
      <c r="M110263" s="472"/>
    </row>
    <row r="110335" spans="12:13" x14ac:dyDescent="0.25">
      <c r="L110335" s="472"/>
      <c r="M110335" s="472"/>
    </row>
    <row r="110336" spans="12:13" x14ac:dyDescent="0.25">
      <c r="L110336" s="472"/>
      <c r="M110336" s="472"/>
    </row>
    <row r="110337" spans="12:13" x14ac:dyDescent="0.25">
      <c r="L110337" s="472"/>
      <c r="M110337" s="472"/>
    </row>
    <row r="110409" spans="12:13" x14ac:dyDescent="0.25">
      <c r="L110409" s="472"/>
      <c r="M110409" s="472"/>
    </row>
    <row r="110410" spans="12:13" x14ac:dyDescent="0.25">
      <c r="L110410" s="472"/>
      <c r="M110410" s="472"/>
    </row>
    <row r="110411" spans="12:13" x14ac:dyDescent="0.25">
      <c r="L110411" s="472"/>
      <c r="M110411" s="472"/>
    </row>
    <row r="110483" spans="12:13" x14ac:dyDescent="0.25">
      <c r="L110483" s="472"/>
      <c r="M110483" s="472"/>
    </row>
    <row r="110484" spans="12:13" x14ac:dyDescent="0.25">
      <c r="L110484" s="472"/>
      <c r="M110484" s="472"/>
    </row>
    <row r="110485" spans="12:13" x14ac:dyDescent="0.25">
      <c r="L110485" s="472"/>
      <c r="M110485" s="472"/>
    </row>
    <row r="110557" spans="12:13" x14ac:dyDescent="0.25">
      <c r="L110557" s="472"/>
      <c r="M110557" s="472"/>
    </row>
    <row r="110558" spans="12:13" x14ac:dyDescent="0.25">
      <c r="L110558" s="472"/>
      <c r="M110558" s="472"/>
    </row>
    <row r="110559" spans="12:13" x14ac:dyDescent="0.25">
      <c r="L110559" s="472"/>
      <c r="M110559" s="472"/>
    </row>
    <row r="110631" spans="12:13" x14ac:dyDescent="0.25">
      <c r="L110631" s="472"/>
      <c r="M110631" s="472"/>
    </row>
    <row r="110632" spans="12:13" x14ac:dyDescent="0.25">
      <c r="L110632" s="472"/>
      <c r="M110632" s="472"/>
    </row>
    <row r="110633" spans="12:13" x14ac:dyDescent="0.25">
      <c r="L110633" s="472"/>
      <c r="M110633" s="472"/>
    </row>
    <row r="110705" spans="12:13" x14ac:dyDescent="0.25">
      <c r="L110705" s="472"/>
      <c r="M110705" s="472"/>
    </row>
    <row r="110706" spans="12:13" x14ac:dyDescent="0.25">
      <c r="L110706" s="472"/>
      <c r="M110706" s="472"/>
    </row>
    <row r="110707" spans="12:13" x14ac:dyDescent="0.25">
      <c r="L110707" s="472"/>
      <c r="M110707" s="472"/>
    </row>
    <row r="110779" spans="12:13" x14ac:dyDescent="0.25">
      <c r="L110779" s="472"/>
      <c r="M110779" s="472"/>
    </row>
    <row r="110780" spans="12:13" x14ac:dyDescent="0.25">
      <c r="L110780" s="472"/>
      <c r="M110780" s="472"/>
    </row>
    <row r="110781" spans="12:13" x14ac:dyDescent="0.25">
      <c r="L110781" s="472"/>
      <c r="M110781" s="472"/>
    </row>
    <row r="110853" spans="12:13" x14ac:dyDescent="0.25">
      <c r="L110853" s="472"/>
      <c r="M110853" s="472"/>
    </row>
    <row r="110854" spans="12:13" x14ac:dyDescent="0.25">
      <c r="L110854" s="472"/>
      <c r="M110854" s="472"/>
    </row>
    <row r="110855" spans="12:13" x14ac:dyDescent="0.25">
      <c r="L110855" s="472"/>
      <c r="M110855" s="472"/>
    </row>
    <row r="110927" spans="12:13" x14ac:dyDescent="0.25">
      <c r="L110927" s="472"/>
      <c r="M110927" s="472"/>
    </row>
    <row r="110928" spans="12:13" x14ac:dyDescent="0.25">
      <c r="L110928" s="472"/>
      <c r="M110928" s="472"/>
    </row>
    <row r="110929" spans="12:13" x14ac:dyDescent="0.25">
      <c r="L110929" s="472"/>
      <c r="M110929" s="472"/>
    </row>
    <row r="111001" spans="12:13" x14ac:dyDescent="0.25">
      <c r="L111001" s="472"/>
      <c r="M111001" s="472"/>
    </row>
    <row r="111002" spans="12:13" x14ac:dyDescent="0.25">
      <c r="L111002" s="472"/>
      <c r="M111002" s="472"/>
    </row>
    <row r="111003" spans="12:13" x14ac:dyDescent="0.25">
      <c r="L111003" s="472"/>
      <c r="M111003" s="472"/>
    </row>
    <row r="111075" spans="12:13" x14ac:dyDescent="0.25">
      <c r="L111075" s="472"/>
      <c r="M111075" s="472"/>
    </row>
    <row r="111076" spans="12:13" x14ac:dyDescent="0.25">
      <c r="L111076" s="472"/>
      <c r="M111076" s="472"/>
    </row>
    <row r="111077" spans="12:13" x14ac:dyDescent="0.25">
      <c r="L111077" s="472"/>
      <c r="M111077" s="472"/>
    </row>
    <row r="111149" spans="12:13" x14ac:dyDescent="0.25">
      <c r="L111149" s="472"/>
      <c r="M111149" s="472"/>
    </row>
    <row r="111150" spans="12:13" x14ac:dyDescent="0.25">
      <c r="L111150" s="472"/>
      <c r="M111150" s="472"/>
    </row>
    <row r="111151" spans="12:13" x14ac:dyDescent="0.25">
      <c r="L111151" s="472"/>
      <c r="M111151" s="472"/>
    </row>
    <row r="111223" spans="12:13" x14ac:dyDescent="0.25">
      <c r="L111223" s="472"/>
      <c r="M111223" s="472"/>
    </row>
    <row r="111224" spans="12:13" x14ac:dyDescent="0.25">
      <c r="L111224" s="472"/>
      <c r="M111224" s="472"/>
    </row>
    <row r="111225" spans="12:13" x14ac:dyDescent="0.25">
      <c r="L111225" s="472"/>
      <c r="M111225" s="472"/>
    </row>
    <row r="111297" spans="12:13" x14ac:dyDescent="0.25">
      <c r="L111297" s="472"/>
      <c r="M111297" s="472"/>
    </row>
    <row r="111298" spans="12:13" x14ac:dyDescent="0.25">
      <c r="L111298" s="472"/>
      <c r="M111298" s="472"/>
    </row>
    <row r="111299" spans="12:13" x14ac:dyDescent="0.25">
      <c r="L111299" s="472"/>
      <c r="M111299" s="472"/>
    </row>
    <row r="111371" spans="12:13" x14ac:dyDescent="0.25">
      <c r="L111371" s="472"/>
      <c r="M111371" s="472"/>
    </row>
    <row r="111372" spans="12:13" x14ac:dyDescent="0.25">
      <c r="L111372" s="472"/>
      <c r="M111372" s="472"/>
    </row>
    <row r="111373" spans="12:13" x14ac:dyDescent="0.25">
      <c r="L111373" s="472"/>
      <c r="M111373" s="472"/>
    </row>
    <row r="111445" spans="12:13" x14ac:dyDescent="0.25">
      <c r="L111445" s="472"/>
      <c r="M111445" s="472"/>
    </row>
    <row r="111446" spans="12:13" x14ac:dyDescent="0.25">
      <c r="L111446" s="472"/>
      <c r="M111446" s="472"/>
    </row>
    <row r="111447" spans="12:13" x14ac:dyDescent="0.25">
      <c r="L111447" s="472"/>
      <c r="M111447" s="472"/>
    </row>
    <row r="111519" spans="12:13" x14ac:dyDescent="0.25">
      <c r="L111519" s="472"/>
      <c r="M111519" s="472"/>
    </row>
    <row r="111520" spans="12:13" x14ac:dyDescent="0.25">
      <c r="L111520" s="472"/>
      <c r="M111520" s="472"/>
    </row>
    <row r="111521" spans="12:13" x14ac:dyDescent="0.25">
      <c r="L111521" s="472"/>
      <c r="M111521" s="472"/>
    </row>
    <row r="111593" spans="12:13" x14ac:dyDescent="0.25">
      <c r="L111593" s="472"/>
      <c r="M111593" s="472"/>
    </row>
    <row r="111594" spans="12:13" x14ac:dyDescent="0.25">
      <c r="L111594" s="472"/>
      <c r="M111594" s="472"/>
    </row>
    <row r="111595" spans="12:13" x14ac:dyDescent="0.25">
      <c r="L111595" s="472"/>
      <c r="M111595" s="472"/>
    </row>
    <row r="111667" spans="12:13" x14ac:dyDescent="0.25">
      <c r="L111667" s="472"/>
      <c r="M111667" s="472"/>
    </row>
    <row r="111668" spans="12:13" x14ac:dyDescent="0.25">
      <c r="L111668" s="472"/>
      <c r="M111668" s="472"/>
    </row>
    <row r="111669" spans="12:13" x14ac:dyDescent="0.25">
      <c r="L111669" s="472"/>
      <c r="M111669" s="472"/>
    </row>
    <row r="111741" spans="12:13" x14ac:dyDescent="0.25">
      <c r="L111741" s="472"/>
      <c r="M111741" s="472"/>
    </row>
    <row r="111742" spans="12:13" x14ac:dyDescent="0.25">
      <c r="L111742" s="472"/>
      <c r="M111742" s="472"/>
    </row>
    <row r="111743" spans="12:13" x14ac:dyDescent="0.25">
      <c r="L111743" s="472"/>
      <c r="M111743" s="472"/>
    </row>
    <row r="111815" spans="12:13" x14ac:dyDescent="0.25">
      <c r="L111815" s="472"/>
      <c r="M111815" s="472"/>
    </row>
    <row r="111816" spans="12:13" x14ac:dyDescent="0.25">
      <c r="L111816" s="472"/>
      <c r="M111816" s="472"/>
    </row>
    <row r="111817" spans="12:13" x14ac:dyDescent="0.25">
      <c r="L111817" s="472"/>
      <c r="M111817" s="472"/>
    </row>
    <row r="111889" spans="12:13" x14ac:dyDescent="0.25">
      <c r="L111889" s="472"/>
      <c r="M111889" s="472"/>
    </row>
    <row r="111890" spans="12:13" x14ac:dyDescent="0.25">
      <c r="L111890" s="472"/>
      <c r="M111890" s="472"/>
    </row>
    <row r="111891" spans="12:13" x14ac:dyDescent="0.25">
      <c r="L111891" s="472"/>
      <c r="M111891" s="472"/>
    </row>
    <row r="111963" spans="12:13" x14ac:dyDescent="0.25">
      <c r="L111963" s="472"/>
      <c r="M111963" s="472"/>
    </row>
    <row r="111964" spans="12:13" x14ac:dyDescent="0.25">
      <c r="L111964" s="472"/>
      <c r="M111964" s="472"/>
    </row>
    <row r="111965" spans="12:13" x14ac:dyDescent="0.25">
      <c r="L111965" s="472"/>
      <c r="M111965" s="472"/>
    </row>
    <row r="112037" spans="12:13" x14ac:dyDescent="0.25">
      <c r="L112037" s="472"/>
      <c r="M112037" s="472"/>
    </row>
    <row r="112038" spans="12:13" x14ac:dyDescent="0.25">
      <c r="L112038" s="472"/>
      <c r="M112038" s="472"/>
    </row>
    <row r="112039" spans="12:13" x14ac:dyDescent="0.25">
      <c r="L112039" s="472"/>
      <c r="M112039" s="472"/>
    </row>
    <row r="112111" spans="12:13" x14ac:dyDescent="0.25">
      <c r="L112111" s="472"/>
      <c r="M112111" s="472"/>
    </row>
    <row r="112112" spans="12:13" x14ac:dyDescent="0.25">
      <c r="L112112" s="472"/>
      <c r="M112112" s="472"/>
    </row>
    <row r="112113" spans="12:13" x14ac:dyDescent="0.25">
      <c r="L112113" s="472"/>
      <c r="M112113" s="472"/>
    </row>
    <row r="112185" spans="12:13" x14ac:dyDescent="0.25">
      <c r="L112185" s="472"/>
      <c r="M112185" s="472"/>
    </row>
    <row r="112186" spans="12:13" x14ac:dyDescent="0.25">
      <c r="L112186" s="472"/>
      <c r="M112186" s="472"/>
    </row>
    <row r="112187" spans="12:13" x14ac:dyDescent="0.25">
      <c r="L112187" s="472"/>
      <c r="M112187" s="472"/>
    </row>
    <row r="112259" spans="12:13" x14ac:dyDescent="0.25">
      <c r="L112259" s="472"/>
      <c r="M112259" s="472"/>
    </row>
    <row r="112260" spans="12:13" x14ac:dyDescent="0.25">
      <c r="L112260" s="472"/>
      <c r="M112260" s="472"/>
    </row>
    <row r="112261" spans="12:13" x14ac:dyDescent="0.25">
      <c r="L112261" s="472"/>
      <c r="M112261" s="472"/>
    </row>
    <row r="112333" spans="12:13" x14ac:dyDescent="0.25">
      <c r="L112333" s="472"/>
      <c r="M112333" s="472"/>
    </row>
    <row r="112334" spans="12:13" x14ac:dyDescent="0.25">
      <c r="L112334" s="472"/>
      <c r="M112334" s="472"/>
    </row>
    <row r="112335" spans="12:13" x14ac:dyDescent="0.25">
      <c r="L112335" s="472"/>
      <c r="M112335" s="472"/>
    </row>
    <row r="112407" spans="12:13" x14ac:dyDescent="0.25">
      <c r="L112407" s="472"/>
      <c r="M112407" s="472"/>
    </row>
    <row r="112408" spans="12:13" x14ac:dyDescent="0.25">
      <c r="L112408" s="472"/>
      <c r="M112408" s="472"/>
    </row>
    <row r="112409" spans="12:13" x14ac:dyDescent="0.25">
      <c r="L112409" s="472"/>
      <c r="M112409" s="472"/>
    </row>
    <row r="112481" spans="12:13" x14ac:dyDescent="0.25">
      <c r="L112481" s="472"/>
      <c r="M112481" s="472"/>
    </row>
    <row r="112482" spans="12:13" x14ac:dyDescent="0.25">
      <c r="L112482" s="472"/>
      <c r="M112482" s="472"/>
    </row>
    <row r="112483" spans="12:13" x14ac:dyDescent="0.25">
      <c r="L112483" s="472"/>
      <c r="M112483" s="472"/>
    </row>
    <row r="112555" spans="12:13" x14ac:dyDescent="0.25">
      <c r="L112555" s="472"/>
      <c r="M112555" s="472"/>
    </row>
    <row r="112556" spans="12:13" x14ac:dyDescent="0.25">
      <c r="L112556" s="472"/>
      <c r="M112556" s="472"/>
    </row>
    <row r="112557" spans="12:13" x14ac:dyDescent="0.25">
      <c r="L112557" s="472"/>
      <c r="M112557" s="472"/>
    </row>
    <row r="112629" spans="12:13" x14ac:dyDescent="0.25">
      <c r="L112629" s="472"/>
      <c r="M112629" s="472"/>
    </row>
    <row r="112630" spans="12:13" x14ac:dyDescent="0.25">
      <c r="L112630" s="472"/>
      <c r="M112630" s="472"/>
    </row>
    <row r="112631" spans="12:13" x14ac:dyDescent="0.25">
      <c r="L112631" s="472"/>
      <c r="M112631" s="472"/>
    </row>
    <row r="112703" spans="12:13" x14ac:dyDescent="0.25">
      <c r="L112703" s="472"/>
      <c r="M112703" s="472"/>
    </row>
    <row r="112704" spans="12:13" x14ac:dyDescent="0.25">
      <c r="L112704" s="472"/>
      <c r="M112704" s="472"/>
    </row>
    <row r="112705" spans="12:13" x14ac:dyDescent="0.25">
      <c r="L112705" s="472"/>
      <c r="M112705" s="472"/>
    </row>
    <row r="112777" spans="12:13" x14ac:dyDescent="0.25">
      <c r="L112777" s="472"/>
      <c r="M112777" s="472"/>
    </row>
    <row r="112778" spans="12:13" x14ac:dyDescent="0.25">
      <c r="L112778" s="472"/>
      <c r="M112778" s="472"/>
    </row>
    <row r="112779" spans="12:13" x14ac:dyDescent="0.25">
      <c r="L112779" s="472"/>
      <c r="M112779" s="472"/>
    </row>
    <row r="112851" spans="12:13" x14ac:dyDescent="0.25">
      <c r="L112851" s="472"/>
      <c r="M112851" s="472"/>
    </row>
    <row r="112852" spans="12:13" x14ac:dyDescent="0.25">
      <c r="L112852" s="472"/>
      <c r="M112852" s="472"/>
    </row>
    <row r="112853" spans="12:13" x14ac:dyDescent="0.25">
      <c r="L112853" s="472"/>
      <c r="M112853" s="472"/>
    </row>
    <row r="112925" spans="12:13" x14ac:dyDescent="0.25">
      <c r="L112925" s="472"/>
      <c r="M112925" s="472"/>
    </row>
    <row r="112926" spans="12:13" x14ac:dyDescent="0.25">
      <c r="L112926" s="472"/>
      <c r="M112926" s="472"/>
    </row>
    <row r="112927" spans="12:13" x14ac:dyDescent="0.25">
      <c r="L112927" s="472"/>
      <c r="M112927" s="472"/>
    </row>
    <row r="112999" spans="12:13" x14ac:dyDescent="0.25">
      <c r="L112999" s="472"/>
      <c r="M112999" s="472"/>
    </row>
    <row r="113000" spans="12:13" x14ac:dyDescent="0.25">
      <c r="L113000" s="472"/>
      <c r="M113000" s="472"/>
    </row>
    <row r="113001" spans="12:13" x14ac:dyDescent="0.25">
      <c r="L113001" s="472"/>
      <c r="M113001" s="472"/>
    </row>
    <row r="113073" spans="12:13" x14ac:dyDescent="0.25">
      <c r="L113073" s="472"/>
      <c r="M113073" s="472"/>
    </row>
    <row r="113074" spans="12:13" x14ac:dyDescent="0.25">
      <c r="L113074" s="472"/>
      <c r="M113074" s="472"/>
    </row>
    <row r="113075" spans="12:13" x14ac:dyDescent="0.25">
      <c r="L113075" s="472"/>
      <c r="M113075" s="472"/>
    </row>
    <row r="113147" spans="12:13" x14ac:dyDescent="0.25">
      <c r="L113147" s="472"/>
      <c r="M113147" s="472"/>
    </row>
    <row r="113148" spans="12:13" x14ac:dyDescent="0.25">
      <c r="L113148" s="472"/>
      <c r="M113148" s="472"/>
    </row>
    <row r="113149" spans="12:13" x14ac:dyDescent="0.25">
      <c r="L113149" s="472"/>
      <c r="M113149" s="472"/>
    </row>
    <row r="113221" spans="12:13" x14ac:dyDescent="0.25">
      <c r="L113221" s="472"/>
      <c r="M113221" s="472"/>
    </row>
    <row r="113222" spans="12:13" x14ac:dyDescent="0.25">
      <c r="L113222" s="472"/>
      <c r="M113222" s="472"/>
    </row>
    <row r="113223" spans="12:13" x14ac:dyDescent="0.25">
      <c r="L113223" s="472"/>
      <c r="M113223" s="472"/>
    </row>
    <row r="113295" spans="12:13" x14ac:dyDescent="0.25">
      <c r="L113295" s="472"/>
      <c r="M113295" s="472"/>
    </row>
    <row r="113296" spans="12:13" x14ac:dyDescent="0.25">
      <c r="L113296" s="472"/>
      <c r="M113296" s="472"/>
    </row>
    <row r="113297" spans="12:13" x14ac:dyDescent="0.25">
      <c r="L113297" s="472"/>
      <c r="M113297" s="472"/>
    </row>
    <row r="113369" spans="12:13" x14ac:dyDescent="0.25">
      <c r="L113369" s="472"/>
      <c r="M113369" s="472"/>
    </row>
    <row r="113370" spans="12:13" x14ac:dyDescent="0.25">
      <c r="L113370" s="472"/>
      <c r="M113370" s="472"/>
    </row>
    <row r="113371" spans="12:13" x14ac:dyDescent="0.25">
      <c r="L113371" s="472"/>
      <c r="M113371" s="472"/>
    </row>
    <row r="113443" spans="12:13" x14ac:dyDescent="0.25">
      <c r="L113443" s="472"/>
      <c r="M113443" s="472"/>
    </row>
    <row r="113444" spans="12:13" x14ac:dyDescent="0.25">
      <c r="L113444" s="472"/>
      <c r="M113444" s="472"/>
    </row>
    <row r="113445" spans="12:13" x14ac:dyDescent="0.25">
      <c r="L113445" s="472"/>
      <c r="M113445" s="472"/>
    </row>
    <row r="113517" spans="12:13" x14ac:dyDescent="0.25">
      <c r="L113517" s="472"/>
      <c r="M113517" s="472"/>
    </row>
    <row r="113518" spans="12:13" x14ac:dyDescent="0.25">
      <c r="L113518" s="472"/>
      <c r="M113518" s="472"/>
    </row>
    <row r="113519" spans="12:13" x14ac:dyDescent="0.25">
      <c r="L113519" s="472"/>
      <c r="M113519" s="472"/>
    </row>
    <row r="113591" spans="12:13" x14ac:dyDescent="0.25">
      <c r="L113591" s="472"/>
      <c r="M113591" s="472"/>
    </row>
    <row r="113592" spans="12:13" x14ac:dyDescent="0.25">
      <c r="L113592" s="472"/>
      <c r="M113592" s="472"/>
    </row>
    <row r="113593" spans="12:13" x14ac:dyDescent="0.25">
      <c r="L113593" s="472"/>
      <c r="M113593" s="472"/>
    </row>
    <row r="113665" spans="12:13" x14ac:dyDescent="0.25">
      <c r="L113665" s="472"/>
      <c r="M113665" s="472"/>
    </row>
    <row r="113666" spans="12:13" x14ac:dyDescent="0.25">
      <c r="L113666" s="472"/>
      <c r="M113666" s="472"/>
    </row>
    <row r="113667" spans="12:13" x14ac:dyDescent="0.25">
      <c r="L113667" s="472"/>
      <c r="M113667" s="472"/>
    </row>
    <row r="113739" spans="12:13" x14ac:dyDescent="0.25">
      <c r="L113739" s="472"/>
      <c r="M113739" s="472"/>
    </row>
    <row r="113740" spans="12:13" x14ac:dyDescent="0.25">
      <c r="L113740" s="472"/>
      <c r="M113740" s="472"/>
    </row>
    <row r="113741" spans="12:13" x14ac:dyDescent="0.25">
      <c r="L113741" s="472"/>
      <c r="M113741" s="472"/>
    </row>
    <row r="113813" spans="12:13" x14ac:dyDescent="0.25">
      <c r="L113813" s="472"/>
      <c r="M113813" s="472"/>
    </row>
    <row r="113814" spans="12:13" x14ac:dyDescent="0.25">
      <c r="L113814" s="472"/>
      <c r="M113814" s="472"/>
    </row>
    <row r="113815" spans="12:13" x14ac:dyDescent="0.25">
      <c r="L113815" s="472"/>
      <c r="M113815" s="472"/>
    </row>
    <row r="113887" spans="12:13" x14ac:dyDescent="0.25">
      <c r="L113887" s="472"/>
      <c r="M113887" s="472"/>
    </row>
    <row r="113888" spans="12:13" x14ac:dyDescent="0.25">
      <c r="L113888" s="472"/>
      <c r="M113888" s="472"/>
    </row>
    <row r="113889" spans="12:13" x14ac:dyDescent="0.25">
      <c r="L113889" s="472"/>
      <c r="M113889" s="472"/>
    </row>
    <row r="113961" spans="12:13" x14ac:dyDescent="0.25">
      <c r="L113961" s="472"/>
      <c r="M113961" s="472"/>
    </row>
    <row r="113962" spans="12:13" x14ac:dyDescent="0.25">
      <c r="L113962" s="472"/>
      <c r="M113962" s="472"/>
    </row>
    <row r="113963" spans="12:13" x14ac:dyDescent="0.25">
      <c r="L113963" s="472"/>
      <c r="M113963" s="472"/>
    </row>
    <row r="114035" spans="12:13" x14ac:dyDescent="0.25">
      <c r="L114035" s="472"/>
      <c r="M114035" s="472"/>
    </row>
    <row r="114036" spans="12:13" x14ac:dyDescent="0.25">
      <c r="L114036" s="472"/>
      <c r="M114036" s="472"/>
    </row>
    <row r="114037" spans="12:13" x14ac:dyDescent="0.25">
      <c r="L114037" s="472"/>
      <c r="M114037" s="472"/>
    </row>
    <row r="114109" spans="12:13" x14ac:dyDescent="0.25">
      <c r="L114109" s="472"/>
      <c r="M114109" s="472"/>
    </row>
    <row r="114110" spans="12:13" x14ac:dyDescent="0.25">
      <c r="L114110" s="472"/>
      <c r="M114110" s="472"/>
    </row>
    <row r="114111" spans="12:13" x14ac:dyDescent="0.25">
      <c r="L114111" s="472"/>
      <c r="M114111" s="472"/>
    </row>
    <row r="114183" spans="12:13" x14ac:dyDescent="0.25">
      <c r="L114183" s="472"/>
      <c r="M114183" s="472"/>
    </row>
    <row r="114184" spans="12:13" x14ac:dyDescent="0.25">
      <c r="L114184" s="472"/>
      <c r="M114184" s="472"/>
    </row>
    <row r="114185" spans="12:13" x14ac:dyDescent="0.25">
      <c r="L114185" s="472"/>
      <c r="M114185" s="472"/>
    </row>
    <row r="114257" spans="12:13" x14ac:dyDescent="0.25">
      <c r="L114257" s="472"/>
      <c r="M114257" s="472"/>
    </row>
    <row r="114258" spans="12:13" x14ac:dyDescent="0.25">
      <c r="L114258" s="472"/>
      <c r="M114258" s="472"/>
    </row>
    <row r="114259" spans="12:13" x14ac:dyDescent="0.25">
      <c r="L114259" s="472"/>
      <c r="M114259" s="472"/>
    </row>
    <row r="114331" spans="12:13" x14ac:dyDescent="0.25">
      <c r="L114331" s="472"/>
      <c r="M114331" s="472"/>
    </row>
    <row r="114332" spans="12:13" x14ac:dyDescent="0.25">
      <c r="L114332" s="472"/>
      <c r="M114332" s="472"/>
    </row>
    <row r="114333" spans="12:13" x14ac:dyDescent="0.25">
      <c r="L114333" s="472"/>
      <c r="M114333" s="472"/>
    </row>
    <row r="114405" spans="12:13" x14ac:dyDescent="0.25">
      <c r="L114405" s="472"/>
      <c r="M114405" s="472"/>
    </row>
    <row r="114406" spans="12:13" x14ac:dyDescent="0.25">
      <c r="L114406" s="472"/>
      <c r="M114406" s="472"/>
    </row>
    <row r="114407" spans="12:13" x14ac:dyDescent="0.25">
      <c r="L114407" s="472"/>
      <c r="M114407" s="472"/>
    </row>
    <row r="114479" spans="12:13" x14ac:dyDescent="0.25">
      <c r="L114479" s="472"/>
      <c r="M114479" s="472"/>
    </row>
    <row r="114480" spans="12:13" x14ac:dyDescent="0.25">
      <c r="L114480" s="472"/>
      <c r="M114480" s="472"/>
    </row>
    <row r="114481" spans="12:13" x14ac:dyDescent="0.25">
      <c r="L114481" s="472"/>
      <c r="M114481" s="472"/>
    </row>
    <row r="114553" spans="12:13" x14ac:dyDescent="0.25">
      <c r="L114553" s="472"/>
      <c r="M114553" s="472"/>
    </row>
    <row r="114554" spans="12:13" x14ac:dyDescent="0.25">
      <c r="L114554" s="472"/>
      <c r="M114554" s="472"/>
    </row>
    <row r="114555" spans="12:13" x14ac:dyDescent="0.25">
      <c r="L114555" s="472"/>
      <c r="M114555" s="472"/>
    </row>
    <row r="114627" spans="12:13" x14ac:dyDescent="0.25">
      <c r="L114627" s="472"/>
      <c r="M114627" s="472"/>
    </row>
    <row r="114628" spans="12:13" x14ac:dyDescent="0.25">
      <c r="L114628" s="472"/>
      <c r="M114628" s="472"/>
    </row>
    <row r="114629" spans="12:13" x14ac:dyDescent="0.25">
      <c r="L114629" s="472"/>
      <c r="M114629" s="472"/>
    </row>
    <row r="114701" spans="12:13" x14ac:dyDescent="0.25">
      <c r="L114701" s="472"/>
      <c r="M114701" s="472"/>
    </row>
    <row r="114702" spans="12:13" x14ac:dyDescent="0.25">
      <c r="L114702" s="472"/>
      <c r="M114702" s="472"/>
    </row>
    <row r="114703" spans="12:13" x14ac:dyDescent="0.25">
      <c r="L114703" s="472"/>
      <c r="M114703" s="472"/>
    </row>
    <row r="114775" spans="12:13" x14ac:dyDescent="0.25">
      <c r="L114775" s="472"/>
      <c r="M114775" s="472"/>
    </row>
    <row r="114776" spans="12:13" x14ac:dyDescent="0.25">
      <c r="L114776" s="472"/>
      <c r="M114776" s="472"/>
    </row>
    <row r="114777" spans="12:13" x14ac:dyDescent="0.25">
      <c r="L114777" s="472"/>
      <c r="M114777" s="472"/>
    </row>
    <row r="114849" spans="12:13" x14ac:dyDescent="0.25">
      <c r="L114849" s="472"/>
      <c r="M114849" s="472"/>
    </row>
    <row r="114850" spans="12:13" x14ac:dyDescent="0.25">
      <c r="L114850" s="472"/>
      <c r="M114850" s="472"/>
    </row>
    <row r="114851" spans="12:13" x14ac:dyDescent="0.25">
      <c r="L114851" s="472"/>
      <c r="M114851" s="472"/>
    </row>
    <row r="114923" spans="12:13" x14ac:dyDescent="0.25">
      <c r="L114923" s="472"/>
      <c r="M114923" s="472"/>
    </row>
    <row r="114924" spans="12:13" x14ac:dyDescent="0.25">
      <c r="L114924" s="472"/>
      <c r="M114924" s="472"/>
    </row>
    <row r="114925" spans="12:13" x14ac:dyDescent="0.25">
      <c r="L114925" s="472"/>
      <c r="M114925" s="472"/>
    </row>
    <row r="114997" spans="12:13" x14ac:dyDescent="0.25">
      <c r="L114997" s="472"/>
      <c r="M114997" s="472"/>
    </row>
    <row r="114998" spans="12:13" x14ac:dyDescent="0.25">
      <c r="L114998" s="472"/>
      <c r="M114998" s="472"/>
    </row>
    <row r="114999" spans="12:13" x14ac:dyDescent="0.25">
      <c r="L114999" s="472"/>
      <c r="M114999" s="472"/>
    </row>
    <row r="115071" spans="12:13" x14ac:dyDescent="0.25">
      <c r="L115071" s="472"/>
      <c r="M115071" s="472"/>
    </row>
    <row r="115072" spans="12:13" x14ac:dyDescent="0.25">
      <c r="L115072" s="472"/>
      <c r="M115072" s="472"/>
    </row>
    <row r="115073" spans="12:13" x14ac:dyDescent="0.25">
      <c r="L115073" s="472"/>
      <c r="M115073" s="472"/>
    </row>
    <row r="115145" spans="12:13" x14ac:dyDescent="0.25">
      <c r="L115145" s="472"/>
      <c r="M115145" s="472"/>
    </row>
    <row r="115146" spans="12:13" x14ac:dyDescent="0.25">
      <c r="L115146" s="472"/>
      <c r="M115146" s="472"/>
    </row>
    <row r="115147" spans="12:13" x14ac:dyDescent="0.25">
      <c r="L115147" s="472"/>
      <c r="M115147" s="472"/>
    </row>
    <row r="115219" spans="12:13" x14ac:dyDescent="0.25">
      <c r="L115219" s="472"/>
      <c r="M115219" s="472"/>
    </row>
    <row r="115220" spans="12:13" x14ac:dyDescent="0.25">
      <c r="L115220" s="472"/>
      <c r="M115220" s="472"/>
    </row>
    <row r="115221" spans="12:13" x14ac:dyDescent="0.25">
      <c r="L115221" s="472"/>
      <c r="M115221" s="472"/>
    </row>
    <row r="115293" spans="12:13" x14ac:dyDescent="0.25">
      <c r="L115293" s="472"/>
      <c r="M115293" s="472"/>
    </row>
    <row r="115294" spans="12:13" x14ac:dyDescent="0.25">
      <c r="L115294" s="472"/>
      <c r="M115294" s="472"/>
    </row>
    <row r="115295" spans="12:13" x14ac:dyDescent="0.25">
      <c r="L115295" s="472"/>
      <c r="M115295" s="472"/>
    </row>
    <row r="115367" spans="12:13" x14ac:dyDescent="0.25">
      <c r="L115367" s="472"/>
      <c r="M115367" s="472"/>
    </row>
    <row r="115368" spans="12:13" x14ac:dyDescent="0.25">
      <c r="L115368" s="472"/>
      <c r="M115368" s="472"/>
    </row>
    <row r="115369" spans="12:13" x14ac:dyDescent="0.25">
      <c r="L115369" s="472"/>
      <c r="M115369" s="472"/>
    </row>
    <row r="115441" spans="12:13" x14ac:dyDescent="0.25">
      <c r="L115441" s="472"/>
      <c r="M115441" s="472"/>
    </row>
    <row r="115442" spans="12:13" x14ac:dyDescent="0.25">
      <c r="L115442" s="472"/>
      <c r="M115442" s="472"/>
    </row>
    <row r="115443" spans="12:13" x14ac:dyDescent="0.25">
      <c r="L115443" s="472"/>
      <c r="M115443" s="472"/>
    </row>
    <row r="115515" spans="12:13" x14ac:dyDescent="0.25">
      <c r="L115515" s="472"/>
      <c r="M115515" s="472"/>
    </row>
    <row r="115516" spans="12:13" x14ac:dyDescent="0.25">
      <c r="L115516" s="472"/>
      <c r="M115516" s="472"/>
    </row>
    <row r="115517" spans="12:13" x14ac:dyDescent="0.25">
      <c r="L115517" s="472"/>
      <c r="M115517" s="472"/>
    </row>
    <row r="115589" spans="12:13" x14ac:dyDescent="0.25">
      <c r="L115589" s="472"/>
      <c r="M115589" s="472"/>
    </row>
    <row r="115590" spans="12:13" x14ac:dyDescent="0.25">
      <c r="L115590" s="472"/>
      <c r="M115590" s="472"/>
    </row>
    <row r="115591" spans="12:13" x14ac:dyDescent="0.25">
      <c r="L115591" s="472"/>
      <c r="M115591" s="472"/>
    </row>
    <row r="115663" spans="12:13" x14ac:dyDescent="0.25">
      <c r="L115663" s="472"/>
      <c r="M115663" s="472"/>
    </row>
    <row r="115664" spans="12:13" x14ac:dyDescent="0.25">
      <c r="L115664" s="472"/>
      <c r="M115664" s="472"/>
    </row>
    <row r="115665" spans="12:13" x14ac:dyDescent="0.25">
      <c r="L115665" s="472"/>
      <c r="M115665" s="472"/>
    </row>
    <row r="115737" spans="12:13" x14ac:dyDescent="0.25">
      <c r="L115737" s="472"/>
      <c r="M115737" s="472"/>
    </row>
    <row r="115738" spans="12:13" x14ac:dyDescent="0.25">
      <c r="L115738" s="472"/>
      <c r="M115738" s="472"/>
    </row>
    <row r="115739" spans="12:13" x14ac:dyDescent="0.25">
      <c r="L115739" s="472"/>
      <c r="M115739" s="472"/>
    </row>
    <row r="115811" spans="12:13" x14ac:dyDescent="0.25">
      <c r="L115811" s="472"/>
      <c r="M115811" s="472"/>
    </row>
    <row r="115812" spans="12:13" x14ac:dyDescent="0.25">
      <c r="L115812" s="472"/>
      <c r="M115812" s="472"/>
    </row>
    <row r="115813" spans="12:13" x14ac:dyDescent="0.25">
      <c r="L115813" s="472"/>
      <c r="M115813" s="472"/>
    </row>
    <row r="115885" spans="12:13" x14ac:dyDescent="0.25">
      <c r="L115885" s="472"/>
      <c r="M115885" s="472"/>
    </row>
    <row r="115886" spans="12:13" x14ac:dyDescent="0.25">
      <c r="L115886" s="472"/>
      <c r="M115886" s="472"/>
    </row>
    <row r="115887" spans="12:13" x14ac:dyDescent="0.25">
      <c r="L115887" s="472"/>
      <c r="M115887" s="472"/>
    </row>
    <row r="115959" spans="12:13" x14ac:dyDescent="0.25">
      <c r="L115959" s="472"/>
      <c r="M115959" s="472"/>
    </row>
    <row r="115960" spans="12:13" x14ac:dyDescent="0.25">
      <c r="L115960" s="472"/>
      <c r="M115960" s="472"/>
    </row>
    <row r="115961" spans="12:13" x14ac:dyDescent="0.25">
      <c r="L115961" s="472"/>
      <c r="M115961" s="472"/>
    </row>
    <row r="116033" spans="12:13" x14ac:dyDescent="0.25">
      <c r="L116033" s="472"/>
      <c r="M116033" s="472"/>
    </row>
    <row r="116034" spans="12:13" x14ac:dyDescent="0.25">
      <c r="L116034" s="472"/>
      <c r="M116034" s="472"/>
    </row>
    <row r="116035" spans="12:13" x14ac:dyDescent="0.25">
      <c r="L116035" s="472"/>
      <c r="M116035" s="472"/>
    </row>
    <row r="116107" spans="12:13" x14ac:dyDescent="0.25">
      <c r="L116107" s="472"/>
      <c r="M116107" s="472"/>
    </row>
    <row r="116108" spans="12:13" x14ac:dyDescent="0.25">
      <c r="L116108" s="472"/>
      <c r="M116108" s="472"/>
    </row>
    <row r="116109" spans="12:13" x14ac:dyDescent="0.25">
      <c r="L116109" s="472"/>
      <c r="M116109" s="472"/>
    </row>
    <row r="116181" spans="12:13" x14ac:dyDescent="0.25">
      <c r="L116181" s="472"/>
      <c r="M116181" s="472"/>
    </row>
    <row r="116182" spans="12:13" x14ac:dyDescent="0.25">
      <c r="L116182" s="472"/>
      <c r="M116182" s="472"/>
    </row>
    <row r="116183" spans="12:13" x14ac:dyDescent="0.25">
      <c r="L116183" s="472"/>
      <c r="M116183" s="472"/>
    </row>
    <row r="116255" spans="12:13" x14ac:dyDescent="0.25">
      <c r="L116255" s="472"/>
      <c r="M116255" s="472"/>
    </row>
    <row r="116256" spans="12:13" x14ac:dyDescent="0.25">
      <c r="L116256" s="472"/>
      <c r="M116256" s="472"/>
    </row>
    <row r="116257" spans="12:13" x14ac:dyDescent="0.25">
      <c r="L116257" s="472"/>
      <c r="M116257" s="472"/>
    </row>
    <row r="116329" spans="12:13" x14ac:dyDescent="0.25">
      <c r="L116329" s="472"/>
      <c r="M116329" s="472"/>
    </row>
    <row r="116330" spans="12:13" x14ac:dyDescent="0.25">
      <c r="L116330" s="472"/>
      <c r="M116330" s="472"/>
    </row>
    <row r="116331" spans="12:13" x14ac:dyDescent="0.25">
      <c r="L116331" s="472"/>
      <c r="M116331" s="472"/>
    </row>
    <row r="116403" spans="12:13" x14ac:dyDescent="0.25">
      <c r="L116403" s="472"/>
      <c r="M116403" s="472"/>
    </row>
    <row r="116404" spans="12:13" x14ac:dyDescent="0.25">
      <c r="L116404" s="472"/>
      <c r="M116404" s="472"/>
    </row>
    <row r="116405" spans="12:13" x14ac:dyDescent="0.25">
      <c r="L116405" s="472"/>
      <c r="M116405" s="472"/>
    </row>
    <row r="116477" spans="12:13" x14ac:dyDescent="0.25">
      <c r="L116477" s="472"/>
      <c r="M116477" s="472"/>
    </row>
    <row r="116478" spans="12:13" x14ac:dyDescent="0.25">
      <c r="L116478" s="472"/>
      <c r="M116478" s="472"/>
    </row>
    <row r="116479" spans="12:13" x14ac:dyDescent="0.25">
      <c r="L116479" s="472"/>
      <c r="M116479" s="472"/>
    </row>
    <row r="116551" spans="12:13" x14ac:dyDescent="0.25">
      <c r="L116551" s="472"/>
      <c r="M116551" s="472"/>
    </row>
    <row r="116552" spans="12:13" x14ac:dyDescent="0.25">
      <c r="L116552" s="472"/>
      <c r="M116552" s="472"/>
    </row>
    <row r="116553" spans="12:13" x14ac:dyDescent="0.25">
      <c r="L116553" s="472"/>
      <c r="M116553" s="472"/>
    </row>
    <row r="116625" spans="12:13" x14ac:dyDescent="0.25">
      <c r="L116625" s="472"/>
      <c r="M116625" s="472"/>
    </row>
    <row r="116626" spans="12:13" x14ac:dyDescent="0.25">
      <c r="L116626" s="472"/>
      <c r="M116626" s="472"/>
    </row>
    <row r="116627" spans="12:13" x14ac:dyDescent="0.25">
      <c r="L116627" s="472"/>
      <c r="M116627" s="472"/>
    </row>
    <row r="116699" spans="12:13" x14ac:dyDescent="0.25">
      <c r="L116699" s="472"/>
      <c r="M116699" s="472"/>
    </row>
    <row r="116700" spans="12:13" x14ac:dyDescent="0.25">
      <c r="L116700" s="472"/>
      <c r="M116700" s="472"/>
    </row>
    <row r="116701" spans="12:13" x14ac:dyDescent="0.25">
      <c r="L116701" s="472"/>
      <c r="M116701" s="472"/>
    </row>
    <row r="116773" spans="12:13" x14ac:dyDescent="0.25">
      <c r="L116773" s="472"/>
      <c r="M116773" s="472"/>
    </row>
    <row r="116774" spans="12:13" x14ac:dyDescent="0.25">
      <c r="L116774" s="472"/>
      <c r="M116774" s="472"/>
    </row>
    <row r="116775" spans="12:13" x14ac:dyDescent="0.25">
      <c r="L116775" s="472"/>
      <c r="M116775" s="472"/>
    </row>
    <row r="116847" spans="12:13" x14ac:dyDescent="0.25">
      <c r="L116847" s="472"/>
      <c r="M116847" s="472"/>
    </row>
    <row r="116848" spans="12:13" x14ac:dyDescent="0.25">
      <c r="L116848" s="472"/>
      <c r="M116848" s="472"/>
    </row>
    <row r="116849" spans="12:13" x14ac:dyDescent="0.25">
      <c r="L116849" s="472"/>
      <c r="M116849" s="472"/>
    </row>
    <row r="116921" spans="12:13" x14ac:dyDescent="0.25">
      <c r="L116921" s="472"/>
      <c r="M116921" s="472"/>
    </row>
    <row r="116922" spans="12:13" x14ac:dyDescent="0.25">
      <c r="L116922" s="472"/>
      <c r="M116922" s="472"/>
    </row>
    <row r="116923" spans="12:13" x14ac:dyDescent="0.25">
      <c r="L116923" s="472"/>
      <c r="M116923" s="472"/>
    </row>
    <row r="116995" spans="12:13" x14ac:dyDescent="0.25">
      <c r="L116995" s="472"/>
      <c r="M116995" s="472"/>
    </row>
    <row r="116996" spans="12:13" x14ac:dyDescent="0.25">
      <c r="L116996" s="472"/>
      <c r="M116996" s="472"/>
    </row>
    <row r="116997" spans="12:13" x14ac:dyDescent="0.25">
      <c r="L116997" s="472"/>
      <c r="M116997" s="472"/>
    </row>
    <row r="117069" spans="12:13" x14ac:dyDescent="0.25">
      <c r="L117069" s="472"/>
      <c r="M117069" s="472"/>
    </row>
    <row r="117070" spans="12:13" x14ac:dyDescent="0.25">
      <c r="L117070" s="472"/>
      <c r="M117070" s="472"/>
    </row>
    <row r="117071" spans="12:13" x14ac:dyDescent="0.25">
      <c r="L117071" s="472"/>
      <c r="M117071" s="472"/>
    </row>
    <row r="117143" spans="12:13" x14ac:dyDescent="0.25">
      <c r="L117143" s="472"/>
      <c r="M117143" s="472"/>
    </row>
    <row r="117144" spans="12:13" x14ac:dyDescent="0.25">
      <c r="L117144" s="472"/>
      <c r="M117144" s="472"/>
    </row>
    <row r="117145" spans="12:13" x14ac:dyDescent="0.25">
      <c r="L117145" s="472"/>
      <c r="M117145" s="472"/>
    </row>
    <row r="117217" spans="12:13" x14ac:dyDescent="0.25">
      <c r="L117217" s="472"/>
      <c r="M117217" s="472"/>
    </row>
    <row r="117218" spans="12:13" x14ac:dyDescent="0.25">
      <c r="L117218" s="472"/>
      <c r="M117218" s="472"/>
    </row>
    <row r="117219" spans="12:13" x14ac:dyDescent="0.25">
      <c r="L117219" s="472"/>
      <c r="M117219" s="472"/>
    </row>
    <row r="117291" spans="12:13" x14ac:dyDescent="0.25">
      <c r="L117291" s="472"/>
      <c r="M117291" s="472"/>
    </row>
    <row r="117292" spans="12:13" x14ac:dyDescent="0.25">
      <c r="L117292" s="472"/>
      <c r="M117292" s="472"/>
    </row>
    <row r="117293" spans="12:13" x14ac:dyDescent="0.25">
      <c r="L117293" s="472"/>
      <c r="M117293" s="472"/>
    </row>
    <row r="117365" spans="12:13" x14ac:dyDescent="0.25">
      <c r="L117365" s="472"/>
      <c r="M117365" s="472"/>
    </row>
    <row r="117366" spans="12:13" x14ac:dyDescent="0.25">
      <c r="L117366" s="472"/>
      <c r="M117366" s="472"/>
    </row>
    <row r="117367" spans="12:13" x14ac:dyDescent="0.25">
      <c r="L117367" s="472"/>
      <c r="M117367" s="472"/>
    </row>
    <row r="117439" spans="12:13" x14ac:dyDescent="0.25">
      <c r="L117439" s="472"/>
      <c r="M117439" s="472"/>
    </row>
    <row r="117440" spans="12:13" x14ac:dyDescent="0.25">
      <c r="L117440" s="472"/>
      <c r="M117440" s="472"/>
    </row>
    <row r="117441" spans="12:13" x14ac:dyDescent="0.25">
      <c r="L117441" s="472"/>
      <c r="M117441" s="472"/>
    </row>
    <row r="117513" spans="12:13" x14ac:dyDescent="0.25">
      <c r="L117513" s="472"/>
      <c r="M117513" s="472"/>
    </row>
    <row r="117514" spans="12:13" x14ac:dyDescent="0.25">
      <c r="L117514" s="472"/>
      <c r="M117514" s="472"/>
    </row>
    <row r="117515" spans="12:13" x14ac:dyDescent="0.25">
      <c r="L117515" s="472"/>
      <c r="M117515" s="472"/>
    </row>
    <row r="117587" spans="12:13" x14ac:dyDescent="0.25">
      <c r="L117587" s="472"/>
      <c r="M117587" s="472"/>
    </row>
    <row r="117588" spans="12:13" x14ac:dyDescent="0.25">
      <c r="L117588" s="472"/>
      <c r="M117588" s="472"/>
    </row>
    <row r="117589" spans="12:13" x14ac:dyDescent="0.25">
      <c r="L117589" s="472"/>
      <c r="M117589" s="472"/>
    </row>
    <row r="117661" spans="12:13" x14ac:dyDescent="0.25">
      <c r="L117661" s="472"/>
      <c r="M117661" s="472"/>
    </row>
    <row r="117662" spans="12:13" x14ac:dyDescent="0.25">
      <c r="L117662" s="472"/>
      <c r="M117662" s="472"/>
    </row>
    <row r="117663" spans="12:13" x14ac:dyDescent="0.25">
      <c r="L117663" s="472"/>
      <c r="M117663" s="472"/>
    </row>
    <row r="117735" spans="12:13" x14ac:dyDescent="0.25">
      <c r="L117735" s="472"/>
      <c r="M117735" s="472"/>
    </row>
    <row r="117736" spans="12:13" x14ac:dyDescent="0.25">
      <c r="L117736" s="472"/>
      <c r="M117736" s="472"/>
    </row>
    <row r="117737" spans="12:13" x14ac:dyDescent="0.25">
      <c r="L117737" s="472"/>
      <c r="M117737" s="472"/>
    </row>
    <row r="117809" spans="12:13" x14ac:dyDescent="0.25">
      <c r="L117809" s="472"/>
      <c r="M117809" s="472"/>
    </row>
    <row r="117810" spans="12:13" x14ac:dyDescent="0.25">
      <c r="L117810" s="472"/>
      <c r="M117810" s="472"/>
    </row>
    <row r="117811" spans="12:13" x14ac:dyDescent="0.25">
      <c r="L117811" s="472"/>
      <c r="M117811" s="472"/>
    </row>
    <row r="117883" spans="12:13" x14ac:dyDescent="0.25">
      <c r="L117883" s="472"/>
      <c r="M117883" s="472"/>
    </row>
    <row r="117884" spans="12:13" x14ac:dyDescent="0.25">
      <c r="L117884" s="472"/>
      <c r="M117884" s="472"/>
    </row>
    <row r="117885" spans="12:13" x14ac:dyDescent="0.25">
      <c r="L117885" s="472"/>
      <c r="M117885" s="472"/>
    </row>
    <row r="117957" spans="12:13" x14ac:dyDescent="0.25">
      <c r="L117957" s="472"/>
      <c r="M117957" s="472"/>
    </row>
    <row r="117958" spans="12:13" x14ac:dyDescent="0.25">
      <c r="L117958" s="472"/>
      <c r="M117958" s="472"/>
    </row>
    <row r="117959" spans="12:13" x14ac:dyDescent="0.25">
      <c r="L117959" s="472"/>
      <c r="M117959" s="472"/>
    </row>
    <row r="118031" spans="12:13" x14ac:dyDescent="0.25">
      <c r="L118031" s="472"/>
      <c r="M118031" s="472"/>
    </row>
    <row r="118032" spans="12:13" x14ac:dyDescent="0.25">
      <c r="L118032" s="472"/>
      <c r="M118032" s="472"/>
    </row>
    <row r="118033" spans="12:13" x14ac:dyDescent="0.25">
      <c r="L118033" s="472"/>
      <c r="M118033" s="472"/>
    </row>
    <row r="118105" spans="12:13" x14ac:dyDescent="0.25">
      <c r="L118105" s="472"/>
      <c r="M118105" s="472"/>
    </row>
    <row r="118106" spans="12:13" x14ac:dyDescent="0.25">
      <c r="L118106" s="472"/>
      <c r="M118106" s="472"/>
    </row>
    <row r="118107" spans="12:13" x14ac:dyDescent="0.25">
      <c r="L118107" s="472"/>
      <c r="M118107" s="472"/>
    </row>
    <row r="118179" spans="12:13" x14ac:dyDescent="0.25">
      <c r="L118179" s="472"/>
      <c r="M118179" s="472"/>
    </row>
    <row r="118180" spans="12:13" x14ac:dyDescent="0.25">
      <c r="L118180" s="472"/>
      <c r="M118180" s="472"/>
    </row>
    <row r="118181" spans="12:13" x14ac:dyDescent="0.25">
      <c r="L118181" s="472"/>
      <c r="M118181" s="472"/>
    </row>
    <row r="118253" spans="12:13" x14ac:dyDescent="0.25">
      <c r="L118253" s="472"/>
      <c r="M118253" s="472"/>
    </row>
    <row r="118254" spans="12:13" x14ac:dyDescent="0.25">
      <c r="L118254" s="472"/>
      <c r="M118254" s="472"/>
    </row>
    <row r="118255" spans="12:13" x14ac:dyDescent="0.25">
      <c r="L118255" s="472"/>
      <c r="M118255" s="472"/>
    </row>
    <row r="118327" spans="12:13" x14ac:dyDescent="0.25">
      <c r="L118327" s="472"/>
      <c r="M118327" s="472"/>
    </row>
    <row r="118328" spans="12:13" x14ac:dyDescent="0.25">
      <c r="L118328" s="472"/>
      <c r="M118328" s="472"/>
    </row>
    <row r="118329" spans="12:13" x14ac:dyDescent="0.25">
      <c r="L118329" s="472"/>
      <c r="M118329" s="472"/>
    </row>
    <row r="118401" spans="12:13" x14ac:dyDescent="0.25">
      <c r="L118401" s="472"/>
      <c r="M118401" s="472"/>
    </row>
    <row r="118402" spans="12:13" x14ac:dyDescent="0.25">
      <c r="L118402" s="472"/>
      <c r="M118402" s="472"/>
    </row>
    <row r="118403" spans="12:13" x14ac:dyDescent="0.25">
      <c r="L118403" s="472"/>
      <c r="M118403" s="472"/>
    </row>
    <row r="118475" spans="12:13" x14ac:dyDescent="0.25">
      <c r="L118475" s="472"/>
      <c r="M118475" s="472"/>
    </row>
    <row r="118476" spans="12:13" x14ac:dyDescent="0.25">
      <c r="L118476" s="472"/>
      <c r="M118476" s="472"/>
    </row>
    <row r="118477" spans="12:13" x14ac:dyDescent="0.25">
      <c r="L118477" s="472"/>
      <c r="M118477" s="472"/>
    </row>
    <row r="118549" spans="12:13" x14ac:dyDescent="0.25">
      <c r="L118549" s="472"/>
      <c r="M118549" s="472"/>
    </row>
    <row r="118550" spans="12:13" x14ac:dyDescent="0.25">
      <c r="L118550" s="472"/>
      <c r="M118550" s="472"/>
    </row>
    <row r="118551" spans="12:13" x14ac:dyDescent="0.25">
      <c r="L118551" s="472"/>
      <c r="M118551" s="472"/>
    </row>
    <row r="118623" spans="12:13" x14ac:dyDescent="0.25">
      <c r="L118623" s="472"/>
      <c r="M118623" s="472"/>
    </row>
    <row r="118624" spans="12:13" x14ac:dyDescent="0.25">
      <c r="L118624" s="472"/>
      <c r="M118624" s="472"/>
    </row>
    <row r="118625" spans="12:13" x14ac:dyDescent="0.25">
      <c r="L118625" s="472"/>
      <c r="M118625" s="472"/>
    </row>
    <row r="118697" spans="12:13" x14ac:dyDescent="0.25">
      <c r="L118697" s="472"/>
      <c r="M118697" s="472"/>
    </row>
    <row r="118698" spans="12:13" x14ac:dyDescent="0.25">
      <c r="L118698" s="472"/>
      <c r="M118698" s="472"/>
    </row>
    <row r="118699" spans="12:13" x14ac:dyDescent="0.25">
      <c r="L118699" s="472"/>
      <c r="M118699" s="472"/>
    </row>
    <row r="118771" spans="12:13" x14ac:dyDescent="0.25">
      <c r="L118771" s="472"/>
      <c r="M118771" s="472"/>
    </row>
    <row r="118772" spans="12:13" x14ac:dyDescent="0.25">
      <c r="L118772" s="472"/>
      <c r="M118772" s="472"/>
    </row>
    <row r="118773" spans="12:13" x14ac:dyDescent="0.25">
      <c r="L118773" s="472"/>
      <c r="M118773" s="472"/>
    </row>
    <row r="118845" spans="12:13" x14ac:dyDescent="0.25">
      <c r="L118845" s="472"/>
      <c r="M118845" s="472"/>
    </row>
    <row r="118846" spans="12:13" x14ac:dyDescent="0.25">
      <c r="L118846" s="472"/>
      <c r="M118846" s="472"/>
    </row>
    <row r="118847" spans="12:13" x14ac:dyDescent="0.25">
      <c r="L118847" s="472"/>
      <c r="M118847" s="472"/>
    </row>
    <row r="118919" spans="12:13" x14ac:dyDescent="0.25">
      <c r="L118919" s="472"/>
      <c r="M118919" s="472"/>
    </row>
    <row r="118920" spans="12:13" x14ac:dyDescent="0.25">
      <c r="L118920" s="472"/>
      <c r="M118920" s="472"/>
    </row>
    <row r="118921" spans="12:13" x14ac:dyDescent="0.25">
      <c r="L118921" s="472"/>
      <c r="M118921" s="472"/>
    </row>
    <row r="118993" spans="12:13" x14ac:dyDescent="0.25">
      <c r="L118993" s="472"/>
      <c r="M118993" s="472"/>
    </row>
    <row r="118994" spans="12:13" x14ac:dyDescent="0.25">
      <c r="L118994" s="472"/>
      <c r="M118994" s="472"/>
    </row>
    <row r="118995" spans="12:13" x14ac:dyDescent="0.25">
      <c r="L118995" s="472"/>
      <c r="M118995" s="472"/>
    </row>
    <row r="119067" spans="12:13" x14ac:dyDescent="0.25">
      <c r="L119067" s="472"/>
      <c r="M119067" s="472"/>
    </row>
    <row r="119068" spans="12:13" x14ac:dyDescent="0.25">
      <c r="L119068" s="472"/>
      <c r="M119068" s="472"/>
    </row>
    <row r="119069" spans="12:13" x14ac:dyDescent="0.25">
      <c r="L119069" s="472"/>
      <c r="M119069" s="472"/>
    </row>
    <row r="119141" spans="12:13" x14ac:dyDescent="0.25">
      <c r="L119141" s="472"/>
      <c r="M119141" s="472"/>
    </row>
    <row r="119142" spans="12:13" x14ac:dyDescent="0.25">
      <c r="L119142" s="472"/>
      <c r="M119142" s="472"/>
    </row>
    <row r="119143" spans="12:13" x14ac:dyDescent="0.25">
      <c r="L119143" s="472"/>
      <c r="M119143" s="472"/>
    </row>
    <row r="119215" spans="12:13" x14ac:dyDescent="0.25">
      <c r="L119215" s="472"/>
      <c r="M119215" s="472"/>
    </row>
    <row r="119216" spans="12:13" x14ac:dyDescent="0.25">
      <c r="L119216" s="472"/>
      <c r="M119216" s="472"/>
    </row>
    <row r="119217" spans="12:13" x14ac:dyDescent="0.25">
      <c r="L119217" s="472"/>
      <c r="M119217" s="472"/>
    </row>
    <row r="119289" spans="12:13" x14ac:dyDescent="0.25">
      <c r="L119289" s="472"/>
      <c r="M119289" s="472"/>
    </row>
    <row r="119290" spans="12:13" x14ac:dyDescent="0.25">
      <c r="L119290" s="472"/>
      <c r="M119290" s="472"/>
    </row>
    <row r="119291" spans="12:13" x14ac:dyDescent="0.25">
      <c r="L119291" s="472"/>
      <c r="M119291" s="472"/>
    </row>
    <row r="119363" spans="12:13" x14ac:dyDescent="0.25">
      <c r="L119363" s="472"/>
      <c r="M119363" s="472"/>
    </row>
    <row r="119364" spans="12:13" x14ac:dyDescent="0.25">
      <c r="L119364" s="472"/>
      <c r="M119364" s="472"/>
    </row>
    <row r="119365" spans="12:13" x14ac:dyDescent="0.25">
      <c r="L119365" s="472"/>
      <c r="M119365" s="472"/>
    </row>
    <row r="119437" spans="12:13" x14ac:dyDescent="0.25">
      <c r="L119437" s="472"/>
      <c r="M119437" s="472"/>
    </row>
    <row r="119438" spans="12:13" x14ac:dyDescent="0.25">
      <c r="L119438" s="472"/>
      <c r="M119438" s="472"/>
    </row>
    <row r="119439" spans="12:13" x14ac:dyDescent="0.25">
      <c r="L119439" s="472"/>
      <c r="M119439" s="472"/>
    </row>
    <row r="119511" spans="12:13" x14ac:dyDescent="0.25">
      <c r="L119511" s="472"/>
      <c r="M119511" s="472"/>
    </row>
    <row r="119512" spans="12:13" x14ac:dyDescent="0.25">
      <c r="L119512" s="472"/>
      <c r="M119512" s="472"/>
    </row>
    <row r="119513" spans="12:13" x14ac:dyDescent="0.25">
      <c r="L119513" s="472"/>
      <c r="M119513" s="472"/>
    </row>
    <row r="119585" spans="12:13" x14ac:dyDescent="0.25">
      <c r="L119585" s="472"/>
      <c r="M119585" s="472"/>
    </row>
    <row r="119586" spans="12:13" x14ac:dyDescent="0.25">
      <c r="L119586" s="472"/>
      <c r="M119586" s="472"/>
    </row>
    <row r="119587" spans="12:13" x14ac:dyDescent="0.25">
      <c r="L119587" s="472"/>
      <c r="M119587" s="472"/>
    </row>
    <row r="119659" spans="12:13" x14ac:dyDescent="0.25">
      <c r="L119659" s="472"/>
      <c r="M119659" s="472"/>
    </row>
    <row r="119660" spans="12:13" x14ac:dyDescent="0.25">
      <c r="L119660" s="472"/>
      <c r="M119660" s="472"/>
    </row>
    <row r="119661" spans="12:13" x14ac:dyDescent="0.25">
      <c r="L119661" s="472"/>
      <c r="M119661" s="472"/>
    </row>
    <row r="119733" spans="12:13" x14ac:dyDescent="0.25">
      <c r="L119733" s="472"/>
      <c r="M119733" s="472"/>
    </row>
    <row r="119734" spans="12:13" x14ac:dyDescent="0.25">
      <c r="L119734" s="472"/>
      <c r="M119734" s="472"/>
    </row>
    <row r="119735" spans="12:13" x14ac:dyDescent="0.25">
      <c r="L119735" s="472"/>
      <c r="M119735" s="472"/>
    </row>
    <row r="119807" spans="12:13" x14ac:dyDescent="0.25">
      <c r="L119807" s="472"/>
      <c r="M119807" s="472"/>
    </row>
    <row r="119808" spans="12:13" x14ac:dyDescent="0.25">
      <c r="L119808" s="472"/>
      <c r="M119808" s="472"/>
    </row>
    <row r="119809" spans="12:13" x14ac:dyDescent="0.25">
      <c r="L119809" s="472"/>
      <c r="M119809" s="472"/>
    </row>
    <row r="119881" spans="12:13" x14ac:dyDescent="0.25">
      <c r="L119881" s="472"/>
      <c r="M119881" s="472"/>
    </row>
    <row r="119882" spans="12:13" x14ac:dyDescent="0.25">
      <c r="L119882" s="472"/>
      <c r="M119882" s="472"/>
    </row>
    <row r="119883" spans="12:13" x14ac:dyDescent="0.25">
      <c r="L119883" s="472"/>
      <c r="M119883" s="472"/>
    </row>
    <row r="119955" spans="12:13" x14ac:dyDescent="0.25">
      <c r="L119955" s="472"/>
      <c r="M119955" s="472"/>
    </row>
    <row r="119956" spans="12:13" x14ac:dyDescent="0.25">
      <c r="L119956" s="472"/>
      <c r="M119956" s="472"/>
    </row>
    <row r="119957" spans="12:13" x14ac:dyDescent="0.25">
      <c r="L119957" s="472"/>
      <c r="M119957" s="472"/>
    </row>
    <row r="120029" spans="12:13" x14ac:dyDescent="0.25">
      <c r="L120029" s="472"/>
      <c r="M120029" s="472"/>
    </row>
    <row r="120030" spans="12:13" x14ac:dyDescent="0.25">
      <c r="L120030" s="472"/>
      <c r="M120030" s="472"/>
    </row>
    <row r="120031" spans="12:13" x14ac:dyDescent="0.25">
      <c r="L120031" s="472"/>
      <c r="M120031" s="472"/>
    </row>
    <row r="120103" spans="12:13" x14ac:dyDescent="0.25">
      <c r="L120103" s="472"/>
      <c r="M120103" s="472"/>
    </row>
    <row r="120104" spans="12:13" x14ac:dyDescent="0.25">
      <c r="L120104" s="472"/>
      <c r="M120104" s="472"/>
    </row>
    <row r="120105" spans="12:13" x14ac:dyDescent="0.25">
      <c r="L120105" s="472"/>
      <c r="M120105" s="472"/>
    </row>
    <row r="120177" spans="12:13" x14ac:dyDescent="0.25">
      <c r="L120177" s="472"/>
      <c r="M120177" s="472"/>
    </row>
    <row r="120178" spans="12:13" x14ac:dyDescent="0.25">
      <c r="L120178" s="472"/>
      <c r="M120178" s="472"/>
    </row>
    <row r="120179" spans="12:13" x14ac:dyDescent="0.25">
      <c r="L120179" s="472"/>
      <c r="M120179" s="472"/>
    </row>
    <row r="120251" spans="12:13" x14ac:dyDescent="0.25">
      <c r="L120251" s="472"/>
      <c r="M120251" s="472"/>
    </row>
    <row r="120252" spans="12:13" x14ac:dyDescent="0.25">
      <c r="L120252" s="472"/>
      <c r="M120252" s="472"/>
    </row>
    <row r="120253" spans="12:13" x14ac:dyDescent="0.25">
      <c r="L120253" s="472"/>
      <c r="M120253" s="472"/>
    </row>
    <row r="120325" spans="12:13" x14ac:dyDescent="0.25">
      <c r="L120325" s="472"/>
      <c r="M120325" s="472"/>
    </row>
    <row r="120326" spans="12:13" x14ac:dyDescent="0.25">
      <c r="L120326" s="472"/>
      <c r="M120326" s="472"/>
    </row>
    <row r="120327" spans="12:13" x14ac:dyDescent="0.25">
      <c r="L120327" s="472"/>
      <c r="M120327" s="472"/>
    </row>
    <row r="120399" spans="12:13" x14ac:dyDescent="0.25">
      <c r="L120399" s="472"/>
      <c r="M120399" s="472"/>
    </row>
    <row r="120400" spans="12:13" x14ac:dyDescent="0.25">
      <c r="L120400" s="472"/>
      <c r="M120400" s="472"/>
    </row>
    <row r="120401" spans="12:13" x14ac:dyDescent="0.25">
      <c r="L120401" s="472"/>
      <c r="M120401" s="472"/>
    </row>
    <row r="120473" spans="12:13" x14ac:dyDescent="0.25">
      <c r="L120473" s="472"/>
      <c r="M120473" s="472"/>
    </row>
    <row r="120474" spans="12:13" x14ac:dyDescent="0.25">
      <c r="L120474" s="472"/>
      <c r="M120474" s="472"/>
    </row>
    <row r="120475" spans="12:13" x14ac:dyDescent="0.25">
      <c r="L120475" s="472"/>
      <c r="M120475" s="472"/>
    </row>
    <row r="120547" spans="12:13" x14ac:dyDescent="0.25">
      <c r="L120547" s="472"/>
      <c r="M120547" s="472"/>
    </row>
    <row r="120548" spans="12:13" x14ac:dyDescent="0.25">
      <c r="L120548" s="472"/>
      <c r="M120548" s="472"/>
    </row>
    <row r="120549" spans="12:13" x14ac:dyDescent="0.25">
      <c r="L120549" s="472"/>
      <c r="M120549" s="472"/>
    </row>
    <row r="120621" spans="12:13" x14ac:dyDescent="0.25">
      <c r="L120621" s="472"/>
      <c r="M120621" s="472"/>
    </row>
    <row r="120622" spans="12:13" x14ac:dyDescent="0.25">
      <c r="L120622" s="472"/>
      <c r="M120622" s="472"/>
    </row>
    <row r="120623" spans="12:13" x14ac:dyDescent="0.25">
      <c r="L120623" s="472"/>
      <c r="M120623" s="472"/>
    </row>
    <row r="120695" spans="12:13" x14ac:dyDescent="0.25">
      <c r="L120695" s="472"/>
      <c r="M120695" s="472"/>
    </row>
    <row r="120696" spans="12:13" x14ac:dyDescent="0.25">
      <c r="L120696" s="472"/>
      <c r="M120696" s="472"/>
    </row>
    <row r="120697" spans="12:13" x14ac:dyDescent="0.25">
      <c r="L120697" s="472"/>
      <c r="M120697" s="472"/>
    </row>
    <row r="120769" spans="12:13" x14ac:dyDescent="0.25">
      <c r="L120769" s="472"/>
      <c r="M120769" s="472"/>
    </row>
    <row r="120770" spans="12:13" x14ac:dyDescent="0.25">
      <c r="L120770" s="472"/>
      <c r="M120770" s="472"/>
    </row>
    <row r="120771" spans="12:13" x14ac:dyDescent="0.25">
      <c r="L120771" s="472"/>
      <c r="M120771" s="472"/>
    </row>
    <row r="120843" spans="12:13" x14ac:dyDescent="0.25">
      <c r="L120843" s="472"/>
      <c r="M120843" s="472"/>
    </row>
    <row r="120844" spans="12:13" x14ac:dyDescent="0.25">
      <c r="L120844" s="472"/>
      <c r="M120844" s="472"/>
    </row>
    <row r="120845" spans="12:13" x14ac:dyDescent="0.25">
      <c r="L120845" s="472"/>
      <c r="M120845" s="472"/>
    </row>
    <row r="120917" spans="12:13" x14ac:dyDescent="0.25">
      <c r="L120917" s="472"/>
      <c r="M120917" s="472"/>
    </row>
    <row r="120918" spans="12:13" x14ac:dyDescent="0.25">
      <c r="L120918" s="472"/>
      <c r="M120918" s="472"/>
    </row>
    <row r="120919" spans="12:13" x14ac:dyDescent="0.25">
      <c r="L120919" s="472"/>
      <c r="M120919" s="472"/>
    </row>
    <row r="120991" spans="12:13" x14ac:dyDescent="0.25">
      <c r="L120991" s="472"/>
      <c r="M120991" s="472"/>
    </row>
    <row r="120992" spans="12:13" x14ac:dyDescent="0.25">
      <c r="L120992" s="472"/>
      <c r="M120992" s="472"/>
    </row>
    <row r="120993" spans="12:13" x14ac:dyDescent="0.25">
      <c r="L120993" s="472"/>
      <c r="M120993" s="472"/>
    </row>
    <row r="121065" spans="12:13" x14ac:dyDescent="0.25">
      <c r="L121065" s="472"/>
      <c r="M121065" s="472"/>
    </row>
    <row r="121066" spans="12:13" x14ac:dyDescent="0.25">
      <c r="L121066" s="472"/>
      <c r="M121066" s="472"/>
    </row>
    <row r="121067" spans="12:13" x14ac:dyDescent="0.25">
      <c r="L121067" s="472"/>
      <c r="M121067" s="472"/>
    </row>
    <row r="121139" spans="12:13" x14ac:dyDescent="0.25">
      <c r="L121139" s="472"/>
      <c r="M121139" s="472"/>
    </row>
    <row r="121140" spans="12:13" x14ac:dyDescent="0.25">
      <c r="L121140" s="472"/>
      <c r="M121140" s="472"/>
    </row>
    <row r="121141" spans="12:13" x14ac:dyDescent="0.25">
      <c r="L121141" s="472"/>
      <c r="M121141" s="472"/>
    </row>
    <row r="121213" spans="12:13" x14ac:dyDescent="0.25">
      <c r="L121213" s="472"/>
      <c r="M121213" s="472"/>
    </row>
    <row r="121214" spans="12:13" x14ac:dyDescent="0.25">
      <c r="L121214" s="472"/>
      <c r="M121214" s="472"/>
    </row>
    <row r="121215" spans="12:13" x14ac:dyDescent="0.25">
      <c r="L121215" s="472"/>
      <c r="M121215" s="472"/>
    </row>
    <row r="121287" spans="12:13" x14ac:dyDescent="0.25">
      <c r="L121287" s="472"/>
      <c r="M121287" s="472"/>
    </row>
    <row r="121288" spans="12:13" x14ac:dyDescent="0.25">
      <c r="L121288" s="472"/>
      <c r="M121288" s="472"/>
    </row>
    <row r="121289" spans="12:13" x14ac:dyDescent="0.25">
      <c r="L121289" s="472"/>
      <c r="M121289" s="472"/>
    </row>
    <row r="121361" spans="12:13" x14ac:dyDescent="0.25">
      <c r="L121361" s="472"/>
      <c r="M121361" s="472"/>
    </row>
    <row r="121362" spans="12:13" x14ac:dyDescent="0.25">
      <c r="L121362" s="472"/>
      <c r="M121362" s="472"/>
    </row>
    <row r="121363" spans="12:13" x14ac:dyDescent="0.25">
      <c r="L121363" s="472"/>
      <c r="M121363" s="472"/>
    </row>
    <row r="121435" spans="12:13" x14ac:dyDescent="0.25">
      <c r="L121435" s="472"/>
      <c r="M121435" s="472"/>
    </row>
    <row r="121436" spans="12:13" x14ac:dyDescent="0.25">
      <c r="L121436" s="472"/>
      <c r="M121436" s="472"/>
    </row>
    <row r="121437" spans="12:13" x14ac:dyDescent="0.25">
      <c r="L121437" s="472"/>
      <c r="M121437" s="472"/>
    </row>
    <row r="121509" spans="12:13" x14ac:dyDescent="0.25">
      <c r="L121509" s="472"/>
      <c r="M121509" s="472"/>
    </row>
    <row r="121510" spans="12:13" x14ac:dyDescent="0.25">
      <c r="L121510" s="472"/>
      <c r="M121510" s="472"/>
    </row>
    <row r="121511" spans="12:13" x14ac:dyDescent="0.25">
      <c r="L121511" s="472"/>
      <c r="M121511" s="472"/>
    </row>
    <row r="121583" spans="12:13" x14ac:dyDescent="0.25">
      <c r="L121583" s="472"/>
      <c r="M121583" s="472"/>
    </row>
    <row r="121584" spans="12:13" x14ac:dyDescent="0.25">
      <c r="L121584" s="472"/>
      <c r="M121584" s="472"/>
    </row>
    <row r="121585" spans="12:13" x14ac:dyDescent="0.25">
      <c r="L121585" s="472"/>
      <c r="M121585" s="472"/>
    </row>
    <row r="121657" spans="12:13" x14ac:dyDescent="0.25">
      <c r="L121657" s="472"/>
      <c r="M121657" s="472"/>
    </row>
    <row r="121658" spans="12:13" x14ac:dyDescent="0.25">
      <c r="L121658" s="472"/>
      <c r="M121658" s="472"/>
    </row>
    <row r="121659" spans="12:13" x14ac:dyDescent="0.25">
      <c r="L121659" s="472"/>
      <c r="M121659" s="472"/>
    </row>
    <row r="121731" spans="12:13" x14ac:dyDescent="0.25">
      <c r="L121731" s="472"/>
      <c r="M121731" s="472"/>
    </row>
    <row r="121732" spans="12:13" x14ac:dyDescent="0.25">
      <c r="L121732" s="472"/>
      <c r="M121732" s="472"/>
    </row>
    <row r="121733" spans="12:13" x14ac:dyDescent="0.25">
      <c r="L121733" s="472"/>
      <c r="M121733" s="472"/>
    </row>
    <row r="121805" spans="12:13" x14ac:dyDescent="0.25">
      <c r="L121805" s="472"/>
      <c r="M121805" s="472"/>
    </row>
    <row r="121806" spans="12:13" x14ac:dyDescent="0.25">
      <c r="L121806" s="472"/>
      <c r="M121806" s="472"/>
    </row>
    <row r="121807" spans="12:13" x14ac:dyDescent="0.25">
      <c r="L121807" s="472"/>
      <c r="M121807" s="472"/>
    </row>
    <row r="121879" spans="12:13" x14ac:dyDescent="0.25">
      <c r="L121879" s="472"/>
      <c r="M121879" s="472"/>
    </row>
    <row r="121880" spans="12:13" x14ac:dyDescent="0.25">
      <c r="L121880" s="472"/>
      <c r="M121880" s="472"/>
    </row>
    <row r="121881" spans="12:13" x14ac:dyDescent="0.25">
      <c r="L121881" s="472"/>
      <c r="M121881" s="472"/>
    </row>
    <row r="121953" spans="12:13" x14ac:dyDescent="0.25">
      <c r="L121953" s="472"/>
      <c r="M121953" s="472"/>
    </row>
    <row r="121954" spans="12:13" x14ac:dyDescent="0.25">
      <c r="L121954" s="472"/>
      <c r="M121954" s="472"/>
    </row>
    <row r="121955" spans="12:13" x14ac:dyDescent="0.25">
      <c r="L121955" s="472"/>
      <c r="M121955" s="472"/>
    </row>
    <row r="122027" spans="12:13" x14ac:dyDescent="0.25">
      <c r="L122027" s="472"/>
      <c r="M122027" s="472"/>
    </row>
    <row r="122028" spans="12:13" x14ac:dyDescent="0.25">
      <c r="L122028" s="472"/>
      <c r="M122028" s="472"/>
    </row>
    <row r="122029" spans="12:13" x14ac:dyDescent="0.25">
      <c r="L122029" s="472"/>
      <c r="M122029" s="472"/>
    </row>
    <row r="122101" spans="12:13" x14ac:dyDescent="0.25">
      <c r="L122101" s="472"/>
      <c r="M122101" s="472"/>
    </row>
    <row r="122102" spans="12:13" x14ac:dyDescent="0.25">
      <c r="L122102" s="472"/>
      <c r="M122102" s="472"/>
    </row>
    <row r="122103" spans="12:13" x14ac:dyDescent="0.25">
      <c r="L122103" s="472"/>
      <c r="M122103" s="472"/>
    </row>
    <row r="122175" spans="12:13" x14ac:dyDescent="0.25">
      <c r="L122175" s="472"/>
      <c r="M122175" s="472"/>
    </row>
    <row r="122176" spans="12:13" x14ac:dyDescent="0.25">
      <c r="L122176" s="472"/>
      <c r="M122176" s="472"/>
    </row>
    <row r="122177" spans="12:13" x14ac:dyDescent="0.25">
      <c r="L122177" s="472"/>
      <c r="M122177" s="472"/>
    </row>
    <row r="122249" spans="12:13" x14ac:dyDescent="0.25">
      <c r="L122249" s="472"/>
      <c r="M122249" s="472"/>
    </row>
    <row r="122250" spans="12:13" x14ac:dyDescent="0.25">
      <c r="L122250" s="472"/>
      <c r="M122250" s="472"/>
    </row>
    <row r="122251" spans="12:13" x14ac:dyDescent="0.25">
      <c r="L122251" s="472"/>
      <c r="M122251" s="472"/>
    </row>
    <row r="122323" spans="12:13" x14ac:dyDescent="0.25">
      <c r="L122323" s="472"/>
      <c r="M122323" s="472"/>
    </row>
    <row r="122324" spans="12:13" x14ac:dyDescent="0.25">
      <c r="L122324" s="472"/>
      <c r="M122324" s="472"/>
    </row>
    <row r="122325" spans="12:13" x14ac:dyDescent="0.25">
      <c r="L122325" s="472"/>
      <c r="M122325" s="472"/>
    </row>
    <row r="122397" spans="12:13" x14ac:dyDescent="0.25">
      <c r="L122397" s="472"/>
      <c r="M122397" s="472"/>
    </row>
    <row r="122398" spans="12:13" x14ac:dyDescent="0.25">
      <c r="L122398" s="472"/>
      <c r="M122398" s="472"/>
    </row>
    <row r="122399" spans="12:13" x14ac:dyDescent="0.25">
      <c r="L122399" s="472"/>
      <c r="M122399" s="472"/>
    </row>
    <row r="122471" spans="12:13" x14ac:dyDescent="0.25">
      <c r="L122471" s="472"/>
      <c r="M122471" s="472"/>
    </row>
    <row r="122472" spans="12:13" x14ac:dyDescent="0.25">
      <c r="L122472" s="472"/>
      <c r="M122472" s="472"/>
    </row>
    <row r="122473" spans="12:13" x14ac:dyDescent="0.25">
      <c r="L122473" s="472"/>
      <c r="M122473" s="472"/>
    </row>
    <row r="122545" spans="12:13" x14ac:dyDescent="0.25">
      <c r="L122545" s="472"/>
      <c r="M122545" s="472"/>
    </row>
    <row r="122546" spans="12:13" x14ac:dyDescent="0.25">
      <c r="L122546" s="472"/>
      <c r="M122546" s="472"/>
    </row>
    <row r="122547" spans="12:13" x14ac:dyDescent="0.25">
      <c r="L122547" s="472"/>
      <c r="M122547" s="472"/>
    </row>
    <row r="122619" spans="12:13" x14ac:dyDescent="0.25">
      <c r="L122619" s="472"/>
      <c r="M122619" s="472"/>
    </row>
    <row r="122620" spans="12:13" x14ac:dyDescent="0.25">
      <c r="L122620" s="472"/>
      <c r="M122620" s="472"/>
    </row>
    <row r="122621" spans="12:13" x14ac:dyDescent="0.25">
      <c r="L122621" s="472"/>
      <c r="M122621" s="472"/>
    </row>
    <row r="122693" spans="12:13" x14ac:dyDescent="0.25">
      <c r="L122693" s="472"/>
      <c r="M122693" s="472"/>
    </row>
    <row r="122694" spans="12:13" x14ac:dyDescent="0.25">
      <c r="L122694" s="472"/>
      <c r="M122694" s="472"/>
    </row>
    <row r="122695" spans="12:13" x14ac:dyDescent="0.25">
      <c r="L122695" s="472"/>
      <c r="M122695" s="472"/>
    </row>
    <row r="122767" spans="12:13" x14ac:dyDescent="0.25">
      <c r="L122767" s="472"/>
      <c r="M122767" s="472"/>
    </row>
    <row r="122768" spans="12:13" x14ac:dyDescent="0.25">
      <c r="L122768" s="472"/>
      <c r="M122768" s="472"/>
    </row>
    <row r="122769" spans="12:13" x14ac:dyDescent="0.25">
      <c r="L122769" s="472"/>
      <c r="M122769" s="472"/>
    </row>
    <row r="122841" spans="12:13" x14ac:dyDescent="0.25">
      <c r="L122841" s="472"/>
      <c r="M122841" s="472"/>
    </row>
    <row r="122842" spans="12:13" x14ac:dyDescent="0.25">
      <c r="L122842" s="472"/>
      <c r="M122842" s="472"/>
    </row>
    <row r="122843" spans="12:13" x14ac:dyDescent="0.25">
      <c r="L122843" s="472"/>
      <c r="M122843" s="472"/>
    </row>
    <row r="122915" spans="12:13" x14ac:dyDescent="0.25">
      <c r="L122915" s="472"/>
      <c r="M122915" s="472"/>
    </row>
    <row r="122916" spans="12:13" x14ac:dyDescent="0.25">
      <c r="L122916" s="472"/>
      <c r="M122916" s="472"/>
    </row>
    <row r="122917" spans="12:13" x14ac:dyDescent="0.25">
      <c r="L122917" s="472"/>
      <c r="M122917" s="472"/>
    </row>
    <row r="122989" spans="12:13" x14ac:dyDescent="0.25">
      <c r="L122989" s="472"/>
      <c r="M122989" s="472"/>
    </row>
    <row r="122990" spans="12:13" x14ac:dyDescent="0.25">
      <c r="L122990" s="472"/>
      <c r="M122990" s="472"/>
    </row>
    <row r="122991" spans="12:13" x14ac:dyDescent="0.25">
      <c r="L122991" s="472"/>
      <c r="M122991" s="472"/>
    </row>
    <row r="123063" spans="12:13" x14ac:dyDescent="0.25">
      <c r="L123063" s="472"/>
      <c r="M123063" s="472"/>
    </row>
    <row r="123064" spans="12:13" x14ac:dyDescent="0.25">
      <c r="L123064" s="472"/>
      <c r="M123064" s="472"/>
    </row>
    <row r="123065" spans="12:13" x14ac:dyDescent="0.25">
      <c r="L123065" s="472"/>
      <c r="M123065" s="472"/>
    </row>
    <row r="123137" spans="12:13" x14ac:dyDescent="0.25">
      <c r="L123137" s="472"/>
      <c r="M123137" s="472"/>
    </row>
    <row r="123138" spans="12:13" x14ac:dyDescent="0.25">
      <c r="L123138" s="472"/>
      <c r="M123138" s="472"/>
    </row>
    <row r="123139" spans="12:13" x14ac:dyDescent="0.25">
      <c r="L123139" s="472"/>
      <c r="M123139" s="472"/>
    </row>
    <row r="123211" spans="12:13" x14ac:dyDescent="0.25">
      <c r="L123211" s="472"/>
      <c r="M123211" s="472"/>
    </row>
    <row r="123212" spans="12:13" x14ac:dyDescent="0.25">
      <c r="L123212" s="472"/>
      <c r="M123212" s="472"/>
    </row>
    <row r="123213" spans="12:13" x14ac:dyDescent="0.25">
      <c r="L123213" s="472"/>
      <c r="M123213" s="472"/>
    </row>
    <row r="123285" spans="12:13" x14ac:dyDescent="0.25">
      <c r="L123285" s="472"/>
      <c r="M123285" s="472"/>
    </row>
    <row r="123286" spans="12:13" x14ac:dyDescent="0.25">
      <c r="L123286" s="472"/>
      <c r="M123286" s="472"/>
    </row>
    <row r="123287" spans="12:13" x14ac:dyDescent="0.25">
      <c r="L123287" s="472"/>
      <c r="M123287" s="472"/>
    </row>
    <row r="123359" spans="12:13" x14ac:dyDescent="0.25">
      <c r="L123359" s="472"/>
      <c r="M123359" s="472"/>
    </row>
    <row r="123360" spans="12:13" x14ac:dyDescent="0.25">
      <c r="L123360" s="472"/>
      <c r="M123360" s="472"/>
    </row>
    <row r="123361" spans="12:13" x14ac:dyDescent="0.25">
      <c r="L123361" s="472"/>
      <c r="M123361" s="472"/>
    </row>
    <row r="123433" spans="12:13" x14ac:dyDescent="0.25">
      <c r="L123433" s="472"/>
      <c r="M123433" s="472"/>
    </row>
    <row r="123434" spans="12:13" x14ac:dyDescent="0.25">
      <c r="L123434" s="472"/>
      <c r="M123434" s="472"/>
    </row>
    <row r="123435" spans="12:13" x14ac:dyDescent="0.25">
      <c r="L123435" s="472"/>
      <c r="M123435" s="472"/>
    </row>
    <row r="123507" spans="12:13" x14ac:dyDescent="0.25">
      <c r="L123507" s="472"/>
      <c r="M123507" s="472"/>
    </row>
    <row r="123508" spans="12:13" x14ac:dyDescent="0.25">
      <c r="L123508" s="472"/>
      <c r="M123508" s="472"/>
    </row>
    <row r="123509" spans="12:13" x14ac:dyDescent="0.25">
      <c r="L123509" s="472"/>
      <c r="M123509" s="472"/>
    </row>
    <row r="123581" spans="12:13" x14ac:dyDescent="0.25">
      <c r="L123581" s="472"/>
      <c r="M123581" s="472"/>
    </row>
    <row r="123582" spans="12:13" x14ac:dyDescent="0.25">
      <c r="L123582" s="472"/>
      <c r="M123582" s="472"/>
    </row>
    <row r="123583" spans="12:13" x14ac:dyDescent="0.25">
      <c r="L123583" s="472"/>
      <c r="M123583" s="472"/>
    </row>
    <row r="123655" spans="12:13" x14ac:dyDescent="0.25">
      <c r="L123655" s="472"/>
      <c r="M123655" s="472"/>
    </row>
    <row r="123656" spans="12:13" x14ac:dyDescent="0.25">
      <c r="L123656" s="472"/>
      <c r="M123656" s="472"/>
    </row>
    <row r="123657" spans="12:13" x14ac:dyDescent="0.25">
      <c r="L123657" s="472"/>
      <c r="M123657" s="472"/>
    </row>
    <row r="123729" spans="12:13" x14ac:dyDescent="0.25">
      <c r="L123729" s="472"/>
      <c r="M123729" s="472"/>
    </row>
    <row r="123730" spans="12:13" x14ac:dyDescent="0.25">
      <c r="L123730" s="472"/>
      <c r="M123730" s="472"/>
    </row>
    <row r="123731" spans="12:13" x14ac:dyDescent="0.25">
      <c r="L123731" s="472"/>
      <c r="M123731" s="472"/>
    </row>
    <row r="123803" spans="12:13" x14ac:dyDescent="0.25">
      <c r="L123803" s="472"/>
      <c r="M123803" s="472"/>
    </row>
    <row r="123804" spans="12:13" x14ac:dyDescent="0.25">
      <c r="L123804" s="472"/>
      <c r="M123804" s="472"/>
    </row>
    <row r="123805" spans="12:13" x14ac:dyDescent="0.25">
      <c r="L123805" s="472"/>
      <c r="M123805" s="472"/>
    </row>
    <row r="123877" spans="12:13" x14ac:dyDescent="0.25">
      <c r="L123877" s="472"/>
      <c r="M123877" s="472"/>
    </row>
    <row r="123878" spans="12:13" x14ac:dyDescent="0.25">
      <c r="L123878" s="472"/>
      <c r="M123878" s="472"/>
    </row>
    <row r="123879" spans="12:13" x14ac:dyDescent="0.25">
      <c r="L123879" s="472"/>
      <c r="M123879" s="472"/>
    </row>
    <row r="123951" spans="12:13" x14ac:dyDescent="0.25">
      <c r="L123951" s="472"/>
      <c r="M123951" s="472"/>
    </row>
    <row r="123952" spans="12:13" x14ac:dyDescent="0.25">
      <c r="L123952" s="472"/>
      <c r="M123952" s="472"/>
    </row>
    <row r="123953" spans="12:13" x14ac:dyDescent="0.25">
      <c r="L123953" s="472"/>
      <c r="M123953" s="472"/>
    </row>
    <row r="124025" spans="12:13" x14ac:dyDescent="0.25">
      <c r="L124025" s="472"/>
      <c r="M124025" s="472"/>
    </row>
    <row r="124026" spans="12:13" x14ac:dyDescent="0.25">
      <c r="L124026" s="472"/>
      <c r="M124026" s="472"/>
    </row>
    <row r="124027" spans="12:13" x14ac:dyDescent="0.25">
      <c r="L124027" s="472"/>
      <c r="M124027" s="472"/>
    </row>
    <row r="124099" spans="12:13" x14ac:dyDescent="0.25">
      <c r="L124099" s="472"/>
      <c r="M124099" s="472"/>
    </row>
    <row r="124100" spans="12:13" x14ac:dyDescent="0.25">
      <c r="L124100" s="472"/>
      <c r="M124100" s="472"/>
    </row>
    <row r="124101" spans="12:13" x14ac:dyDescent="0.25">
      <c r="L124101" s="472"/>
      <c r="M124101" s="472"/>
    </row>
    <row r="124173" spans="12:13" x14ac:dyDescent="0.25">
      <c r="L124173" s="472"/>
      <c r="M124173" s="472"/>
    </row>
    <row r="124174" spans="12:13" x14ac:dyDescent="0.25">
      <c r="L124174" s="472"/>
      <c r="M124174" s="472"/>
    </row>
    <row r="124175" spans="12:13" x14ac:dyDescent="0.25">
      <c r="L124175" s="472"/>
      <c r="M124175" s="472"/>
    </row>
    <row r="124247" spans="12:13" x14ac:dyDescent="0.25">
      <c r="L124247" s="472"/>
      <c r="M124247" s="472"/>
    </row>
    <row r="124248" spans="12:13" x14ac:dyDescent="0.25">
      <c r="L124248" s="472"/>
      <c r="M124248" s="472"/>
    </row>
    <row r="124249" spans="12:13" x14ac:dyDescent="0.25">
      <c r="L124249" s="472"/>
      <c r="M124249" s="472"/>
    </row>
    <row r="124321" spans="12:13" x14ac:dyDescent="0.25">
      <c r="L124321" s="472"/>
      <c r="M124321" s="472"/>
    </row>
    <row r="124322" spans="12:13" x14ac:dyDescent="0.25">
      <c r="L124322" s="472"/>
      <c r="M124322" s="472"/>
    </row>
    <row r="124323" spans="12:13" x14ac:dyDescent="0.25">
      <c r="L124323" s="472"/>
      <c r="M124323" s="472"/>
    </row>
    <row r="124395" spans="12:13" x14ac:dyDescent="0.25">
      <c r="L124395" s="472"/>
      <c r="M124395" s="472"/>
    </row>
    <row r="124396" spans="12:13" x14ac:dyDescent="0.25">
      <c r="L124396" s="472"/>
      <c r="M124396" s="472"/>
    </row>
    <row r="124397" spans="12:13" x14ac:dyDescent="0.25">
      <c r="L124397" s="472"/>
      <c r="M124397" s="472"/>
    </row>
    <row r="124469" spans="12:13" x14ac:dyDescent="0.25">
      <c r="L124469" s="472"/>
      <c r="M124469" s="472"/>
    </row>
    <row r="124470" spans="12:13" x14ac:dyDescent="0.25">
      <c r="L124470" s="472"/>
      <c r="M124470" s="472"/>
    </row>
    <row r="124471" spans="12:13" x14ac:dyDescent="0.25">
      <c r="L124471" s="472"/>
      <c r="M124471" s="472"/>
    </row>
    <row r="124543" spans="12:13" x14ac:dyDescent="0.25">
      <c r="L124543" s="472"/>
      <c r="M124543" s="472"/>
    </row>
    <row r="124544" spans="12:13" x14ac:dyDescent="0.25">
      <c r="L124544" s="472"/>
      <c r="M124544" s="472"/>
    </row>
    <row r="124545" spans="12:13" x14ac:dyDescent="0.25">
      <c r="L124545" s="472"/>
      <c r="M124545" s="472"/>
    </row>
    <row r="124617" spans="12:13" x14ac:dyDescent="0.25">
      <c r="L124617" s="472"/>
      <c r="M124617" s="472"/>
    </row>
    <row r="124618" spans="12:13" x14ac:dyDescent="0.25">
      <c r="L124618" s="472"/>
      <c r="M124618" s="472"/>
    </row>
    <row r="124619" spans="12:13" x14ac:dyDescent="0.25">
      <c r="L124619" s="472"/>
      <c r="M124619" s="472"/>
    </row>
    <row r="124691" spans="12:13" x14ac:dyDescent="0.25">
      <c r="L124691" s="472"/>
      <c r="M124691" s="472"/>
    </row>
    <row r="124692" spans="12:13" x14ac:dyDescent="0.25">
      <c r="L124692" s="472"/>
      <c r="M124692" s="472"/>
    </row>
    <row r="124693" spans="12:13" x14ac:dyDescent="0.25">
      <c r="L124693" s="472"/>
      <c r="M124693" s="472"/>
    </row>
    <row r="124765" spans="12:13" x14ac:dyDescent="0.25">
      <c r="L124765" s="472"/>
      <c r="M124765" s="472"/>
    </row>
    <row r="124766" spans="12:13" x14ac:dyDescent="0.25">
      <c r="L124766" s="472"/>
      <c r="M124766" s="472"/>
    </row>
    <row r="124767" spans="12:13" x14ac:dyDescent="0.25">
      <c r="L124767" s="472"/>
      <c r="M124767" s="472"/>
    </row>
    <row r="124839" spans="12:13" x14ac:dyDescent="0.25">
      <c r="L124839" s="472"/>
      <c r="M124839" s="472"/>
    </row>
    <row r="124840" spans="12:13" x14ac:dyDescent="0.25">
      <c r="L124840" s="472"/>
      <c r="M124840" s="472"/>
    </row>
    <row r="124841" spans="12:13" x14ac:dyDescent="0.25">
      <c r="L124841" s="472"/>
      <c r="M124841" s="472"/>
    </row>
    <row r="124913" spans="12:13" x14ac:dyDescent="0.25">
      <c r="L124913" s="472"/>
      <c r="M124913" s="472"/>
    </row>
    <row r="124914" spans="12:13" x14ac:dyDescent="0.25">
      <c r="L124914" s="472"/>
      <c r="M124914" s="472"/>
    </row>
    <row r="124915" spans="12:13" x14ac:dyDescent="0.25">
      <c r="L124915" s="472"/>
      <c r="M124915" s="472"/>
    </row>
    <row r="124987" spans="12:13" x14ac:dyDescent="0.25">
      <c r="L124987" s="472"/>
      <c r="M124987" s="472"/>
    </row>
    <row r="124988" spans="12:13" x14ac:dyDescent="0.25">
      <c r="L124988" s="472"/>
      <c r="M124988" s="472"/>
    </row>
    <row r="124989" spans="12:13" x14ac:dyDescent="0.25">
      <c r="L124989" s="472"/>
      <c r="M124989" s="472"/>
    </row>
    <row r="125061" spans="12:13" x14ac:dyDescent="0.25">
      <c r="L125061" s="472"/>
      <c r="M125061" s="472"/>
    </row>
    <row r="125062" spans="12:13" x14ac:dyDescent="0.25">
      <c r="L125062" s="472"/>
      <c r="M125062" s="472"/>
    </row>
    <row r="125063" spans="12:13" x14ac:dyDescent="0.25">
      <c r="L125063" s="472"/>
      <c r="M125063" s="472"/>
    </row>
    <row r="125135" spans="12:13" x14ac:dyDescent="0.25">
      <c r="L125135" s="472"/>
      <c r="M125135" s="472"/>
    </row>
    <row r="125136" spans="12:13" x14ac:dyDescent="0.25">
      <c r="L125136" s="472"/>
      <c r="M125136" s="472"/>
    </row>
    <row r="125137" spans="12:13" x14ac:dyDescent="0.25">
      <c r="L125137" s="472"/>
      <c r="M125137" s="472"/>
    </row>
    <row r="125209" spans="12:13" x14ac:dyDescent="0.25">
      <c r="L125209" s="472"/>
      <c r="M125209" s="472"/>
    </row>
    <row r="125210" spans="12:13" x14ac:dyDescent="0.25">
      <c r="L125210" s="472"/>
      <c r="M125210" s="472"/>
    </row>
    <row r="125211" spans="12:13" x14ac:dyDescent="0.25">
      <c r="L125211" s="472"/>
      <c r="M125211" s="472"/>
    </row>
    <row r="125283" spans="12:13" x14ac:dyDescent="0.25">
      <c r="L125283" s="472"/>
      <c r="M125283" s="472"/>
    </row>
    <row r="125284" spans="12:13" x14ac:dyDescent="0.25">
      <c r="L125284" s="472"/>
      <c r="M125284" s="472"/>
    </row>
    <row r="125285" spans="12:13" x14ac:dyDescent="0.25">
      <c r="L125285" s="472"/>
      <c r="M125285" s="472"/>
    </row>
    <row r="125357" spans="12:13" x14ac:dyDescent="0.25">
      <c r="L125357" s="472"/>
      <c r="M125357" s="472"/>
    </row>
    <row r="125358" spans="12:13" x14ac:dyDescent="0.25">
      <c r="L125358" s="472"/>
      <c r="M125358" s="472"/>
    </row>
    <row r="125359" spans="12:13" x14ac:dyDescent="0.25">
      <c r="L125359" s="472"/>
      <c r="M125359" s="472"/>
    </row>
    <row r="125431" spans="12:13" x14ac:dyDescent="0.25">
      <c r="L125431" s="472"/>
      <c r="M125431" s="472"/>
    </row>
    <row r="125432" spans="12:13" x14ac:dyDescent="0.25">
      <c r="L125432" s="472"/>
      <c r="M125432" s="472"/>
    </row>
    <row r="125433" spans="12:13" x14ac:dyDescent="0.25">
      <c r="L125433" s="472"/>
      <c r="M125433" s="472"/>
    </row>
    <row r="125505" spans="12:13" x14ac:dyDescent="0.25">
      <c r="L125505" s="472"/>
      <c r="M125505" s="472"/>
    </row>
    <row r="125506" spans="12:13" x14ac:dyDescent="0.25">
      <c r="L125506" s="472"/>
      <c r="M125506" s="472"/>
    </row>
    <row r="125507" spans="12:13" x14ac:dyDescent="0.25">
      <c r="L125507" s="472"/>
      <c r="M125507" s="472"/>
    </row>
    <row r="125579" spans="12:13" x14ac:dyDescent="0.25">
      <c r="L125579" s="472"/>
      <c r="M125579" s="472"/>
    </row>
    <row r="125580" spans="12:13" x14ac:dyDescent="0.25">
      <c r="L125580" s="472"/>
      <c r="M125580" s="472"/>
    </row>
    <row r="125581" spans="12:13" x14ac:dyDescent="0.25">
      <c r="L125581" s="472"/>
      <c r="M125581" s="472"/>
    </row>
    <row r="125653" spans="12:13" x14ac:dyDescent="0.25">
      <c r="L125653" s="472"/>
      <c r="M125653" s="472"/>
    </row>
    <row r="125654" spans="12:13" x14ac:dyDescent="0.25">
      <c r="L125654" s="472"/>
      <c r="M125654" s="472"/>
    </row>
    <row r="125655" spans="12:13" x14ac:dyDescent="0.25">
      <c r="L125655" s="472"/>
      <c r="M125655" s="472"/>
    </row>
    <row r="125727" spans="12:13" x14ac:dyDescent="0.25">
      <c r="L125727" s="472"/>
      <c r="M125727" s="472"/>
    </row>
    <row r="125728" spans="12:13" x14ac:dyDescent="0.25">
      <c r="L125728" s="472"/>
      <c r="M125728" s="472"/>
    </row>
    <row r="125729" spans="12:13" x14ac:dyDescent="0.25">
      <c r="L125729" s="472"/>
      <c r="M125729" s="472"/>
    </row>
    <row r="125801" spans="12:13" x14ac:dyDescent="0.25">
      <c r="L125801" s="472"/>
      <c r="M125801" s="472"/>
    </row>
    <row r="125802" spans="12:13" x14ac:dyDescent="0.25">
      <c r="L125802" s="472"/>
      <c r="M125802" s="472"/>
    </row>
    <row r="125803" spans="12:13" x14ac:dyDescent="0.25">
      <c r="L125803" s="472"/>
      <c r="M125803" s="472"/>
    </row>
    <row r="125875" spans="12:13" x14ac:dyDescent="0.25">
      <c r="L125875" s="472"/>
      <c r="M125875" s="472"/>
    </row>
    <row r="125876" spans="12:13" x14ac:dyDescent="0.25">
      <c r="L125876" s="472"/>
      <c r="M125876" s="472"/>
    </row>
    <row r="125877" spans="12:13" x14ac:dyDescent="0.25">
      <c r="L125877" s="472"/>
      <c r="M125877" s="472"/>
    </row>
    <row r="125949" spans="12:13" x14ac:dyDescent="0.25">
      <c r="L125949" s="472"/>
      <c r="M125949" s="472"/>
    </row>
    <row r="125950" spans="12:13" x14ac:dyDescent="0.25">
      <c r="L125950" s="472"/>
      <c r="M125950" s="472"/>
    </row>
    <row r="125951" spans="12:13" x14ac:dyDescent="0.25">
      <c r="L125951" s="472"/>
      <c r="M125951" s="472"/>
    </row>
    <row r="126023" spans="12:13" x14ac:dyDescent="0.25">
      <c r="L126023" s="472"/>
      <c r="M126023" s="472"/>
    </row>
    <row r="126024" spans="12:13" x14ac:dyDescent="0.25">
      <c r="L126024" s="472"/>
      <c r="M126024" s="472"/>
    </row>
    <row r="126025" spans="12:13" x14ac:dyDescent="0.25">
      <c r="L126025" s="472"/>
      <c r="M126025" s="472"/>
    </row>
    <row r="126097" spans="12:13" x14ac:dyDescent="0.25">
      <c r="L126097" s="472"/>
      <c r="M126097" s="472"/>
    </row>
    <row r="126098" spans="12:13" x14ac:dyDescent="0.25">
      <c r="L126098" s="472"/>
      <c r="M126098" s="472"/>
    </row>
    <row r="126099" spans="12:13" x14ac:dyDescent="0.25">
      <c r="L126099" s="472"/>
      <c r="M126099" s="472"/>
    </row>
    <row r="126171" spans="12:13" x14ac:dyDescent="0.25">
      <c r="L126171" s="472"/>
      <c r="M126171" s="472"/>
    </row>
    <row r="126172" spans="12:13" x14ac:dyDescent="0.25">
      <c r="L126172" s="472"/>
      <c r="M126172" s="472"/>
    </row>
    <row r="126173" spans="12:13" x14ac:dyDescent="0.25">
      <c r="L126173" s="472"/>
      <c r="M126173" s="472"/>
    </row>
    <row r="126245" spans="12:13" x14ac:dyDescent="0.25">
      <c r="L126245" s="472"/>
      <c r="M126245" s="472"/>
    </row>
    <row r="126246" spans="12:13" x14ac:dyDescent="0.25">
      <c r="L126246" s="472"/>
      <c r="M126246" s="472"/>
    </row>
    <row r="126247" spans="12:13" x14ac:dyDescent="0.25">
      <c r="L126247" s="472"/>
      <c r="M126247" s="472"/>
    </row>
    <row r="126319" spans="12:13" x14ac:dyDescent="0.25">
      <c r="L126319" s="472"/>
      <c r="M126319" s="472"/>
    </row>
    <row r="126320" spans="12:13" x14ac:dyDescent="0.25">
      <c r="L126320" s="472"/>
      <c r="M126320" s="472"/>
    </row>
    <row r="126321" spans="12:13" x14ac:dyDescent="0.25">
      <c r="L126321" s="472"/>
      <c r="M126321" s="472"/>
    </row>
    <row r="126393" spans="12:13" x14ac:dyDescent="0.25">
      <c r="L126393" s="472"/>
      <c r="M126393" s="472"/>
    </row>
    <row r="126394" spans="12:13" x14ac:dyDescent="0.25">
      <c r="L126394" s="472"/>
      <c r="M126394" s="472"/>
    </row>
    <row r="126395" spans="12:13" x14ac:dyDescent="0.25">
      <c r="L126395" s="472"/>
      <c r="M126395" s="472"/>
    </row>
    <row r="126467" spans="12:13" x14ac:dyDescent="0.25">
      <c r="L126467" s="472"/>
      <c r="M126467" s="472"/>
    </row>
    <row r="126468" spans="12:13" x14ac:dyDescent="0.25">
      <c r="L126468" s="472"/>
      <c r="M126468" s="472"/>
    </row>
    <row r="126469" spans="12:13" x14ac:dyDescent="0.25">
      <c r="L126469" s="472"/>
      <c r="M126469" s="472"/>
    </row>
    <row r="126541" spans="12:13" x14ac:dyDescent="0.25">
      <c r="L126541" s="472"/>
      <c r="M126541" s="472"/>
    </row>
    <row r="126542" spans="12:13" x14ac:dyDescent="0.25">
      <c r="L126542" s="472"/>
      <c r="M126542" s="472"/>
    </row>
    <row r="126543" spans="12:13" x14ac:dyDescent="0.25">
      <c r="L126543" s="472"/>
      <c r="M126543" s="472"/>
    </row>
    <row r="126615" spans="12:13" x14ac:dyDescent="0.25">
      <c r="L126615" s="472"/>
      <c r="M126615" s="472"/>
    </row>
    <row r="126616" spans="12:13" x14ac:dyDescent="0.25">
      <c r="L126616" s="472"/>
      <c r="M126616" s="472"/>
    </row>
    <row r="126617" spans="12:13" x14ac:dyDescent="0.25">
      <c r="L126617" s="472"/>
      <c r="M126617" s="472"/>
    </row>
    <row r="126689" spans="12:13" x14ac:dyDescent="0.25">
      <c r="L126689" s="472"/>
      <c r="M126689" s="472"/>
    </row>
    <row r="126690" spans="12:13" x14ac:dyDescent="0.25">
      <c r="L126690" s="472"/>
      <c r="M126690" s="472"/>
    </row>
    <row r="126691" spans="12:13" x14ac:dyDescent="0.25">
      <c r="L126691" s="472"/>
      <c r="M126691" s="472"/>
    </row>
    <row r="126763" spans="12:13" x14ac:dyDescent="0.25">
      <c r="L126763" s="472"/>
      <c r="M126763" s="472"/>
    </row>
    <row r="126764" spans="12:13" x14ac:dyDescent="0.25">
      <c r="L126764" s="472"/>
      <c r="M126764" s="472"/>
    </row>
    <row r="126765" spans="12:13" x14ac:dyDescent="0.25">
      <c r="L126765" s="472"/>
      <c r="M126765" s="472"/>
    </row>
    <row r="126837" spans="12:13" x14ac:dyDescent="0.25">
      <c r="L126837" s="472"/>
      <c r="M126837" s="472"/>
    </row>
    <row r="126838" spans="12:13" x14ac:dyDescent="0.25">
      <c r="L126838" s="472"/>
      <c r="M126838" s="472"/>
    </row>
    <row r="126839" spans="12:13" x14ac:dyDescent="0.25">
      <c r="L126839" s="472"/>
      <c r="M126839" s="472"/>
    </row>
    <row r="126911" spans="12:13" x14ac:dyDescent="0.25">
      <c r="L126911" s="472"/>
      <c r="M126911" s="472"/>
    </row>
    <row r="126912" spans="12:13" x14ac:dyDescent="0.25">
      <c r="L126912" s="472"/>
      <c r="M126912" s="472"/>
    </row>
    <row r="126913" spans="12:13" x14ac:dyDescent="0.25">
      <c r="L126913" s="472"/>
      <c r="M126913" s="472"/>
    </row>
    <row r="126985" spans="12:13" x14ac:dyDescent="0.25">
      <c r="L126985" s="472"/>
      <c r="M126985" s="472"/>
    </row>
    <row r="126986" spans="12:13" x14ac:dyDescent="0.25">
      <c r="L126986" s="472"/>
      <c r="M126986" s="472"/>
    </row>
    <row r="126987" spans="12:13" x14ac:dyDescent="0.25">
      <c r="L126987" s="472"/>
      <c r="M126987" s="472"/>
    </row>
    <row r="127059" spans="12:13" x14ac:dyDescent="0.25">
      <c r="L127059" s="472"/>
      <c r="M127059" s="472"/>
    </row>
    <row r="127060" spans="12:13" x14ac:dyDescent="0.25">
      <c r="L127060" s="472"/>
      <c r="M127060" s="472"/>
    </row>
    <row r="127061" spans="12:13" x14ac:dyDescent="0.25">
      <c r="L127061" s="472"/>
      <c r="M127061" s="472"/>
    </row>
    <row r="127133" spans="12:13" x14ac:dyDescent="0.25">
      <c r="L127133" s="472"/>
      <c r="M127133" s="472"/>
    </row>
    <row r="127134" spans="12:13" x14ac:dyDescent="0.25">
      <c r="L127134" s="472"/>
      <c r="M127134" s="472"/>
    </row>
    <row r="127135" spans="12:13" x14ac:dyDescent="0.25">
      <c r="L127135" s="472"/>
      <c r="M127135" s="472"/>
    </row>
    <row r="127207" spans="12:13" x14ac:dyDescent="0.25">
      <c r="L127207" s="472"/>
      <c r="M127207" s="472"/>
    </row>
    <row r="127208" spans="12:13" x14ac:dyDescent="0.25">
      <c r="L127208" s="472"/>
      <c r="M127208" s="472"/>
    </row>
    <row r="127209" spans="12:13" x14ac:dyDescent="0.25">
      <c r="L127209" s="472"/>
      <c r="M127209" s="472"/>
    </row>
    <row r="127281" spans="12:13" x14ac:dyDescent="0.25">
      <c r="L127281" s="472"/>
      <c r="M127281" s="472"/>
    </row>
    <row r="127282" spans="12:13" x14ac:dyDescent="0.25">
      <c r="L127282" s="472"/>
      <c r="M127282" s="472"/>
    </row>
    <row r="127283" spans="12:13" x14ac:dyDescent="0.25">
      <c r="L127283" s="472"/>
      <c r="M127283" s="472"/>
    </row>
    <row r="127355" spans="12:13" x14ac:dyDescent="0.25">
      <c r="L127355" s="472"/>
      <c r="M127355" s="472"/>
    </row>
    <row r="127356" spans="12:13" x14ac:dyDescent="0.25">
      <c r="L127356" s="472"/>
      <c r="M127356" s="472"/>
    </row>
    <row r="127357" spans="12:13" x14ac:dyDescent="0.25">
      <c r="L127357" s="472"/>
      <c r="M127357" s="472"/>
    </row>
    <row r="127429" spans="12:13" x14ac:dyDescent="0.25">
      <c r="L127429" s="472"/>
      <c r="M127429" s="472"/>
    </row>
    <row r="127430" spans="12:13" x14ac:dyDescent="0.25">
      <c r="L127430" s="472"/>
      <c r="M127430" s="472"/>
    </row>
    <row r="127431" spans="12:13" x14ac:dyDescent="0.25">
      <c r="L127431" s="472"/>
      <c r="M127431" s="472"/>
    </row>
    <row r="127503" spans="12:13" x14ac:dyDescent="0.25">
      <c r="L127503" s="472"/>
      <c r="M127503" s="472"/>
    </row>
    <row r="127504" spans="12:13" x14ac:dyDescent="0.25">
      <c r="L127504" s="472"/>
      <c r="M127504" s="472"/>
    </row>
    <row r="127505" spans="12:13" x14ac:dyDescent="0.25">
      <c r="L127505" s="472"/>
      <c r="M127505" s="472"/>
    </row>
    <row r="127577" spans="12:13" x14ac:dyDescent="0.25">
      <c r="L127577" s="472"/>
      <c r="M127577" s="472"/>
    </row>
    <row r="127578" spans="12:13" x14ac:dyDescent="0.25">
      <c r="L127578" s="472"/>
      <c r="M127578" s="472"/>
    </row>
    <row r="127579" spans="12:13" x14ac:dyDescent="0.25">
      <c r="L127579" s="472"/>
      <c r="M127579" s="472"/>
    </row>
    <row r="127651" spans="12:13" x14ac:dyDescent="0.25">
      <c r="L127651" s="472"/>
      <c r="M127651" s="472"/>
    </row>
    <row r="127652" spans="12:13" x14ac:dyDescent="0.25">
      <c r="L127652" s="472"/>
      <c r="M127652" s="472"/>
    </row>
    <row r="127653" spans="12:13" x14ac:dyDescent="0.25">
      <c r="L127653" s="472"/>
      <c r="M127653" s="472"/>
    </row>
    <row r="127725" spans="12:13" x14ac:dyDescent="0.25">
      <c r="L127725" s="472"/>
      <c r="M127725" s="472"/>
    </row>
    <row r="127726" spans="12:13" x14ac:dyDescent="0.25">
      <c r="L127726" s="472"/>
      <c r="M127726" s="472"/>
    </row>
    <row r="127727" spans="12:13" x14ac:dyDescent="0.25">
      <c r="L127727" s="472"/>
      <c r="M127727" s="472"/>
    </row>
    <row r="127799" spans="12:13" x14ac:dyDescent="0.25">
      <c r="L127799" s="472"/>
      <c r="M127799" s="472"/>
    </row>
    <row r="127800" spans="12:13" x14ac:dyDescent="0.25">
      <c r="L127800" s="472"/>
      <c r="M127800" s="472"/>
    </row>
    <row r="127801" spans="12:13" x14ac:dyDescent="0.25">
      <c r="L127801" s="472"/>
      <c r="M127801" s="472"/>
    </row>
    <row r="127873" spans="12:13" x14ac:dyDescent="0.25">
      <c r="L127873" s="472"/>
      <c r="M127873" s="472"/>
    </row>
    <row r="127874" spans="12:13" x14ac:dyDescent="0.25">
      <c r="L127874" s="472"/>
      <c r="M127874" s="472"/>
    </row>
    <row r="127875" spans="12:13" x14ac:dyDescent="0.25">
      <c r="L127875" s="472"/>
      <c r="M127875" s="472"/>
    </row>
    <row r="127947" spans="12:13" x14ac:dyDescent="0.25">
      <c r="L127947" s="472"/>
      <c r="M127947" s="472"/>
    </row>
    <row r="127948" spans="12:13" x14ac:dyDescent="0.25">
      <c r="L127948" s="472"/>
      <c r="M127948" s="472"/>
    </row>
    <row r="127949" spans="12:13" x14ac:dyDescent="0.25">
      <c r="L127949" s="472"/>
      <c r="M127949" s="472"/>
    </row>
    <row r="128021" spans="12:13" x14ac:dyDescent="0.25">
      <c r="L128021" s="472"/>
      <c r="M128021" s="472"/>
    </row>
    <row r="128022" spans="12:13" x14ac:dyDescent="0.25">
      <c r="L128022" s="472"/>
      <c r="M128022" s="472"/>
    </row>
    <row r="128023" spans="12:13" x14ac:dyDescent="0.25">
      <c r="L128023" s="472"/>
      <c r="M128023" s="472"/>
    </row>
    <row r="128095" spans="12:13" x14ac:dyDescent="0.25">
      <c r="L128095" s="472"/>
      <c r="M128095" s="472"/>
    </row>
    <row r="128096" spans="12:13" x14ac:dyDescent="0.25">
      <c r="L128096" s="472"/>
      <c r="M128096" s="472"/>
    </row>
    <row r="128097" spans="12:13" x14ac:dyDescent="0.25">
      <c r="L128097" s="472"/>
      <c r="M128097" s="472"/>
    </row>
    <row r="128169" spans="12:13" x14ac:dyDescent="0.25">
      <c r="L128169" s="472"/>
      <c r="M128169" s="472"/>
    </row>
    <row r="128170" spans="12:13" x14ac:dyDescent="0.25">
      <c r="L128170" s="472"/>
      <c r="M128170" s="472"/>
    </row>
    <row r="128171" spans="12:13" x14ac:dyDescent="0.25">
      <c r="L128171" s="472"/>
      <c r="M128171" s="472"/>
    </row>
    <row r="128243" spans="12:13" x14ac:dyDescent="0.25">
      <c r="L128243" s="472"/>
      <c r="M128243" s="472"/>
    </row>
    <row r="128244" spans="12:13" x14ac:dyDescent="0.25">
      <c r="L128244" s="472"/>
      <c r="M128244" s="472"/>
    </row>
    <row r="128245" spans="12:13" x14ac:dyDescent="0.25">
      <c r="L128245" s="472"/>
      <c r="M128245" s="472"/>
    </row>
    <row r="128317" spans="12:13" x14ac:dyDescent="0.25">
      <c r="L128317" s="472"/>
      <c r="M128317" s="472"/>
    </row>
    <row r="128318" spans="12:13" x14ac:dyDescent="0.25">
      <c r="L128318" s="472"/>
      <c r="M128318" s="472"/>
    </row>
    <row r="128319" spans="12:13" x14ac:dyDescent="0.25">
      <c r="L128319" s="472"/>
      <c r="M128319" s="472"/>
    </row>
    <row r="128391" spans="12:13" x14ac:dyDescent="0.25">
      <c r="L128391" s="472"/>
      <c r="M128391" s="472"/>
    </row>
    <row r="128392" spans="12:13" x14ac:dyDescent="0.25">
      <c r="L128392" s="472"/>
      <c r="M128392" s="472"/>
    </row>
    <row r="128393" spans="12:13" x14ac:dyDescent="0.25">
      <c r="L128393" s="472"/>
      <c r="M128393" s="472"/>
    </row>
    <row r="128465" spans="12:13" x14ac:dyDescent="0.25">
      <c r="L128465" s="472"/>
      <c r="M128465" s="472"/>
    </row>
    <row r="128466" spans="12:13" x14ac:dyDescent="0.25">
      <c r="L128466" s="472"/>
      <c r="M128466" s="472"/>
    </row>
    <row r="128467" spans="12:13" x14ac:dyDescent="0.25">
      <c r="L128467" s="472"/>
      <c r="M128467" s="472"/>
    </row>
    <row r="128539" spans="12:13" x14ac:dyDescent="0.25">
      <c r="L128539" s="472"/>
      <c r="M128539" s="472"/>
    </row>
    <row r="128540" spans="12:13" x14ac:dyDescent="0.25">
      <c r="L128540" s="472"/>
      <c r="M128540" s="472"/>
    </row>
    <row r="128541" spans="12:13" x14ac:dyDescent="0.25">
      <c r="L128541" s="472"/>
      <c r="M128541" s="472"/>
    </row>
    <row r="128613" spans="12:13" x14ac:dyDescent="0.25">
      <c r="L128613" s="472"/>
      <c r="M128613" s="472"/>
    </row>
    <row r="128614" spans="12:13" x14ac:dyDescent="0.25">
      <c r="L128614" s="472"/>
      <c r="M128614" s="472"/>
    </row>
    <row r="128615" spans="12:13" x14ac:dyDescent="0.25">
      <c r="L128615" s="472"/>
      <c r="M128615" s="472"/>
    </row>
    <row r="128687" spans="12:13" x14ac:dyDescent="0.25">
      <c r="L128687" s="472"/>
      <c r="M128687" s="472"/>
    </row>
    <row r="128688" spans="12:13" x14ac:dyDescent="0.25">
      <c r="L128688" s="472"/>
      <c r="M128688" s="472"/>
    </row>
    <row r="128689" spans="12:13" x14ac:dyDescent="0.25">
      <c r="L128689" s="472"/>
      <c r="M128689" s="472"/>
    </row>
    <row r="128761" spans="12:13" x14ac:dyDescent="0.25">
      <c r="L128761" s="472"/>
      <c r="M128761" s="472"/>
    </row>
    <row r="128762" spans="12:13" x14ac:dyDescent="0.25">
      <c r="L128762" s="472"/>
      <c r="M128762" s="472"/>
    </row>
    <row r="128763" spans="12:13" x14ac:dyDescent="0.25">
      <c r="L128763" s="472"/>
      <c r="M128763" s="472"/>
    </row>
    <row r="128835" spans="12:13" x14ac:dyDescent="0.25">
      <c r="L128835" s="472"/>
      <c r="M128835" s="472"/>
    </row>
    <row r="128836" spans="12:13" x14ac:dyDescent="0.25">
      <c r="L128836" s="472"/>
      <c r="M128836" s="472"/>
    </row>
    <row r="128837" spans="12:13" x14ac:dyDescent="0.25">
      <c r="L128837" s="472"/>
      <c r="M128837" s="472"/>
    </row>
    <row r="128909" spans="12:13" x14ac:dyDescent="0.25">
      <c r="L128909" s="472"/>
      <c r="M128909" s="472"/>
    </row>
    <row r="128910" spans="12:13" x14ac:dyDescent="0.25">
      <c r="L128910" s="472"/>
      <c r="M128910" s="472"/>
    </row>
    <row r="128911" spans="12:13" x14ac:dyDescent="0.25">
      <c r="L128911" s="472"/>
      <c r="M128911" s="472"/>
    </row>
    <row r="128983" spans="12:13" x14ac:dyDescent="0.25">
      <c r="L128983" s="472"/>
      <c r="M128983" s="472"/>
    </row>
    <row r="128984" spans="12:13" x14ac:dyDescent="0.25">
      <c r="L128984" s="472"/>
      <c r="M128984" s="472"/>
    </row>
    <row r="128985" spans="12:13" x14ac:dyDescent="0.25">
      <c r="L128985" s="472"/>
      <c r="M128985" s="472"/>
    </row>
    <row r="129057" spans="12:13" x14ac:dyDescent="0.25">
      <c r="L129057" s="472"/>
      <c r="M129057" s="472"/>
    </row>
    <row r="129058" spans="12:13" x14ac:dyDescent="0.25">
      <c r="L129058" s="472"/>
      <c r="M129058" s="472"/>
    </row>
    <row r="129059" spans="12:13" x14ac:dyDescent="0.25">
      <c r="L129059" s="472"/>
      <c r="M129059" s="472"/>
    </row>
    <row r="129131" spans="12:13" x14ac:dyDescent="0.25">
      <c r="L129131" s="472"/>
      <c r="M129131" s="472"/>
    </row>
    <row r="129132" spans="12:13" x14ac:dyDescent="0.25">
      <c r="L129132" s="472"/>
      <c r="M129132" s="472"/>
    </row>
    <row r="129133" spans="12:13" x14ac:dyDescent="0.25">
      <c r="L129133" s="472"/>
      <c r="M129133" s="472"/>
    </row>
    <row r="129205" spans="12:13" x14ac:dyDescent="0.25">
      <c r="L129205" s="472"/>
      <c r="M129205" s="472"/>
    </row>
    <row r="129206" spans="12:13" x14ac:dyDescent="0.25">
      <c r="L129206" s="472"/>
      <c r="M129206" s="472"/>
    </row>
    <row r="129207" spans="12:13" x14ac:dyDescent="0.25">
      <c r="L129207" s="472"/>
      <c r="M129207" s="472"/>
    </row>
    <row r="129279" spans="12:13" x14ac:dyDescent="0.25">
      <c r="L129279" s="472"/>
      <c r="M129279" s="472"/>
    </row>
    <row r="129280" spans="12:13" x14ac:dyDescent="0.25">
      <c r="L129280" s="472"/>
      <c r="M129280" s="472"/>
    </row>
    <row r="129281" spans="12:13" x14ac:dyDescent="0.25">
      <c r="L129281" s="472"/>
      <c r="M129281" s="472"/>
    </row>
    <row r="129353" spans="12:13" x14ac:dyDescent="0.25">
      <c r="L129353" s="472"/>
      <c r="M129353" s="472"/>
    </row>
    <row r="129354" spans="12:13" x14ac:dyDescent="0.25">
      <c r="L129354" s="472"/>
      <c r="M129354" s="472"/>
    </row>
    <row r="129355" spans="12:13" x14ac:dyDescent="0.25">
      <c r="L129355" s="472"/>
      <c r="M129355" s="472"/>
    </row>
    <row r="129427" spans="12:13" x14ac:dyDescent="0.25">
      <c r="L129427" s="472"/>
      <c r="M129427" s="472"/>
    </row>
    <row r="129428" spans="12:13" x14ac:dyDescent="0.25">
      <c r="L129428" s="472"/>
      <c r="M129428" s="472"/>
    </row>
    <row r="129429" spans="12:13" x14ac:dyDescent="0.25">
      <c r="L129429" s="472"/>
      <c r="M129429" s="472"/>
    </row>
    <row r="129501" spans="12:13" x14ac:dyDescent="0.25">
      <c r="L129501" s="472"/>
      <c r="M129501" s="472"/>
    </row>
    <row r="129502" spans="12:13" x14ac:dyDescent="0.25">
      <c r="L129502" s="472"/>
      <c r="M129502" s="472"/>
    </row>
    <row r="129503" spans="12:13" x14ac:dyDescent="0.25">
      <c r="L129503" s="472"/>
      <c r="M129503" s="472"/>
    </row>
    <row r="129575" spans="12:13" x14ac:dyDescent="0.25">
      <c r="L129575" s="472"/>
      <c r="M129575" s="472"/>
    </row>
    <row r="129576" spans="12:13" x14ac:dyDescent="0.25">
      <c r="L129576" s="472"/>
      <c r="M129576" s="472"/>
    </row>
    <row r="129577" spans="12:13" x14ac:dyDescent="0.25">
      <c r="L129577" s="472"/>
      <c r="M129577" s="472"/>
    </row>
    <row r="129649" spans="12:13" x14ac:dyDescent="0.25">
      <c r="L129649" s="472"/>
      <c r="M129649" s="472"/>
    </row>
    <row r="129650" spans="12:13" x14ac:dyDescent="0.25">
      <c r="L129650" s="472"/>
      <c r="M129650" s="472"/>
    </row>
    <row r="129651" spans="12:13" x14ac:dyDescent="0.25">
      <c r="L129651" s="472"/>
      <c r="M129651" s="472"/>
    </row>
    <row r="129723" spans="12:13" x14ac:dyDescent="0.25">
      <c r="L129723" s="472"/>
      <c r="M129723" s="472"/>
    </row>
    <row r="129724" spans="12:13" x14ac:dyDescent="0.25">
      <c r="L129724" s="472"/>
      <c r="M129724" s="472"/>
    </row>
    <row r="129725" spans="12:13" x14ac:dyDescent="0.25">
      <c r="L129725" s="472"/>
      <c r="M129725" s="472"/>
    </row>
    <row r="129797" spans="12:13" x14ac:dyDescent="0.25">
      <c r="L129797" s="472"/>
      <c r="M129797" s="472"/>
    </row>
    <row r="129798" spans="12:13" x14ac:dyDescent="0.25">
      <c r="L129798" s="472"/>
      <c r="M129798" s="472"/>
    </row>
    <row r="129799" spans="12:13" x14ac:dyDescent="0.25">
      <c r="L129799" s="472"/>
      <c r="M129799" s="472"/>
    </row>
    <row r="129871" spans="12:13" x14ac:dyDescent="0.25">
      <c r="L129871" s="472"/>
      <c r="M129871" s="472"/>
    </row>
    <row r="129872" spans="12:13" x14ac:dyDescent="0.25">
      <c r="L129872" s="472"/>
      <c r="M129872" s="472"/>
    </row>
    <row r="129873" spans="12:13" x14ac:dyDescent="0.25">
      <c r="L129873" s="472"/>
      <c r="M129873" s="472"/>
    </row>
    <row r="129945" spans="12:13" x14ac:dyDescent="0.25">
      <c r="L129945" s="472"/>
      <c r="M129945" s="472"/>
    </row>
    <row r="129946" spans="12:13" x14ac:dyDescent="0.25">
      <c r="L129946" s="472"/>
      <c r="M129946" s="472"/>
    </row>
    <row r="129947" spans="12:13" x14ac:dyDescent="0.25">
      <c r="L129947" s="472"/>
      <c r="M129947" s="472"/>
    </row>
    <row r="130019" spans="12:13" x14ac:dyDescent="0.25">
      <c r="L130019" s="472"/>
      <c r="M130019" s="472"/>
    </row>
    <row r="130020" spans="12:13" x14ac:dyDescent="0.25">
      <c r="L130020" s="472"/>
      <c r="M130020" s="472"/>
    </row>
    <row r="130021" spans="12:13" x14ac:dyDescent="0.25">
      <c r="L130021" s="472"/>
      <c r="M130021" s="472"/>
    </row>
    <row r="130093" spans="12:13" x14ac:dyDescent="0.25">
      <c r="L130093" s="472"/>
      <c r="M130093" s="472"/>
    </row>
    <row r="130094" spans="12:13" x14ac:dyDescent="0.25">
      <c r="L130094" s="472"/>
      <c r="M130094" s="472"/>
    </row>
    <row r="130095" spans="12:13" x14ac:dyDescent="0.25">
      <c r="L130095" s="472"/>
      <c r="M130095" s="472"/>
    </row>
    <row r="130167" spans="12:13" x14ac:dyDescent="0.25">
      <c r="L130167" s="472"/>
      <c r="M130167" s="472"/>
    </row>
    <row r="130168" spans="12:13" x14ac:dyDescent="0.25">
      <c r="L130168" s="472"/>
      <c r="M130168" s="472"/>
    </row>
    <row r="130169" spans="12:13" x14ac:dyDescent="0.25">
      <c r="L130169" s="472"/>
      <c r="M130169" s="472"/>
    </row>
    <row r="130241" spans="12:13" x14ac:dyDescent="0.25">
      <c r="L130241" s="472"/>
      <c r="M130241" s="472"/>
    </row>
    <row r="130242" spans="12:13" x14ac:dyDescent="0.25">
      <c r="L130242" s="472"/>
      <c r="M130242" s="472"/>
    </row>
    <row r="130243" spans="12:13" x14ac:dyDescent="0.25">
      <c r="L130243" s="472"/>
      <c r="M130243" s="472"/>
    </row>
    <row r="130315" spans="12:13" x14ac:dyDescent="0.25">
      <c r="L130315" s="472"/>
      <c r="M130315" s="472"/>
    </row>
    <row r="130316" spans="12:13" x14ac:dyDescent="0.25">
      <c r="L130316" s="472"/>
      <c r="M130316" s="472"/>
    </row>
    <row r="130317" spans="12:13" x14ac:dyDescent="0.25">
      <c r="L130317" s="472"/>
      <c r="M130317" s="472"/>
    </row>
    <row r="130389" spans="12:13" x14ac:dyDescent="0.25">
      <c r="L130389" s="472"/>
      <c r="M130389" s="472"/>
    </row>
    <row r="130390" spans="12:13" x14ac:dyDescent="0.25">
      <c r="L130390" s="472"/>
      <c r="M130390" s="472"/>
    </row>
    <row r="130391" spans="12:13" x14ac:dyDescent="0.25">
      <c r="L130391" s="472"/>
      <c r="M130391" s="472"/>
    </row>
    <row r="130463" spans="12:13" x14ac:dyDescent="0.25">
      <c r="L130463" s="472"/>
      <c r="M130463" s="472"/>
    </row>
    <row r="130464" spans="12:13" x14ac:dyDescent="0.25">
      <c r="L130464" s="472"/>
      <c r="M130464" s="472"/>
    </row>
    <row r="130465" spans="12:13" x14ac:dyDescent="0.25">
      <c r="L130465" s="472"/>
      <c r="M130465" s="472"/>
    </row>
    <row r="130537" spans="12:13" x14ac:dyDescent="0.25">
      <c r="L130537" s="472"/>
      <c r="M130537" s="472"/>
    </row>
    <row r="130538" spans="12:13" x14ac:dyDescent="0.25">
      <c r="L130538" s="472"/>
      <c r="M130538" s="472"/>
    </row>
    <row r="130539" spans="12:13" x14ac:dyDescent="0.25">
      <c r="L130539" s="472"/>
      <c r="M130539" s="472"/>
    </row>
    <row r="130611" spans="12:13" x14ac:dyDescent="0.25">
      <c r="L130611" s="472"/>
      <c r="M130611" s="472"/>
    </row>
    <row r="130612" spans="12:13" x14ac:dyDescent="0.25">
      <c r="L130612" s="472"/>
      <c r="M130612" s="472"/>
    </row>
    <row r="130613" spans="12:13" x14ac:dyDescent="0.25">
      <c r="L130613" s="472"/>
      <c r="M130613" s="472"/>
    </row>
    <row r="130685" spans="12:13" x14ac:dyDescent="0.25">
      <c r="L130685" s="472"/>
      <c r="M130685" s="472"/>
    </row>
    <row r="130686" spans="12:13" x14ac:dyDescent="0.25">
      <c r="L130686" s="472"/>
      <c r="M130686" s="472"/>
    </row>
    <row r="130687" spans="12:13" x14ac:dyDescent="0.25">
      <c r="L130687" s="472"/>
      <c r="M130687" s="472"/>
    </row>
    <row r="130759" spans="12:13" x14ac:dyDescent="0.25">
      <c r="L130759" s="472"/>
      <c r="M130759" s="472"/>
    </row>
    <row r="130760" spans="12:13" x14ac:dyDescent="0.25">
      <c r="L130760" s="472"/>
      <c r="M130760" s="472"/>
    </row>
    <row r="130761" spans="12:13" x14ac:dyDescent="0.25">
      <c r="L130761" s="472"/>
      <c r="M130761" s="472"/>
    </row>
    <row r="130833" spans="12:13" x14ac:dyDescent="0.25">
      <c r="L130833" s="472"/>
      <c r="M130833" s="472"/>
    </row>
    <row r="130834" spans="12:13" x14ac:dyDescent="0.25">
      <c r="L130834" s="472"/>
      <c r="M130834" s="472"/>
    </row>
    <row r="130835" spans="12:13" x14ac:dyDescent="0.25">
      <c r="L130835" s="472"/>
      <c r="M130835" s="472"/>
    </row>
    <row r="130907" spans="12:13" x14ac:dyDescent="0.25">
      <c r="L130907" s="472"/>
      <c r="M130907" s="472"/>
    </row>
    <row r="130908" spans="12:13" x14ac:dyDescent="0.25">
      <c r="L130908" s="472"/>
      <c r="M130908" s="472"/>
    </row>
    <row r="130909" spans="12:13" x14ac:dyDescent="0.25">
      <c r="L130909" s="472"/>
      <c r="M130909" s="472"/>
    </row>
    <row r="130981" spans="12:13" x14ac:dyDescent="0.25">
      <c r="L130981" s="472"/>
      <c r="M130981" s="472"/>
    </row>
    <row r="130982" spans="12:13" x14ac:dyDescent="0.25">
      <c r="L130982" s="472"/>
      <c r="M130982" s="472"/>
    </row>
    <row r="130983" spans="12:13" x14ac:dyDescent="0.25">
      <c r="L130983" s="472"/>
      <c r="M130983" s="472"/>
    </row>
    <row r="131055" spans="12:13" x14ac:dyDescent="0.25">
      <c r="L131055" s="472"/>
      <c r="M131055" s="472"/>
    </row>
    <row r="131056" spans="12:13" x14ac:dyDescent="0.25">
      <c r="L131056" s="472"/>
      <c r="M131056" s="472"/>
    </row>
    <row r="131057" spans="12:13" x14ac:dyDescent="0.25">
      <c r="L131057" s="472"/>
      <c r="M131057" s="472"/>
    </row>
    <row r="131129" spans="12:13" x14ac:dyDescent="0.25">
      <c r="L131129" s="472"/>
      <c r="M131129" s="472"/>
    </row>
    <row r="131130" spans="12:13" x14ac:dyDescent="0.25">
      <c r="L131130" s="472"/>
      <c r="M131130" s="472"/>
    </row>
    <row r="131131" spans="12:13" x14ac:dyDescent="0.25">
      <c r="L131131" s="472"/>
      <c r="M131131" s="472"/>
    </row>
    <row r="131203" spans="12:13" x14ac:dyDescent="0.25">
      <c r="L131203" s="472"/>
      <c r="M131203" s="472"/>
    </row>
    <row r="131204" spans="12:13" x14ac:dyDescent="0.25">
      <c r="L131204" s="472"/>
      <c r="M131204" s="472"/>
    </row>
    <row r="131205" spans="12:13" x14ac:dyDescent="0.25">
      <c r="L131205" s="472"/>
      <c r="M131205" s="472"/>
    </row>
    <row r="131277" spans="12:13" x14ac:dyDescent="0.25">
      <c r="L131277" s="472"/>
      <c r="M131277" s="472"/>
    </row>
    <row r="131278" spans="12:13" x14ac:dyDescent="0.25">
      <c r="L131278" s="472"/>
      <c r="M131278" s="472"/>
    </row>
    <row r="131279" spans="12:13" x14ac:dyDescent="0.25">
      <c r="L131279" s="472"/>
      <c r="M131279" s="472"/>
    </row>
    <row r="131351" spans="12:13" x14ac:dyDescent="0.25">
      <c r="L131351" s="472"/>
      <c r="M131351" s="472"/>
    </row>
    <row r="131352" spans="12:13" x14ac:dyDescent="0.25">
      <c r="L131352" s="472"/>
      <c r="M131352" s="472"/>
    </row>
    <row r="131353" spans="12:13" x14ac:dyDescent="0.25">
      <c r="L131353" s="472"/>
      <c r="M131353" s="472"/>
    </row>
    <row r="131425" spans="12:13" x14ac:dyDescent="0.25">
      <c r="L131425" s="472"/>
      <c r="M131425" s="472"/>
    </row>
    <row r="131426" spans="12:13" x14ac:dyDescent="0.25">
      <c r="L131426" s="472"/>
      <c r="M131426" s="472"/>
    </row>
    <row r="131427" spans="12:13" x14ac:dyDescent="0.25">
      <c r="L131427" s="472"/>
      <c r="M131427" s="472"/>
    </row>
    <row r="131499" spans="12:13" x14ac:dyDescent="0.25">
      <c r="L131499" s="472"/>
      <c r="M131499" s="472"/>
    </row>
    <row r="131500" spans="12:13" x14ac:dyDescent="0.25">
      <c r="L131500" s="472"/>
      <c r="M131500" s="472"/>
    </row>
    <row r="131501" spans="12:13" x14ac:dyDescent="0.25">
      <c r="L131501" s="472"/>
      <c r="M131501" s="472"/>
    </row>
    <row r="131573" spans="12:13" x14ac:dyDescent="0.25">
      <c r="L131573" s="472"/>
      <c r="M131573" s="472"/>
    </row>
    <row r="131574" spans="12:13" x14ac:dyDescent="0.25">
      <c r="L131574" s="472"/>
      <c r="M131574" s="472"/>
    </row>
    <row r="131575" spans="12:13" x14ac:dyDescent="0.25">
      <c r="L131575" s="472"/>
      <c r="M131575" s="472"/>
    </row>
    <row r="131647" spans="12:13" x14ac:dyDescent="0.25">
      <c r="L131647" s="472"/>
      <c r="M131647" s="472"/>
    </row>
    <row r="131648" spans="12:13" x14ac:dyDescent="0.25">
      <c r="L131648" s="472"/>
      <c r="M131648" s="472"/>
    </row>
    <row r="131649" spans="12:13" x14ac:dyDescent="0.25">
      <c r="L131649" s="472"/>
      <c r="M131649" s="472"/>
    </row>
    <row r="131721" spans="12:13" x14ac:dyDescent="0.25">
      <c r="L131721" s="472"/>
      <c r="M131721" s="472"/>
    </row>
    <row r="131722" spans="12:13" x14ac:dyDescent="0.25">
      <c r="L131722" s="472"/>
      <c r="M131722" s="472"/>
    </row>
    <row r="131723" spans="12:13" x14ac:dyDescent="0.25">
      <c r="L131723" s="472"/>
      <c r="M131723" s="472"/>
    </row>
    <row r="131795" spans="12:13" x14ac:dyDescent="0.25">
      <c r="L131795" s="472"/>
      <c r="M131795" s="472"/>
    </row>
    <row r="131796" spans="12:13" x14ac:dyDescent="0.25">
      <c r="L131796" s="472"/>
      <c r="M131796" s="472"/>
    </row>
    <row r="131797" spans="12:13" x14ac:dyDescent="0.25">
      <c r="L131797" s="472"/>
      <c r="M131797" s="472"/>
    </row>
    <row r="131869" spans="12:13" x14ac:dyDescent="0.25">
      <c r="L131869" s="472"/>
      <c r="M131869" s="472"/>
    </row>
    <row r="131870" spans="12:13" x14ac:dyDescent="0.25">
      <c r="L131870" s="472"/>
      <c r="M131870" s="472"/>
    </row>
    <row r="131871" spans="12:13" x14ac:dyDescent="0.25">
      <c r="L131871" s="472"/>
      <c r="M131871" s="472"/>
    </row>
    <row r="131943" spans="12:13" x14ac:dyDescent="0.25">
      <c r="L131943" s="472"/>
      <c r="M131943" s="472"/>
    </row>
    <row r="131944" spans="12:13" x14ac:dyDescent="0.25">
      <c r="L131944" s="472"/>
      <c r="M131944" s="472"/>
    </row>
    <row r="131945" spans="12:13" x14ac:dyDescent="0.25">
      <c r="L131945" s="472"/>
      <c r="M131945" s="472"/>
    </row>
    <row r="132017" spans="12:13" x14ac:dyDescent="0.25">
      <c r="L132017" s="472"/>
      <c r="M132017" s="472"/>
    </row>
    <row r="132018" spans="12:13" x14ac:dyDescent="0.25">
      <c r="L132018" s="472"/>
      <c r="M132018" s="472"/>
    </row>
    <row r="132019" spans="12:13" x14ac:dyDescent="0.25">
      <c r="L132019" s="472"/>
      <c r="M132019" s="472"/>
    </row>
    <row r="132091" spans="12:13" x14ac:dyDescent="0.25">
      <c r="L132091" s="472"/>
      <c r="M132091" s="472"/>
    </row>
    <row r="132092" spans="12:13" x14ac:dyDescent="0.25">
      <c r="L132092" s="472"/>
      <c r="M132092" s="472"/>
    </row>
    <row r="132093" spans="12:13" x14ac:dyDescent="0.25">
      <c r="L132093" s="472"/>
      <c r="M132093" s="472"/>
    </row>
    <row r="132165" spans="12:13" x14ac:dyDescent="0.25">
      <c r="L132165" s="472"/>
      <c r="M132165" s="472"/>
    </row>
    <row r="132166" spans="12:13" x14ac:dyDescent="0.25">
      <c r="L132166" s="472"/>
      <c r="M132166" s="472"/>
    </row>
    <row r="132167" spans="12:13" x14ac:dyDescent="0.25">
      <c r="L132167" s="472"/>
      <c r="M132167" s="472"/>
    </row>
    <row r="132239" spans="12:13" x14ac:dyDescent="0.25">
      <c r="L132239" s="472"/>
      <c r="M132239" s="472"/>
    </row>
    <row r="132240" spans="12:13" x14ac:dyDescent="0.25">
      <c r="L132240" s="472"/>
      <c r="M132240" s="472"/>
    </row>
    <row r="132241" spans="12:13" x14ac:dyDescent="0.25">
      <c r="L132241" s="472"/>
      <c r="M132241" s="472"/>
    </row>
    <row r="132313" spans="12:13" x14ac:dyDescent="0.25">
      <c r="L132313" s="472"/>
      <c r="M132313" s="472"/>
    </row>
    <row r="132314" spans="12:13" x14ac:dyDescent="0.25">
      <c r="L132314" s="472"/>
      <c r="M132314" s="472"/>
    </row>
    <row r="132315" spans="12:13" x14ac:dyDescent="0.25">
      <c r="L132315" s="472"/>
      <c r="M132315" s="472"/>
    </row>
    <row r="132387" spans="12:13" x14ac:dyDescent="0.25">
      <c r="L132387" s="472"/>
      <c r="M132387" s="472"/>
    </row>
    <row r="132388" spans="12:13" x14ac:dyDescent="0.25">
      <c r="L132388" s="472"/>
      <c r="M132388" s="472"/>
    </row>
    <row r="132389" spans="12:13" x14ac:dyDescent="0.25">
      <c r="L132389" s="472"/>
      <c r="M132389" s="472"/>
    </row>
    <row r="132461" spans="12:13" x14ac:dyDescent="0.25">
      <c r="L132461" s="472"/>
      <c r="M132461" s="472"/>
    </row>
    <row r="132462" spans="12:13" x14ac:dyDescent="0.25">
      <c r="L132462" s="472"/>
      <c r="M132462" s="472"/>
    </row>
    <row r="132463" spans="12:13" x14ac:dyDescent="0.25">
      <c r="L132463" s="472"/>
      <c r="M132463" s="472"/>
    </row>
    <row r="132535" spans="12:13" x14ac:dyDescent="0.25">
      <c r="L132535" s="472"/>
      <c r="M132535" s="472"/>
    </row>
    <row r="132536" spans="12:13" x14ac:dyDescent="0.25">
      <c r="L132536" s="472"/>
      <c r="M132536" s="472"/>
    </row>
    <row r="132537" spans="12:13" x14ac:dyDescent="0.25">
      <c r="L132537" s="472"/>
      <c r="M132537" s="472"/>
    </row>
    <row r="132609" spans="12:13" x14ac:dyDescent="0.25">
      <c r="L132609" s="472"/>
      <c r="M132609" s="472"/>
    </row>
    <row r="132610" spans="12:13" x14ac:dyDescent="0.25">
      <c r="L132610" s="472"/>
      <c r="M132610" s="472"/>
    </row>
    <row r="132611" spans="12:13" x14ac:dyDescent="0.25">
      <c r="L132611" s="472"/>
      <c r="M132611" s="472"/>
    </row>
    <row r="132683" spans="12:13" x14ac:dyDescent="0.25">
      <c r="L132683" s="472"/>
      <c r="M132683" s="472"/>
    </row>
    <row r="132684" spans="12:13" x14ac:dyDescent="0.25">
      <c r="L132684" s="472"/>
      <c r="M132684" s="472"/>
    </row>
    <row r="132685" spans="12:13" x14ac:dyDescent="0.25">
      <c r="L132685" s="472"/>
      <c r="M132685" s="472"/>
    </row>
    <row r="132757" spans="12:13" x14ac:dyDescent="0.25">
      <c r="L132757" s="472"/>
      <c r="M132757" s="472"/>
    </row>
    <row r="132758" spans="12:13" x14ac:dyDescent="0.25">
      <c r="L132758" s="472"/>
      <c r="M132758" s="472"/>
    </row>
    <row r="132759" spans="12:13" x14ac:dyDescent="0.25">
      <c r="L132759" s="472"/>
      <c r="M132759" s="472"/>
    </row>
    <row r="132831" spans="12:13" x14ac:dyDescent="0.25">
      <c r="L132831" s="472"/>
      <c r="M132831" s="472"/>
    </row>
    <row r="132832" spans="12:13" x14ac:dyDescent="0.25">
      <c r="L132832" s="472"/>
      <c r="M132832" s="472"/>
    </row>
    <row r="132833" spans="12:13" x14ac:dyDescent="0.25">
      <c r="L132833" s="472"/>
      <c r="M132833" s="472"/>
    </row>
    <row r="132905" spans="12:13" x14ac:dyDescent="0.25">
      <c r="L132905" s="472"/>
      <c r="M132905" s="472"/>
    </row>
    <row r="132906" spans="12:13" x14ac:dyDescent="0.25">
      <c r="L132906" s="472"/>
      <c r="M132906" s="472"/>
    </row>
    <row r="132907" spans="12:13" x14ac:dyDescent="0.25">
      <c r="L132907" s="472"/>
      <c r="M132907" s="472"/>
    </row>
    <row r="132979" spans="12:13" x14ac:dyDescent="0.25">
      <c r="L132979" s="472"/>
      <c r="M132979" s="472"/>
    </row>
    <row r="132980" spans="12:13" x14ac:dyDescent="0.25">
      <c r="L132980" s="472"/>
      <c r="M132980" s="472"/>
    </row>
    <row r="132981" spans="12:13" x14ac:dyDescent="0.25">
      <c r="L132981" s="472"/>
      <c r="M132981" s="472"/>
    </row>
    <row r="133053" spans="12:13" x14ac:dyDescent="0.25">
      <c r="L133053" s="472"/>
      <c r="M133053" s="472"/>
    </row>
    <row r="133054" spans="12:13" x14ac:dyDescent="0.25">
      <c r="L133054" s="472"/>
      <c r="M133054" s="472"/>
    </row>
    <row r="133055" spans="12:13" x14ac:dyDescent="0.25">
      <c r="L133055" s="472"/>
      <c r="M133055" s="472"/>
    </row>
    <row r="133127" spans="12:13" x14ac:dyDescent="0.25">
      <c r="L133127" s="472"/>
      <c r="M133127" s="472"/>
    </row>
    <row r="133128" spans="12:13" x14ac:dyDescent="0.25">
      <c r="L133128" s="472"/>
      <c r="M133128" s="472"/>
    </row>
    <row r="133129" spans="12:13" x14ac:dyDescent="0.25">
      <c r="L133129" s="472"/>
      <c r="M133129" s="472"/>
    </row>
    <row r="133201" spans="12:13" x14ac:dyDescent="0.25">
      <c r="L133201" s="472"/>
      <c r="M133201" s="472"/>
    </row>
    <row r="133202" spans="12:13" x14ac:dyDescent="0.25">
      <c r="L133202" s="472"/>
      <c r="M133202" s="472"/>
    </row>
    <row r="133203" spans="12:13" x14ac:dyDescent="0.25">
      <c r="L133203" s="472"/>
      <c r="M133203" s="472"/>
    </row>
    <row r="133275" spans="12:13" x14ac:dyDescent="0.25">
      <c r="L133275" s="472"/>
      <c r="M133275" s="472"/>
    </row>
    <row r="133276" spans="12:13" x14ac:dyDescent="0.25">
      <c r="L133276" s="472"/>
      <c r="M133276" s="472"/>
    </row>
    <row r="133277" spans="12:13" x14ac:dyDescent="0.25">
      <c r="L133277" s="472"/>
      <c r="M133277" s="472"/>
    </row>
    <row r="133349" spans="12:13" x14ac:dyDescent="0.25">
      <c r="L133349" s="472"/>
      <c r="M133349" s="472"/>
    </row>
    <row r="133350" spans="12:13" x14ac:dyDescent="0.25">
      <c r="L133350" s="472"/>
      <c r="M133350" s="472"/>
    </row>
    <row r="133351" spans="12:13" x14ac:dyDescent="0.25">
      <c r="L133351" s="472"/>
      <c r="M133351" s="472"/>
    </row>
    <row r="133423" spans="12:13" x14ac:dyDescent="0.25">
      <c r="L133423" s="472"/>
      <c r="M133423" s="472"/>
    </row>
    <row r="133424" spans="12:13" x14ac:dyDescent="0.25">
      <c r="L133424" s="472"/>
      <c r="M133424" s="472"/>
    </row>
    <row r="133425" spans="12:13" x14ac:dyDescent="0.25">
      <c r="L133425" s="472"/>
      <c r="M133425" s="472"/>
    </row>
    <row r="133497" spans="12:13" x14ac:dyDescent="0.25">
      <c r="L133497" s="472"/>
      <c r="M133497" s="472"/>
    </row>
    <row r="133498" spans="12:13" x14ac:dyDescent="0.25">
      <c r="L133498" s="472"/>
      <c r="M133498" s="472"/>
    </row>
    <row r="133499" spans="12:13" x14ac:dyDescent="0.25">
      <c r="L133499" s="472"/>
      <c r="M133499" s="472"/>
    </row>
    <row r="133571" spans="12:13" x14ac:dyDescent="0.25">
      <c r="L133571" s="472"/>
      <c r="M133571" s="472"/>
    </row>
    <row r="133572" spans="12:13" x14ac:dyDescent="0.25">
      <c r="L133572" s="472"/>
      <c r="M133572" s="472"/>
    </row>
    <row r="133573" spans="12:13" x14ac:dyDescent="0.25">
      <c r="L133573" s="472"/>
      <c r="M133573" s="472"/>
    </row>
    <row r="133645" spans="12:13" x14ac:dyDescent="0.25">
      <c r="L133645" s="472"/>
      <c r="M133645" s="472"/>
    </row>
    <row r="133646" spans="12:13" x14ac:dyDescent="0.25">
      <c r="L133646" s="472"/>
      <c r="M133646" s="472"/>
    </row>
    <row r="133647" spans="12:13" x14ac:dyDescent="0.25">
      <c r="L133647" s="472"/>
      <c r="M133647" s="472"/>
    </row>
    <row r="133719" spans="12:13" x14ac:dyDescent="0.25">
      <c r="L133719" s="472"/>
      <c r="M133719" s="472"/>
    </row>
    <row r="133720" spans="12:13" x14ac:dyDescent="0.25">
      <c r="L133720" s="472"/>
      <c r="M133720" s="472"/>
    </row>
    <row r="133721" spans="12:13" x14ac:dyDescent="0.25">
      <c r="L133721" s="472"/>
      <c r="M133721" s="472"/>
    </row>
    <row r="133793" spans="12:13" x14ac:dyDescent="0.25">
      <c r="L133793" s="472"/>
      <c r="M133793" s="472"/>
    </row>
    <row r="133794" spans="12:13" x14ac:dyDescent="0.25">
      <c r="L133794" s="472"/>
      <c r="M133794" s="472"/>
    </row>
    <row r="133795" spans="12:13" x14ac:dyDescent="0.25">
      <c r="L133795" s="472"/>
      <c r="M133795" s="472"/>
    </row>
    <row r="133867" spans="12:13" x14ac:dyDescent="0.25">
      <c r="L133867" s="472"/>
      <c r="M133867" s="472"/>
    </row>
    <row r="133868" spans="12:13" x14ac:dyDescent="0.25">
      <c r="L133868" s="472"/>
      <c r="M133868" s="472"/>
    </row>
    <row r="133869" spans="12:13" x14ac:dyDescent="0.25">
      <c r="L133869" s="472"/>
      <c r="M133869" s="472"/>
    </row>
    <row r="133941" spans="12:13" x14ac:dyDescent="0.25">
      <c r="L133941" s="472"/>
      <c r="M133941" s="472"/>
    </row>
    <row r="133942" spans="12:13" x14ac:dyDescent="0.25">
      <c r="L133942" s="472"/>
      <c r="M133942" s="472"/>
    </row>
    <row r="133943" spans="12:13" x14ac:dyDescent="0.25">
      <c r="L133943" s="472"/>
      <c r="M133943" s="472"/>
    </row>
    <row r="134015" spans="12:13" x14ac:dyDescent="0.25">
      <c r="L134015" s="472"/>
      <c r="M134015" s="472"/>
    </row>
    <row r="134016" spans="12:13" x14ac:dyDescent="0.25">
      <c r="L134016" s="472"/>
      <c r="M134016" s="472"/>
    </row>
    <row r="134017" spans="12:13" x14ac:dyDescent="0.25">
      <c r="L134017" s="472"/>
      <c r="M134017" s="472"/>
    </row>
    <row r="134089" spans="12:13" x14ac:dyDescent="0.25">
      <c r="L134089" s="472"/>
      <c r="M134089" s="472"/>
    </row>
    <row r="134090" spans="12:13" x14ac:dyDescent="0.25">
      <c r="L134090" s="472"/>
      <c r="M134090" s="472"/>
    </row>
    <row r="134091" spans="12:13" x14ac:dyDescent="0.25">
      <c r="L134091" s="472"/>
      <c r="M134091" s="472"/>
    </row>
    <row r="134163" spans="12:13" x14ac:dyDescent="0.25">
      <c r="L134163" s="472"/>
      <c r="M134163" s="472"/>
    </row>
    <row r="134164" spans="12:13" x14ac:dyDescent="0.25">
      <c r="L134164" s="472"/>
      <c r="M134164" s="472"/>
    </row>
    <row r="134165" spans="12:13" x14ac:dyDescent="0.25">
      <c r="L134165" s="472"/>
      <c r="M134165" s="472"/>
    </row>
    <row r="134237" spans="12:13" x14ac:dyDescent="0.25">
      <c r="L134237" s="472"/>
      <c r="M134237" s="472"/>
    </row>
    <row r="134238" spans="12:13" x14ac:dyDescent="0.25">
      <c r="L134238" s="472"/>
      <c r="M134238" s="472"/>
    </row>
    <row r="134239" spans="12:13" x14ac:dyDescent="0.25">
      <c r="L134239" s="472"/>
      <c r="M134239" s="472"/>
    </row>
    <row r="134311" spans="12:13" x14ac:dyDescent="0.25">
      <c r="L134311" s="472"/>
      <c r="M134311" s="472"/>
    </row>
    <row r="134312" spans="12:13" x14ac:dyDescent="0.25">
      <c r="L134312" s="472"/>
      <c r="M134312" s="472"/>
    </row>
    <row r="134313" spans="12:13" x14ac:dyDescent="0.25">
      <c r="L134313" s="472"/>
      <c r="M134313" s="472"/>
    </row>
    <row r="134385" spans="12:13" x14ac:dyDescent="0.25">
      <c r="L134385" s="472"/>
      <c r="M134385" s="472"/>
    </row>
    <row r="134386" spans="12:13" x14ac:dyDescent="0.25">
      <c r="L134386" s="472"/>
      <c r="M134386" s="472"/>
    </row>
    <row r="134387" spans="12:13" x14ac:dyDescent="0.25">
      <c r="L134387" s="472"/>
      <c r="M134387" s="472"/>
    </row>
    <row r="134459" spans="12:13" x14ac:dyDescent="0.25">
      <c r="L134459" s="472"/>
      <c r="M134459" s="472"/>
    </row>
    <row r="134460" spans="12:13" x14ac:dyDescent="0.25">
      <c r="L134460" s="472"/>
      <c r="M134460" s="472"/>
    </row>
    <row r="134461" spans="12:13" x14ac:dyDescent="0.25">
      <c r="L134461" s="472"/>
      <c r="M134461" s="472"/>
    </row>
    <row r="134533" spans="12:13" x14ac:dyDescent="0.25">
      <c r="L134533" s="472"/>
      <c r="M134533" s="472"/>
    </row>
    <row r="134534" spans="12:13" x14ac:dyDescent="0.25">
      <c r="L134534" s="472"/>
      <c r="M134534" s="472"/>
    </row>
    <row r="134535" spans="12:13" x14ac:dyDescent="0.25">
      <c r="L134535" s="472"/>
      <c r="M134535" s="472"/>
    </row>
    <row r="134607" spans="12:13" x14ac:dyDescent="0.25">
      <c r="L134607" s="472"/>
      <c r="M134607" s="472"/>
    </row>
    <row r="134608" spans="12:13" x14ac:dyDescent="0.25">
      <c r="L134608" s="472"/>
      <c r="M134608" s="472"/>
    </row>
    <row r="134609" spans="12:13" x14ac:dyDescent="0.25">
      <c r="L134609" s="472"/>
      <c r="M134609" s="472"/>
    </row>
    <row r="134681" spans="12:13" x14ac:dyDescent="0.25">
      <c r="L134681" s="472"/>
      <c r="M134681" s="472"/>
    </row>
    <row r="134682" spans="12:13" x14ac:dyDescent="0.25">
      <c r="L134682" s="472"/>
      <c r="M134682" s="472"/>
    </row>
    <row r="134683" spans="12:13" x14ac:dyDescent="0.25">
      <c r="L134683" s="472"/>
      <c r="M134683" s="472"/>
    </row>
    <row r="134755" spans="12:13" x14ac:dyDescent="0.25">
      <c r="L134755" s="472"/>
      <c r="M134755" s="472"/>
    </row>
    <row r="134756" spans="12:13" x14ac:dyDescent="0.25">
      <c r="L134756" s="472"/>
      <c r="M134756" s="472"/>
    </row>
    <row r="134757" spans="12:13" x14ac:dyDescent="0.25">
      <c r="L134757" s="472"/>
      <c r="M134757" s="472"/>
    </row>
    <row r="134829" spans="12:13" x14ac:dyDescent="0.25">
      <c r="L134829" s="472"/>
      <c r="M134829" s="472"/>
    </row>
    <row r="134830" spans="12:13" x14ac:dyDescent="0.25">
      <c r="L134830" s="472"/>
      <c r="M134830" s="472"/>
    </row>
    <row r="134831" spans="12:13" x14ac:dyDescent="0.25">
      <c r="L134831" s="472"/>
      <c r="M134831" s="472"/>
    </row>
    <row r="134903" spans="12:13" x14ac:dyDescent="0.25">
      <c r="L134903" s="472"/>
      <c r="M134903" s="472"/>
    </row>
    <row r="134904" spans="12:13" x14ac:dyDescent="0.25">
      <c r="L134904" s="472"/>
      <c r="M134904" s="472"/>
    </row>
    <row r="134905" spans="12:13" x14ac:dyDescent="0.25">
      <c r="L134905" s="472"/>
      <c r="M134905" s="472"/>
    </row>
    <row r="134977" spans="12:13" x14ac:dyDescent="0.25">
      <c r="L134977" s="472"/>
      <c r="M134977" s="472"/>
    </row>
    <row r="134978" spans="12:13" x14ac:dyDescent="0.25">
      <c r="L134978" s="472"/>
      <c r="M134978" s="472"/>
    </row>
    <row r="134979" spans="12:13" x14ac:dyDescent="0.25">
      <c r="L134979" s="472"/>
      <c r="M134979" s="472"/>
    </row>
    <row r="135051" spans="12:13" x14ac:dyDescent="0.25">
      <c r="L135051" s="472"/>
      <c r="M135051" s="472"/>
    </row>
    <row r="135052" spans="12:13" x14ac:dyDescent="0.25">
      <c r="L135052" s="472"/>
      <c r="M135052" s="472"/>
    </row>
    <row r="135053" spans="12:13" x14ac:dyDescent="0.25">
      <c r="L135053" s="472"/>
      <c r="M135053" s="472"/>
    </row>
    <row r="135125" spans="12:13" x14ac:dyDescent="0.25">
      <c r="L135125" s="472"/>
      <c r="M135125" s="472"/>
    </row>
    <row r="135126" spans="12:13" x14ac:dyDescent="0.25">
      <c r="L135126" s="472"/>
      <c r="M135126" s="472"/>
    </row>
    <row r="135127" spans="12:13" x14ac:dyDescent="0.25">
      <c r="L135127" s="472"/>
      <c r="M135127" s="472"/>
    </row>
    <row r="135199" spans="12:13" x14ac:dyDescent="0.25">
      <c r="L135199" s="472"/>
      <c r="M135199" s="472"/>
    </row>
    <row r="135200" spans="12:13" x14ac:dyDescent="0.25">
      <c r="L135200" s="472"/>
      <c r="M135200" s="472"/>
    </row>
    <row r="135201" spans="12:13" x14ac:dyDescent="0.25">
      <c r="L135201" s="472"/>
      <c r="M135201" s="472"/>
    </row>
    <row r="135273" spans="12:13" x14ac:dyDescent="0.25">
      <c r="L135273" s="472"/>
      <c r="M135273" s="472"/>
    </row>
    <row r="135274" spans="12:13" x14ac:dyDescent="0.25">
      <c r="L135274" s="472"/>
      <c r="M135274" s="472"/>
    </row>
    <row r="135275" spans="12:13" x14ac:dyDescent="0.25">
      <c r="L135275" s="472"/>
      <c r="M135275" s="472"/>
    </row>
    <row r="135347" spans="12:13" x14ac:dyDescent="0.25">
      <c r="L135347" s="472"/>
      <c r="M135347" s="472"/>
    </row>
    <row r="135348" spans="12:13" x14ac:dyDescent="0.25">
      <c r="L135348" s="472"/>
      <c r="M135348" s="472"/>
    </row>
    <row r="135349" spans="12:13" x14ac:dyDescent="0.25">
      <c r="L135349" s="472"/>
      <c r="M135349" s="472"/>
    </row>
    <row r="135421" spans="12:13" x14ac:dyDescent="0.25">
      <c r="L135421" s="472"/>
      <c r="M135421" s="472"/>
    </row>
    <row r="135422" spans="12:13" x14ac:dyDescent="0.25">
      <c r="L135422" s="472"/>
      <c r="M135422" s="472"/>
    </row>
    <row r="135423" spans="12:13" x14ac:dyDescent="0.25">
      <c r="L135423" s="472"/>
      <c r="M135423" s="472"/>
    </row>
    <row r="135495" spans="12:13" x14ac:dyDescent="0.25">
      <c r="L135495" s="472"/>
      <c r="M135495" s="472"/>
    </row>
    <row r="135496" spans="12:13" x14ac:dyDescent="0.25">
      <c r="L135496" s="472"/>
      <c r="M135496" s="472"/>
    </row>
    <row r="135497" spans="12:13" x14ac:dyDescent="0.25">
      <c r="L135497" s="472"/>
      <c r="M135497" s="472"/>
    </row>
    <row r="135569" spans="12:13" x14ac:dyDescent="0.25">
      <c r="L135569" s="472"/>
      <c r="M135569" s="472"/>
    </row>
    <row r="135570" spans="12:13" x14ac:dyDescent="0.25">
      <c r="L135570" s="472"/>
      <c r="M135570" s="472"/>
    </row>
    <row r="135571" spans="12:13" x14ac:dyDescent="0.25">
      <c r="L135571" s="472"/>
      <c r="M135571" s="472"/>
    </row>
    <row r="135643" spans="12:13" x14ac:dyDescent="0.25">
      <c r="L135643" s="472"/>
      <c r="M135643" s="472"/>
    </row>
    <row r="135644" spans="12:13" x14ac:dyDescent="0.25">
      <c r="L135644" s="472"/>
      <c r="M135644" s="472"/>
    </row>
    <row r="135645" spans="12:13" x14ac:dyDescent="0.25">
      <c r="L135645" s="472"/>
      <c r="M135645" s="472"/>
    </row>
    <row r="135717" spans="12:13" x14ac:dyDescent="0.25">
      <c r="L135717" s="472"/>
      <c r="M135717" s="472"/>
    </row>
    <row r="135718" spans="12:13" x14ac:dyDescent="0.25">
      <c r="L135718" s="472"/>
      <c r="M135718" s="472"/>
    </row>
    <row r="135719" spans="12:13" x14ac:dyDescent="0.25">
      <c r="L135719" s="472"/>
      <c r="M135719" s="472"/>
    </row>
    <row r="135791" spans="12:13" x14ac:dyDescent="0.25">
      <c r="L135791" s="472"/>
      <c r="M135791" s="472"/>
    </row>
    <row r="135792" spans="12:13" x14ac:dyDescent="0.25">
      <c r="L135792" s="472"/>
      <c r="M135792" s="472"/>
    </row>
    <row r="135793" spans="12:13" x14ac:dyDescent="0.25">
      <c r="L135793" s="472"/>
      <c r="M135793" s="472"/>
    </row>
    <row r="135865" spans="12:13" x14ac:dyDescent="0.25">
      <c r="L135865" s="472"/>
      <c r="M135865" s="472"/>
    </row>
    <row r="135866" spans="12:13" x14ac:dyDescent="0.25">
      <c r="L135866" s="472"/>
      <c r="M135866" s="472"/>
    </row>
    <row r="135867" spans="12:13" x14ac:dyDescent="0.25">
      <c r="L135867" s="472"/>
      <c r="M135867" s="472"/>
    </row>
    <row r="135939" spans="12:13" x14ac:dyDescent="0.25">
      <c r="L135939" s="472"/>
      <c r="M135939" s="472"/>
    </row>
    <row r="135940" spans="12:13" x14ac:dyDescent="0.25">
      <c r="L135940" s="472"/>
      <c r="M135940" s="472"/>
    </row>
    <row r="135941" spans="12:13" x14ac:dyDescent="0.25">
      <c r="L135941" s="472"/>
      <c r="M135941" s="472"/>
    </row>
    <row r="136013" spans="12:13" x14ac:dyDescent="0.25">
      <c r="L136013" s="472"/>
      <c r="M136013" s="472"/>
    </row>
    <row r="136014" spans="12:13" x14ac:dyDescent="0.25">
      <c r="L136014" s="472"/>
      <c r="M136014" s="472"/>
    </row>
    <row r="136015" spans="12:13" x14ac:dyDescent="0.25">
      <c r="L136015" s="472"/>
      <c r="M136015" s="472"/>
    </row>
    <row r="136087" spans="12:13" x14ac:dyDescent="0.25">
      <c r="L136087" s="472"/>
      <c r="M136087" s="472"/>
    </row>
    <row r="136088" spans="12:13" x14ac:dyDescent="0.25">
      <c r="L136088" s="472"/>
      <c r="M136088" s="472"/>
    </row>
    <row r="136089" spans="12:13" x14ac:dyDescent="0.25">
      <c r="L136089" s="472"/>
      <c r="M136089" s="472"/>
    </row>
    <row r="136161" spans="12:13" x14ac:dyDescent="0.25">
      <c r="L136161" s="472"/>
      <c r="M136161" s="472"/>
    </row>
    <row r="136162" spans="12:13" x14ac:dyDescent="0.25">
      <c r="L136162" s="472"/>
      <c r="M136162" s="472"/>
    </row>
    <row r="136163" spans="12:13" x14ac:dyDescent="0.25">
      <c r="L136163" s="472"/>
      <c r="M136163" s="472"/>
    </row>
    <row r="136235" spans="12:13" x14ac:dyDescent="0.25">
      <c r="L136235" s="472"/>
      <c r="M136235" s="472"/>
    </row>
    <row r="136236" spans="12:13" x14ac:dyDescent="0.25">
      <c r="L136236" s="472"/>
      <c r="M136236" s="472"/>
    </row>
    <row r="136237" spans="12:13" x14ac:dyDescent="0.25">
      <c r="L136237" s="472"/>
      <c r="M136237" s="472"/>
    </row>
    <row r="136309" spans="12:13" x14ac:dyDescent="0.25">
      <c r="L136309" s="472"/>
      <c r="M136309" s="472"/>
    </row>
    <row r="136310" spans="12:13" x14ac:dyDescent="0.25">
      <c r="L136310" s="472"/>
      <c r="M136310" s="472"/>
    </row>
    <row r="136311" spans="12:13" x14ac:dyDescent="0.25">
      <c r="L136311" s="472"/>
      <c r="M136311" s="472"/>
    </row>
    <row r="136383" spans="12:13" x14ac:dyDescent="0.25">
      <c r="L136383" s="472"/>
      <c r="M136383" s="472"/>
    </row>
    <row r="136384" spans="12:13" x14ac:dyDescent="0.25">
      <c r="L136384" s="472"/>
      <c r="M136384" s="472"/>
    </row>
    <row r="136385" spans="12:13" x14ac:dyDescent="0.25">
      <c r="L136385" s="472"/>
      <c r="M136385" s="472"/>
    </row>
    <row r="136457" spans="12:13" x14ac:dyDescent="0.25">
      <c r="L136457" s="472"/>
      <c r="M136457" s="472"/>
    </row>
    <row r="136458" spans="12:13" x14ac:dyDescent="0.25">
      <c r="L136458" s="472"/>
      <c r="M136458" s="472"/>
    </row>
    <row r="136459" spans="12:13" x14ac:dyDescent="0.25">
      <c r="L136459" s="472"/>
      <c r="M136459" s="472"/>
    </row>
    <row r="136531" spans="12:13" x14ac:dyDescent="0.25">
      <c r="L136531" s="472"/>
      <c r="M136531" s="472"/>
    </row>
    <row r="136532" spans="12:13" x14ac:dyDescent="0.25">
      <c r="L136532" s="472"/>
      <c r="M136532" s="472"/>
    </row>
    <row r="136533" spans="12:13" x14ac:dyDescent="0.25">
      <c r="L136533" s="472"/>
      <c r="M136533" s="472"/>
    </row>
    <row r="136605" spans="12:13" x14ac:dyDescent="0.25">
      <c r="L136605" s="472"/>
      <c r="M136605" s="472"/>
    </row>
    <row r="136606" spans="12:13" x14ac:dyDescent="0.25">
      <c r="L136606" s="472"/>
      <c r="M136606" s="472"/>
    </row>
    <row r="136607" spans="12:13" x14ac:dyDescent="0.25">
      <c r="L136607" s="472"/>
      <c r="M136607" s="472"/>
    </row>
    <row r="136679" spans="12:13" x14ac:dyDescent="0.25">
      <c r="L136679" s="472"/>
      <c r="M136679" s="472"/>
    </row>
    <row r="136680" spans="12:13" x14ac:dyDescent="0.25">
      <c r="L136680" s="472"/>
      <c r="M136680" s="472"/>
    </row>
    <row r="136681" spans="12:13" x14ac:dyDescent="0.25">
      <c r="L136681" s="472"/>
      <c r="M136681" s="472"/>
    </row>
    <row r="136753" spans="12:13" x14ac:dyDescent="0.25">
      <c r="L136753" s="472"/>
      <c r="M136753" s="472"/>
    </row>
    <row r="136754" spans="12:13" x14ac:dyDescent="0.25">
      <c r="L136754" s="472"/>
      <c r="M136754" s="472"/>
    </row>
    <row r="136755" spans="12:13" x14ac:dyDescent="0.25">
      <c r="L136755" s="472"/>
      <c r="M136755" s="472"/>
    </row>
    <row r="136827" spans="12:13" x14ac:dyDescent="0.25">
      <c r="L136827" s="472"/>
      <c r="M136827" s="472"/>
    </row>
    <row r="136828" spans="12:13" x14ac:dyDescent="0.25">
      <c r="L136828" s="472"/>
      <c r="M136828" s="472"/>
    </row>
    <row r="136829" spans="12:13" x14ac:dyDescent="0.25">
      <c r="L136829" s="472"/>
      <c r="M136829" s="472"/>
    </row>
    <row r="136901" spans="12:13" x14ac:dyDescent="0.25">
      <c r="L136901" s="472"/>
      <c r="M136901" s="472"/>
    </row>
    <row r="136902" spans="12:13" x14ac:dyDescent="0.25">
      <c r="L136902" s="472"/>
      <c r="M136902" s="472"/>
    </row>
    <row r="136903" spans="12:13" x14ac:dyDescent="0.25">
      <c r="L136903" s="472"/>
      <c r="M136903" s="472"/>
    </row>
    <row r="136975" spans="12:13" x14ac:dyDescent="0.25">
      <c r="L136975" s="472"/>
      <c r="M136975" s="472"/>
    </row>
    <row r="136976" spans="12:13" x14ac:dyDescent="0.25">
      <c r="L136976" s="472"/>
      <c r="M136976" s="472"/>
    </row>
    <row r="136977" spans="12:13" x14ac:dyDescent="0.25">
      <c r="L136977" s="472"/>
      <c r="M136977" s="472"/>
    </row>
    <row r="137049" spans="12:13" x14ac:dyDescent="0.25">
      <c r="L137049" s="472"/>
      <c r="M137049" s="472"/>
    </row>
    <row r="137050" spans="12:13" x14ac:dyDescent="0.25">
      <c r="L137050" s="472"/>
      <c r="M137050" s="472"/>
    </row>
    <row r="137051" spans="12:13" x14ac:dyDescent="0.25">
      <c r="L137051" s="472"/>
      <c r="M137051" s="472"/>
    </row>
    <row r="137123" spans="12:13" x14ac:dyDescent="0.25">
      <c r="L137123" s="472"/>
      <c r="M137123" s="472"/>
    </row>
    <row r="137124" spans="12:13" x14ac:dyDescent="0.25">
      <c r="L137124" s="472"/>
      <c r="M137124" s="472"/>
    </row>
    <row r="137125" spans="12:13" x14ac:dyDescent="0.25">
      <c r="L137125" s="472"/>
      <c r="M137125" s="472"/>
    </row>
    <row r="137197" spans="12:13" x14ac:dyDescent="0.25">
      <c r="L137197" s="472"/>
      <c r="M137197" s="472"/>
    </row>
    <row r="137198" spans="12:13" x14ac:dyDescent="0.25">
      <c r="L137198" s="472"/>
      <c r="M137198" s="472"/>
    </row>
    <row r="137199" spans="12:13" x14ac:dyDescent="0.25">
      <c r="L137199" s="472"/>
      <c r="M137199" s="472"/>
    </row>
    <row r="137271" spans="12:13" x14ac:dyDescent="0.25">
      <c r="L137271" s="472"/>
      <c r="M137271" s="472"/>
    </row>
    <row r="137272" spans="12:13" x14ac:dyDescent="0.25">
      <c r="L137272" s="472"/>
      <c r="M137272" s="472"/>
    </row>
    <row r="137273" spans="12:13" x14ac:dyDescent="0.25">
      <c r="L137273" s="472"/>
      <c r="M137273" s="472"/>
    </row>
    <row r="137345" spans="12:13" x14ac:dyDescent="0.25">
      <c r="L137345" s="472"/>
      <c r="M137345" s="472"/>
    </row>
    <row r="137346" spans="12:13" x14ac:dyDescent="0.25">
      <c r="L137346" s="472"/>
      <c r="M137346" s="472"/>
    </row>
    <row r="137347" spans="12:13" x14ac:dyDescent="0.25">
      <c r="L137347" s="472"/>
      <c r="M137347" s="472"/>
    </row>
    <row r="137419" spans="12:13" x14ac:dyDescent="0.25">
      <c r="L137419" s="472"/>
      <c r="M137419" s="472"/>
    </row>
    <row r="137420" spans="12:13" x14ac:dyDescent="0.25">
      <c r="L137420" s="472"/>
      <c r="M137420" s="472"/>
    </row>
    <row r="137421" spans="12:13" x14ac:dyDescent="0.25">
      <c r="L137421" s="472"/>
      <c r="M137421" s="472"/>
    </row>
    <row r="137493" spans="12:13" x14ac:dyDescent="0.25">
      <c r="L137493" s="472"/>
      <c r="M137493" s="472"/>
    </row>
    <row r="137494" spans="12:13" x14ac:dyDescent="0.25">
      <c r="L137494" s="472"/>
      <c r="M137494" s="472"/>
    </row>
    <row r="137495" spans="12:13" x14ac:dyDescent="0.25">
      <c r="L137495" s="472"/>
      <c r="M137495" s="472"/>
    </row>
    <row r="137567" spans="12:13" x14ac:dyDescent="0.25">
      <c r="L137567" s="472"/>
      <c r="M137567" s="472"/>
    </row>
    <row r="137568" spans="12:13" x14ac:dyDescent="0.25">
      <c r="L137568" s="472"/>
      <c r="M137568" s="472"/>
    </row>
    <row r="137569" spans="12:13" x14ac:dyDescent="0.25">
      <c r="L137569" s="472"/>
      <c r="M137569" s="472"/>
    </row>
    <row r="137641" spans="12:13" x14ac:dyDescent="0.25">
      <c r="L137641" s="472"/>
      <c r="M137641" s="472"/>
    </row>
    <row r="137642" spans="12:13" x14ac:dyDescent="0.25">
      <c r="L137642" s="472"/>
      <c r="M137642" s="472"/>
    </row>
    <row r="137643" spans="12:13" x14ac:dyDescent="0.25">
      <c r="L137643" s="472"/>
      <c r="M137643" s="472"/>
    </row>
    <row r="137715" spans="12:13" x14ac:dyDescent="0.25">
      <c r="L137715" s="472"/>
      <c r="M137715" s="472"/>
    </row>
    <row r="137716" spans="12:13" x14ac:dyDescent="0.25">
      <c r="L137716" s="472"/>
      <c r="M137716" s="472"/>
    </row>
    <row r="137717" spans="12:13" x14ac:dyDescent="0.25">
      <c r="L137717" s="472"/>
      <c r="M137717" s="472"/>
    </row>
    <row r="137789" spans="12:13" x14ac:dyDescent="0.25">
      <c r="L137789" s="472"/>
      <c r="M137789" s="472"/>
    </row>
    <row r="137790" spans="12:13" x14ac:dyDescent="0.25">
      <c r="L137790" s="472"/>
      <c r="M137790" s="472"/>
    </row>
    <row r="137791" spans="12:13" x14ac:dyDescent="0.25">
      <c r="L137791" s="472"/>
      <c r="M137791" s="472"/>
    </row>
    <row r="137863" spans="12:13" x14ac:dyDescent="0.25">
      <c r="L137863" s="472"/>
      <c r="M137863" s="472"/>
    </row>
    <row r="137864" spans="12:13" x14ac:dyDescent="0.25">
      <c r="L137864" s="472"/>
      <c r="M137864" s="472"/>
    </row>
    <row r="137865" spans="12:13" x14ac:dyDescent="0.25">
      <c r="L137865" s="472"/>
      <c r="M137865" s="472"/>
    </row>
    <row r="137937" spans="12:13" x14ac:dyDescent="0.25">
      <c r="L137937" s="472"/>
      <c r="M137937" s="472"/>
    </row>
    <row r="137938" spans="12:13" x14ac:dyDescent="0.25">
      <c r="L137938" s="472"/>
      <c r="M137938" s="472"/>
    </row>
    <row r="137939" spans="12:13" x14ac:dyDescent="0.25">
      <c r="L137939" s="472"/>
      <c r="M137939" s="472"/>
    </row>
    <row r="138011" spans="12:13" x14ac:dyDescent="0.25">
      <c r="L138011" s="472"/>
      <c r="M138011" s="472"/>
    </row>
    <row r="138012" spans="12:13" x14ac:dyDescent="0.25">
      <c r="L138012" s="472"/>
      <c r="M138012" s="472"/>
    </row>
    <row r="138013" spans="12:13" x14ac:dyDescent="0.25">
      <c r="L138013" s="472"/>
      <c r="M138013" s="472"/>
    </row>
    <row r="138085" spans="12:13" x14ac:dyDescent="0.25">
      <c r="L138085" s="472"/>
      <c r="M138085" s="472"/>
    </row>
    <row r="138086" spans="12:13" x14ac:dyDescent="0.25">
      <c r="L138086" s="472"/>
      <c r="M138086" s="472"/>
    </row>
    <row r="138087" spans="12:13" x14ac:dyDescent="0.25">
      <c r="L138087" s="472"/>
      <c r="M138087" s="472"/>
    </row>
    <row r="138159" spans="12:13" x14ac:dyDescent="0.25">
      <c r="L138159" s="472"/>
      <c r="M138159" s="472"/>
    </row>
    <row r="138160" spans="12:13" x14ac:dyDescent="0.25">
      <c r="L138160" s="472"/>
      <c r="M138160" s="472"/>
    </row>
    <row r="138161" spans="12:13" x14ac:dyDescent="0.25">
      <c r="L138161" s="472"/>
      <c r="M138161" s="472"/>
    </row>
    <row r="138233" spans="12:13" x14ac:dyDescent="0.25">
      <c r="L138233" s="472"/>
      <c r="M138233" s="472"/>
    </row>
    <row r="138234" spans="12:13" x14ac:dyDescent="0.25">
      <c r="L138234" s="472"/>
      <c r="M138234" s="472"/>
    </row>
    <row r="138235" spans="12:13" x14ac:dyDescent="0.25">
      <c r="L138235" s="472"/>
      <c r="M138235" s="472"/>
    </row>
    <row r="138307" spans="12:13" x14ac:dyDescent="0.25">
      <c r="L138307" s="472"/>
      <c r="M138307" s="472"/>
    </row>
    <row r="138308" spans="12:13" x14ac:dyDescent="0.25">
      <c r="L138308" s="472"/>
      <c r="M138308" s="472"/>
    </row>
    <row r="138309" spans="12:13" x14ac:dyDescent="0.25">
      <c r="L138309" s="472"/>
      <c r="M138309" s="472"/>
    </row>
    <row r="138381" spans="12:13" x14ac:dyDescent="0.25">
      <c r="L138381" s="472"/>
      <c r="M138381" s="472"/>
    </row>
    <row r="138382" spans="12:13" x14ac:dyDescent="0.25">
      <c r="L138382" s="472"/>
      <c r="M138382" s="472"/>
    </row>
    <row r="138383" spans="12:13" x14ac:dyDescent="0.25">
      <c r="L138383" s="472"/>
      <c r="M138383" s="472"/>
    </row>
    <row r="138455" spans="12:13" x14ac:dyDescent="0.25">
      <c r="L138455" s="472"/>
      <c r="M138455" s="472"/>
    </row>
    <row r="138456" spans="12:13" x14ac:dyDescent="0.25">
      <c r="L138456" s="472"/>
      <c r="M138456" s="472"/>
    </row>
    <row r="138457" spans="12:13" x14ac:dyDescent="0.25">
      <c r="L138457" s="472"/>
      <c r="M138457" s="472"/>
    </row>
    <row r="138529" spans="12:13" x14ac:dyDescent="0.25">
      <c r="L138529" s="472"/>
      <c r="M138529" s="472"/>
    </row>
    <row r="138530" spans="12:13" x14ac:dyDescent="0.25">
      <c r="L138530" s="472"/>
      <c r="M138530" s="472"/>
    </row>
    <row r="138531" spans="12:13" x14ac:dyDescent="0.25">
      <c r="L138531" s="472"/>
      <c r="M138531" s="472"/>
    </row>
    <row r="138603" spans="12:13" x14ac:dyDescent="0.25">
      <c r="L138603" s="472"/>
      <c r="M138603" s="472"/>
    </row>
    <row r="138604" spans="12:13" x14ac:dyDescent="0.25">
      <c r="L138604" s="472"/>
      <c r="M138604" s="472"/>
    </row>
    <row r="138605" spans="12:13" x14ac:dyDescent="0.25">
      <c r="L138605" s="472"/>
      <c r="M138605" s="472"/>
    </row>
    <row r="138677" spans="12:13" x14ac:dyDescent="0.25">
      <c r="L138677" s="472"/>
      <c r="M138677" s="472"/>
    </row>
    <row r="138678" spans="12:13" x14ac:dyDescent="0.25">
      <c r="L138678" s="472"/>
      <c r="M138678" s="472"/>
    </row>
    <row r="138679" spans="12:13" x14ac:dyDescent="0.25">
      <c r="L138679" s="472"/>
      <c r="M138679" s="472"/>
    </row>
    <row r="138751" spans="12:13" x14ac:dyDescent="0.25">
      <c r="L138751" s="472"/>
      <c r="M138751" s="472"/>
    </row>
    <row r="138752" spans="12:13" x14ac:dyDescent="0.25">
      <c r="L138752" s="472"/>
      <c r="M138752" s="472"/>
    </row>
    <row r="138753" spans="12:13" x14ac:dyDescent="0.25">
      <c r="L138753" s="472"/>
      <c r="M138753" s="472"/>
    </row>
    <row r="138825" spans="12:13" x14ac:dyDescent="0.25">
      <c r="L138825" s="472"/>
      <c r="M138825" s="472"/>
    </row>
    <row r="138826" spans="12:13" x14ac:dyDescent="0.25">
      <c r="L138826" s="472"/>
      <c r="M138826" s="472"/>
    </row>
    <row r="138827" spans="12:13" x14ac:dyDescent="0.25">
      <c r="L138827" s="472"/>
      <c r="M138827" s="472"/>
    </row>
    <row r="138899" spans="12:13" x14ac:dyDescent="0.25">
      <c r="L138899" s="472"/>
      <c r="M138899" s="472"/>
    </row>
    <row r="138900" spans="12:13" x14ac:dyDescent="0.25">
      <c r="L138900" s="472"/>
      <c r="M138900" s="472"/>
    </row>
    <row r="138901" spans="12:13" x14ac:dyDescent="0.25">
      <c r="L138901" s="472"/>
      <c r="M138901" s="472"/>
    </row>
    <row r="138973" spans="12:13" x14ac:dyDescent="0.25">
      <c r="L138973" s="472"/>
      <c r="M138973" s="472"/>
    </row>
    <row r="138974" spans="12:13" x14ac:dyDescent="0.25">
      <c r="L138974" s="472"/>
      <c r="M138974" s="472"/>
    </row>
    <row r="138975" spans="12:13" x14ac:dyDescent="0.25">
      <c r="L138975" s="472"/>
      <c r="M138975" s="472"/>
    </row>
    <row r="139047" spans="12:13" x14ac:dyDescent="0.25">
      <c r="L139047" s="472"/>
      <c r="M139047" s="472"/>
    </row>
    <row r="139048" spans="12:13" x14ac:dyDescent="0.25">
      <c r="L139048" s="472"/>
      <c r="M139048" s="472"/>
    </row>
    <row r="139049" spans="12:13" x14ac:dyDescent="0.25">
      <c r="L139049" s="472"/>
      <c r="M139049" s="472"/>
    </row>
    <row r="139121" spans="12:13" x14ac:dyDescent="0.25">
      <c r="L139121" s="472"/>
      <c r="M139121" s="472"/>
    </row>
    <row r="139122" spans="12:13" x14ac:dyDescent="0.25">
      <c r="L139122" s="472"/>
      <c r="M139122" s="472"/>
    </row>
    <row r="139123" spans="12:13" x14ac:dyDescent="0.25">
      <c r="L139123" s="472"/>
      <c r="M139123" s="472"/>
    </row>
    <row r="139195" spans="12:13" x14ac:dyDescent="0.25">
      <c r="L139195" s="472"/>
      <c r="M139195" s="472"/>
    </row>
    <row r="139196" spans="12:13" x14ac:dyDescent="0.25">
      <c r="L139196" s="472"/>
      <c r="M139196" s="472"/>
    </row>
    <row r="139197" spans="12:13" x14ac:dyDescent="0.25">
      <c r="L139197" s="472"/>
      <c r="M139197" s="472"/>
    </row>
    <row r="139269" spans="12:13" x14ac:dyDescent="0.25">
      <c r="L139269" s="472"/>
      <c r="M139269" s="472"/>
    </row>
    <row r="139270" spans="12:13" x14ac:dyDescent="0.25">
      <c r="L139270" s="472"/>
      <c r="M139270" s="472"/>
    </row>
    <row r="139271" spans="12:13" x14ac:dyDescent="0.25">
      <c r="L139271" s="472"/>
      <c r="M139271" s="472"/>
    </row>
    <row r="139343" spans="12:13" x14ac:dyDescent="0.25">
      <c r="L139343" s="472"/>
      <c r="M139343" s="472"/>
    </row>
    <row r="139344" spans="12:13" x14ac:dyDescent="0.25">
      <c r="L139344" s="472"/>
      <c r="M139344" s="472"/>
    </row>
    <row r="139345" spans="12:13" x14ac:dyDescent="0.25">
      <c r="L139345" s="472"/>
      <c r="M139345" s="472"/>
    </row>
    <row r="139417" spans="12:13" x14ac:dyDescent="0.25">
      <c r="L139417" s="472"/>
      <c r="M139417" s="472"/>
    </row>
    <row r="139418" spans="12:13" x14ac:dyDescent="0.25">
      <c r="L139418" s="472"/>
      <c r="M139418" s="472"/>
    </row>
    <row r="139419" spans="12:13" x14ac:dyDescent="0.25">
      <c r="L139419" s="472"/>
      <c r="M139419" s="472"/>
    </row>
    <row r="139491" spans="12:13" x14ac:dyDescent="0.25">
      <c r="L139491" s="472"/>
      <c r="M139491" s="472"/>
    </row>
    <row r="139492" spans="12:13" x14ac:dyDescent="0.25">
      <c r="L139492" s="472"/>
      <c r="M139492" s="472"/>
    </row>
    <row r="139493" spans="12:13" x14ac:dyDescent="0.25">
      <c r="L139493" s="472"/>
      <c r="M139493" s="472"/>
    </row>
    <row r="139565" spans="12:13" x14ac:dyDescent="0.25">
      <c r="L139565" s="472"/>
      <c r="M139565" s="472"/>
    </row>
    <row r="139566" spans="12:13" x14ac:dyDescent="0.25">
      <c r="L139566" s="472"/>
      <c r="M139566" s="472"/>
    </row>
    <row r="139567" spans="12:13" x14ac:dyDescent="0.25">
      <c r="L139567" s="472"/>
      <c r="M139567" s="472"/>
    </row>
    <row r="139639" spans="12:13" x14ac:dyDescent="0.25">
      <c r="L139639" s="472"/>
      <c r="M139639" s="472"/>
    </row>
    <row r="139640" spans="12:13" x14ac:dyDescent="0.25">
      <c r="L139640" s="472"/>
      <c r="M139640" s="472"/>
    </row>
    <row r="139641" spans="12:13" x14ac:dyDescent="0.25">
      <c r="L139641" s="472"/>
      <c r="M139641" s="472"/>
    </row>
    <row r="139713" spans="12:13" x14ac:dyDescent="0.25">
      <c r="L139713" s="472"/>
      <c r="M139713" s="472"/>
    </row>
    <row r="139714" spans="12:13" x14ac:dyDescent="0.25">
      <c r="L139714" s="472"/>
      <c r="M139714" s="472"/>
    </row>
    <row r="139715" spans="12:13" x14ac:dyDescent="0.25">
      <c r="L139715" s="472"/>
      <c r="M139715" s="472"/>
    </row>
    <row r="139787" spans="12:13" x14ac:dyDescent="0.25">
      <c r="L139787" s="472"/>
      <c r="M139787" s="472"/>
    </row>
    <row r="139788" spans="12:13" x14ac:dyDescent="0.25">
      <c r="L139788" s="472"/>
      <c r="M139788" s="472"/>
    </row>
    <row r="139789" spans="12:13" x14ac:dyDescent="0.25">
      <c r="L139789" s="472"/>
      <c r="M139789" s="472"/>
    </row>
    <row r="139861" spans="12:13" x14ac:dyDescent="0.25">
      <c r="L139861" s="472"/>
      <c r="M139861" s="472"/>
    </row>
    <row r="139862" spans="12:13" x14ac:dyDescent="0.25">
      <c r="L139862" s="472"/>
      <c r="M139862" s="472"/>
    </row>
    <row r="139863" spans="12:13" x14ac:dyDescent="0.25">
      <c r="L139863" s="472"/>
      <c r="M139863" s="472"/>
    </row>
    <row r="139935" spans="12:13" x14ac:dyDescent="0.25">
      <c r="L139935" s="472"/>
      <c r="M139935" s="472"/>
    </row>
    <row r="139936" spans="12:13" x14ac:dyDescent="0.25">
      <c r="L139936" s="472"/>
      <c r="M139936" s="472"/>
    </row>
    <row r="139937" spans="12:13" x14ac:dyDescent="0.25">
      <c r="L139937" s="472"/>
      <c r="M139937" s="472"/>
    </row>
    <row r="140009" spans="12:13" x14ac:dyDescent="0.25">
      <c r="L140009" s="472"/>
      <c r="M140009" s="472"/>
    </row>
    <row r="140010" spans="12:13" x14ac:dyDescent="0.25">
      <c r="L140010" s="472"/>
      <c r="M140010" s="472"/>
    </row>
    <row r="140011" spans="12:13" x14ac:dyDescent="0.25">
      <c r="L140011" s="472"/>
      <c r="M140011" s="472"/>
    </row>
    <row r="140083" spans="12:13" x14ac:dyDescent="0.25">
      <c r="L140083" s="472"/>
      <c r="M140083" s="472"/>
    </row>
    <row r="140084" spans="12:13" x14ac:dyDescent="0.25">
      <c r="L140084" s="472"/>
      <c r="M140084" s="472"/>
    </row>
    <row r="140085" spans="12:13" x14ac:dyDescent="0.25">
      <c r="L140085" s="472"/>
      <c r="M140085" s="472"/>
    </row>
    <row r="140157" spans="12:13" x14ac:dyDescent="0.25">
      <c r="L140157" s="472"/>
      <c r="M140157" s="472"/>
    </row>
    <row r="140158" spans="12:13" x14ac:dyDescent="0.25">
      <c r="L140158" s="472"/>
      <c r="M140158" s="472"/>
    </row>
    <row r="140159" spans="12:13" x14ac:dyDescent="0.25">
      <c r="L140159" s="472"/>
      <c r="M140159" s="472"/>
    </row>
    <row r="140231" spans="12:13" x14ac:dyDescent="0.25">
      <c r="L140231" s="472"/>
      <c r="M140231" s="472"/>
    </row>
    <row r="140232" spans="12:13" x14ac:dyDescent="0.25">
      <c r="L140232" s="472"/>
      <c r="M140232" s="472"/>
    </row>
    <row r="140233" spans="12:13" x14ac:dyDescent="0.25">
      <c r="L140233" s="472"/>
      <c r="M140233" s="472"/>
    </row>
    <row r="140305" spans="12:13" x14ac:dyDescent="0.25">
      <c r="L140305" s="472"/>
      <c r="M140305" s="472"/>
    </row>
    <row r="140306" spans="12:13" x14ac:dyDescent="0.25">
      <c r="L140306" s="472"/>
      <c r="M140306" s="472"/>
    </row>
    <row r="140307" spans="12:13" x14ac:dyDescent="0.25">
      <c r="L140307" s="472"/>
      <c r="M140307" s="472"/>
    </row>
    <row r="140379" spans="12:13" x14ac:dyDescent="0.25">
      <c r="L140379" s="472"/>
      <c r="M140379" s="472"/>
    </row>
    <row r="140380" spans="12:13" x14ac:dyDescent="0.25">
      <c r="L140380" s="472"/>
      <c r="M140380" s="472"/>
    </row>
    <row r="140381" spans="12:13" x14ac:dyDescent="0.25">
      <c r="L140381" s="472"/>
      <c r="M140381" s="472"/>
    </row>
    <row r="140453" spans="12:13" x14ac:dyDescent="0.25">
      <c r="L140453" s="472"/>
      <c r="M140453" s="472"/>
    </row>
    <row r="140454" spans="12:13" x14ac:dyDescent="0.25">
      <c r="L140454" s="472"/>
      <c r="M140454" s="472"/>
    </row>
    <row r="140455" spans="12:13" x14ac:dyDescent="0.25">
      <c r="L140455" s="472"/>
      <c r="M140455" s="472"/>
    </row>
    <row r="140527" spans="12:13" x14ac:dyDescent="0.25">
      <c r="L140527" s="472"/>
      <c r="M140527" s="472"/>
    </row>
    <row r="140528" spans="12:13" x14ac:dyDescent="0.25">
      <c r="L140528" s="472"/>
      <c r="M140528" s="472"/>
    </row>
    <row r="140529" spans="12:13" x14ac:dyDescent="0.25">
      <c r="L140529" s="472"/>
      <c r="M140529" s="472"/>
    </row>
    <row r="140601" spans="12:13" x14ac:dyDescent="0.25">
      <c r="L140601" s="472"/>
      <c r="M140601" s="472"/>
    </row>
    <row r="140602" spans="12:13" x14ac:dyDescent="0.25">
      <c r="L140602" s="472"/>
      <c r="M140602" s="472"/>
    </row>
    <row r="140603" spans="12:13" x14ac:dyDescent="0.25">
      <c r="L140603" s="472"/>
      <c r="M140603" s="472"/>
    </row>
    <row r="140675" spans="12:13" x14ac:dyDescent="0.25">
      <c r="L140675" s="472"/>
      <c r="M140675" s="472"/>
    </row>
    <row r="140676" spans="12:13" x14ac:dyDescent="0.25">
      <c r="L140676" s="472"/>
      <c r="M140676" s="472"/>
    </row>
    <row r="140677" spans="12:13" x14ac:dyDescent="0.25">
      <c r="L140677" s="472"/>
      <c r="M140677" s="472"/>
    </row>
    <row r="140749" spans="12:13" x14ac:dyDescent="0.25">
      <c r="L140749" s="472"/>
      <c r="M140749" s="472"/>
    </row>
    <row r="140750" spans="12:13" x14ac:dyDescent="0.25">
      <c r="L140750" s="472"/>
      <c r="M140750" s="472"/>
    </row>
    <row r="140751" spans="12:13" x14ac:dyDescent="0.25">
      <c r="L140751" s="472"/>
      <c r="M140751" s="472"/>
    </row>
    <row r="140823" spans="12:13" x14ac:dyDescent="0.25">
      <c r="L140823" s="472"/>
      <c r="M140823" s="472"/>
    </row>
    <row r="140824" spans="12:13" x14ac:dyDescent="0.25">
      <c r="L140824" s="472"/>
      <c r="M140824" s="472"/>
    </row>
    <row r="140825" spans="12:13" x14ac:dyDescent="0.25">
      <c r="L140825" s="472"/>
      <c r="M140825" s="472"/>
    </row>
    <row r="140897" spans="12:13" x14ac:dyDescent="0.25">
      <c r="L140897" s="472"/>
      <c r="M140897" s="472"/>
    </row>
    <row r="140898" spans="12:13" x14ac:dyDescent="0.25">
      <c r="L140898" s="472"/>
      <c r="M140898" s="472"/>
    </row>
    <row r="140899" spans="12:13" x14ac:dyDescent="0.25">
      <c r="L140899" s="472"/>
      <c r="M140899" s="472"/>
    </row>
    <row r="140971" spans="12:13" x14ac:dyDescent="0.25">
      <c r="L140971" s="472"/>
      <c r="M140971" s="472"/>
    </row>
    <row r="140972" spans="12:13" x14ac:dyDescent="0.25">
      <c r="L140972" s="472"/>
      <c r="M140972" s="472"/>
    </row>
    <row r="140973" spans="12:13" x14ac:dyDescent="0.25">
      <c r="L140973" s="472"/>
      <c r="M140973" s="472"/>
    </row>
    <row r="141045" spans="12:13" x14ac:dyDescent="0.25">
      <c r="L141045" s="472"/>
      <c r="M141045" s="472"/>
    </row>
    <row r="141046" spans="12:13" x14ac:dyDescent="0.25">
      <c r="L141046" s="472"/>
      <c r="M141046" s="472"/>
    </row>
    <row r="141047" spans="12:13" x14ac:dyDescent="0.25">
      <c r="L141047" s="472"/>
      <c r="M141047" s="472"/>
    </row>
    <row r="141119" spans="12:13" x14ac:dyDescent="0.25">
      <c r="L141119" s="472"/>
      <c r="M141119" s="472"/>
    </row>
    <row r="141120" spans="12:13" x14ac:dyDescent="0.25">
      <c r="L141120" s="472"/>
      <c r="M141120" s="472"/>
    </row>
    <row r="141121" spans="12:13" x14ac:dyDescent="0.25">
      <c r="L141121" s="472"/>
      <c r="M141121" s="472"/>
    </row>
    <row r="141193" spans="12:13" x14ac:dyDescent="0.25">
      <c r="L141193" s="472"/>
      <c r="M141193" s="472"/>
    </row>
    <row r="141194" spans="12:13" x14ac:dyDescent="0.25">
      <c r="L141194" s="472"/>
      <c r="M141194" s="472"/>
    </row>
    <row r="141195" spans="12:13" x14ac:dyDescent="0.25">
      <c r="L141195" s="472"/>
      <c r="M141195" s="472"/>
    </row>
    <row r="141267" spans="12:13" x14ac:dyDescent="0.25">
      <c r="L141267" s="472"/>
      <c r="M141267" s="472"/>
    </row>
    <row r="141268" spans="12:13" x14ac:dyDescent="0.25">
      <c r="L141268" s="472"/>
      <c r="M141268" s="472"/>
    </row>
    <row r="141269" spans="12:13" x14ac:dyDescent="0.25">
      <c r="L141269" s="472"/>
      <c r="M141269" s="472"/>
    </row>
    <row r="141341" spans="12:13" x14ac:dyDescent="0.25">
      <c r="L141341" s="472"/>
      <c r="M141341" s="472"/>
    </row>
    <row r="141342" spans="12:13" x14ac:dyDescent="0.25">
      <c r="L141342" s="472"/>
      <c r="M141342" s="472"/>
    </row>
    <row r="141343" spans="12:13" x14ac:dyDescent="0.25">
      <c r="L141343" s="472"/>
      <c r="M141343" s="472"/>
    </row>
    <row r="141415" spans="12:13" x14ac:dyDescent="0.25">
      <c r="L141415" s="472"/>
      <c r="M141415" s="472"/>
    </row>
    <row r="141416" spans="12:13" x14ac:dyDescent="0.25">
      <c r="L141416" s="472"/>
      <c r="M141416" s="472"/>
    </row>
    <row r="141417" spans="12:13" x14ac:dyDescent="0.25">
      <c r="L141417" s="472"/>
      <c r="M141417" s="472"/>
    </row>
    <row r="141489" spans="12:13" x14ac:dyDescent="0.25">
      <c r="L141489" s="472"/>
      <c r="M141489" s="472"/>
    </row>
    <row r="141490" spans="12:13" x14ac:dyDescent="0.25">
      <c r="L141490" s="472"/>
      <c r="M141490" s="472"/>
    </row>
    <row r="141491" spans="12:13" x14ac:dyDescent="0.25">
      <c r="L141491" s="472"/>
      <c r="M141491" s="472"/>
    </row>
    <row r="141563" spans="12:13" x14ac:dyDescent="0.25">
      <c r="L141563" s="472"/>
      <c r="M141563" s="472"/>
    </row>
    <row r="141564" spans="12:13" x14ac:dyDescent="0.25">
      <c r="L141564" s="472"/>
      <c r="M141564" s="472"/>
    </row>
    <row r="141565" spans="12:13" x14ac:dyDescent="0.25">
      <c r="L141565" s="472"/>
      <c r="M141565" s="472"/>
    </row>
    <row r="141637" spans="12:13" x14ac:dyDescent="0.25">
      <c r="L141637" s="472"/>
      <c r="M141637" s="472"/>
    </row>
    <row r="141638" spans="12:13" x14ac:dyDescent="0.25">
      <c r="L141638" s="472"/>
      <c r="M141638" s="472"/>
    </row>
    <row r="141639" spans="12:13" x14ac:dyDescent="0.25">
      <c r="L141639" s="472"/>
      <c r="M141639" s="472"/>
    </row>
    <row r="141711" spans="12:13" x14ac:dyDescent="0.25">
      <c r="L141711" s="472"/>
      <c r="M141711" s="472"/>
    </row>
    <row r="141712" spans="12:13" x14ac:dyDescent="0.25">
      <c r="L141712" s="472"/>
      <c r="M141712" s="472"/>
    </row>
    <row r="141713" spans="12:13" x14ac:dyDescent="0.25">
      <c r="L141713" s="472"/>
      <c r="M141713" s="472"/>
    </row>
    <row r="141785" spans="12:13" x14ac:dyDescent="0.25">
      <c r="L141785" s="472"/>
      <c r="M141785" s="472"/>
    </row>
    <row r="141786" spans="12:13" x14ac:dyDescent="0.25">
      <c r="L141786" s="472"/>
      <c r="M141786" s="472"/>
    </row>
    <row r="141787" spans="12:13" x14ac:dyDescent="0.25">
      <c r="L141787" s="472"/>
      <c r="M141787" s="472"/>
    </row>
    <row r="141859" spans="12:13" x14ac:dyDescent="0.25">
      <c r="L141859" s="472"/>
      <c r="M141859" s="472"/>
    </row>
    <row r="141860" spans="12:13" x14ac:dyDescent="0.25">
      <c r="L141860" s="472"/>
      <c r="M141860" s="472"/>
    </row>
    <row r="141861" spans="12:13" x14ac:dyDescent="0.25">
      <c r="L141861" s="472"/>
      <c r="M141861" s="472"/>
    </row>
    <row r="141933" spans="12:13" x14ac:dyDescent="0.25">
      <c r="L141933" s="472"/>
      <c r="M141933" s="472"/>
    </row>
    <row r="141934" spans="12:13" x14ac:dyDescent="0.25">
      <c r="L141934" s="472"/>
      <c r="M141934" s="472"/>
    </row>
    <row r="141935" spans="12:13" x14ac:dyDescent="0.25">
      <c r="L141935" s="472"/>
      <c r="M141935" s="472"/>
    </row>
    <row r="142007" spans="12:13" x14ac:dyDescent="0.25">
      <c r="L142007" s="472"/>
      <c r="M142007" s="472"/>
    </row>
    <row r="142008" spans="12:13" x14ac:dyDescent="0.25">
      <c r="L142008" s="472"/>
      <c r="M142008" s="472"/>
    </row>
    <row r="142009" spans="12:13" x14ac:dyDescent="0.25">
      <c r="L142009" s="472"/>
      <c r="M142009" s="472"/>
    </row>
    <row r="142081" spans="12:13" x14ac:dyDescent="0.25">
      <c r="L142081" s="472"/>
      <c r="M142081" s="472"/>
    </row>
    <row r="142082" spans="12:13" x14ac:dyDescent="0.25">
      <c r="L142082" s="472"/>
      <c r="M142082" s="472"/>
    </row>
    <row r="142083" spans="12:13" x14ac:dyDescent="0.25">
      <c r="L142083" s="472"/>
      <c r="M142083" s="472"/>
    </row>
    <row r="142155" spans="12:13" x14ac:dyDescent="0.25">
      <c r="L142155" s="472"/>
      <c r="M142155" s="472"/>
    </row>
    <row r="142156" spans="12:13" x14ac:dyDescent="0.25">
      <c r="L142156" s="472"/>
      <c r="M142156" s="472"/>
    </row>
    <row r="142157" spans="12:13" x14ac:dyDescent="0.25">
      <c r="L142157" s="472"/>
      <c r="M142157" s="472"/>
    </row>
    <row r="142229" spans="12:13" x14ac:dyDescent="0.25">
      <c r="L142229" s="472"/>
      <c r="M142229" s="472"/>
    </row>
    <row r="142230" spans="12:13" x14ac:dyDescent="0.25">
      <c r="L142230" s="472"/>
      <c r="M142230" s="472"/>
    </row>
    <row r="142231" spans="12:13" x14ac:dyDescent="0.25">
      <c r="L142231" s="472"/>
      <c r="M142231" s="472"/>
    </row>
    <row r="142303" spans="12:13" x14ac:dyDescent="0.25">
      <c r="L142303" s="472"/>
      <c r="M142303" s="472"/>
    </row>
    <row r="142304" spans="12:13" x14ac:dyDescent="0.25">
      <c r="L142304" s="472"/>
      <c r="M142304" s="472"/>
    </row>
    <row r="142305" spans="12:13" x14ac:dyDescent="0.25">
      <c r="L142305" s="472"/>
      <c r="M142305" s="472"/>
    </row>
    <row r="142377" spans="12:13" x14ac:dyDescent="0.25">
      <c r="L142377" s="472"/>
      <c r="M142377" s="472"/>
    </row>
    <row r="142378" spans="12:13" x14ac:dyDescent="0.25">
      <c r="L142378" s="472"/>
      <c r="M142378" s="472"/>
    </row>
    <row r="142379" spans="12:13" x14ac:dyDescent="0.25">
      <c r="L142379" s="472"/>
      <c r="M142379" s="472"/>
    </row>
    <row r="142451" spans="12:13" x14ac:dyDescent="0.25">
      <c r="L142451" s="472"/>
      <c r="M142451" s="472"/>
    </row>
    <row r="142452" spans="12:13" x14ac:dyDescent="0.25">
      <c r="L142452" s="472"/>
      <c r="M142452" s="472"/>
    </row>
    <row r="142453" spans="12:13" x14ac:dyDescent="0.25">
      <c r="L142453" s="472"/>
      <c r="M142453" s="472"/>
    </row>
    <row r="142525" spans="12:13" x14ac:dyDescent="0.25">
      <c r="L142525" s="472"/>
      <c r="M142525" s="472"/>
    </row>
    <row r="142526" spans="12:13" x14ac:dyDescent="0.25">
      <c r="L142526" s="472"/>
      <c r="M142526" s="472"/>
    </row>
    <row r="142527" spans="12:13" x14ac:dyDescent="0.25">
      <c r="L142527" s="472"/>
      <c r="M142527" s="472"/>
    </row>
    <row r="142599" spans="12:13" x14ac:dyDescent="0.25">
      <c r="L142599" s="472"/>
      <c r="M142599" s="472"/>
    </row>
    <row r="142600" spans="12:13" x14ac:dyDescent="0.25">
      <c r="L142600" s="472"/>
      <c r="M142600" s="472"/>
    </row>
    <row r="142601" spans="12:13" x14ac:dyDescent="0.25">
      <c r="L142601" s="472"/>
      <c r="M142601" s="472"/>
    </row>
    <row r="142673" spans="12:13" x14ac:dyDescent="0.25">
      <c r="L142673" s="472"/>
      <c r="M142673" s="472"/>
    </row>
    <row r="142674" spans="12:13" x14ac:dyDescent="0.25">
      <c r="L142674" s="472"/>
      <c r="M142674" s="472"/>
    </row>
    <row r="142675" spans="12:13" x14ac:dyDescent="0.25">
      <c r="L142675" s="472"/>
      <c r="M142675" s="472"/>
    </row>
    <row r="142747" spans="12:13" x14ac:dyDescent="0.25">
      <c r="L142747" s="472"/>
      <c r="M142747" s="472"/>
    </row>
    <row r="142748" spans="12:13" x14ac:dyDescent="0.25">
      <c r="L142748" s="472"/>
      <c r="M142748" s="472"/>
    </row>
    <row r="142749" spans="12:13" x14ac:dyDescent="0.25">
      <c r="L142749" s="472"/>
      <c r="M142749" s="472"/>
    </row>
    <row r="142821" spans="12:13" x14ac:dyDescent="0.25">
      <c r="L142821" s="472"/>
      <c r="M142821" s="472"/>
    </row>
    <row r="142822" spans="12:13" x14ac:dyDescent="0.25">
      <c r="L142822" s="472"/>
      <c r="M142822" s="472"/>
    </row>
    <row r="142823" spans="12:13" x14ac:dyDescent="0.25">
      <c r="L142823" s="472"/>
      <c r="M142823" s="472"/>
    </row>
    <row r="142895" spans="12:13" x14ac:dyDescent="0.25">
      <c r="L142895" s="472"/>
      <c r="M142895" s="472"/>
    </row>
    <row r="142896" spans="12:13" x14ac:dyDescent="0.25">
      <c r="L142896" s="472"/>
      <c r="M142896" s="472"/>
    </row>
    <row r="142897" spans="12:13" x14ac:dyDescent="0.25">
      <c r="L142897" s="472"/>
      <c r="M142897" s="472"/>
    </row>
    <row r="142969" spans="12:13" x14ac:dyDescent="0.25">
      <c r="L142969" s="472"/>
      <c r="M142969" s="472"/>
    </row>
    <row r="142970" spans="12:13" x14ac:dyDescent="0.25">
      <c r="L142970" s="472"/>
      <c r="M142970" s="472"/>
    </row>
    <row r="142971" spans="12:13" x14ac:dyDescent="0.25">
      <c r="L142971" s="472"/>
      <c r="M142971" s="472"/>
    </row>
    <row r="143043" spans="12:13" x14ac:dyDescent="0.25">
      <c r="L143043" s="472"/>
      <c r="M143043" s="472"/>
    </row>
    <row r="143044" spans="12:13" x14ac:dyDescent="0.25">
      <c r="L143044" s="472"/>
      <c r="M143044" s="472"/>
    </row>
    <row r="143045" spans="12:13" x14ac:dyDescent="0.25">
      <c r="L143045" s="472"/>
      <c r="M143045" s="472"/>
    </row>
    <row r="143117" spans="12:13" x14ac:dyDescent="0.25">
      <c r="L143117" s="472"/>
      <c r="M143117" s="472"/>
    </row>
    <row r="143118" spans="12:13" x14ac:dyDescent="0.25">
      <c r="L143118" s="472"/>
      <c r="M143118" s="472"/>
    </row>
    <row r="143119" spans="12:13" x14ac:dyDescent="0.25">
      <c r="L143119" s="472"/>
      <c r="M143119" s="472"/>
    </row>
    <row r="143191" spans="12:13" x14ac:dyDescent="0.25">
      <c r="L143191" s="472"/>
      <c r="M143191" s="472"/>
    </row>
    <row r="143192" spans="12:13" x14ac:dyDescent="0.25">
      <c r="L143192" s="472"/>
      <c r="M143192" s="472"/>
    </row>
    <row r="143193" spans="12:13" x14ac:dyDescent="0.25">
      <c r="L143193" s="472"/>
      <c r="M143193" s="472"/>
    </row>
    <row r="143265" spans="12:13" x14ac:dyDescent="0.25">
      <c r="L143265" s="472"/>
      <c r="M143265" s="472"/>
    </row>
    <row r="143266" spans="12:13" x14ac:dyDescent="0.25">
      <c r="L143266" s="472"/>
      <c r="M143266" s="472"/>
    </row>
    <row r="143267" spans="12:13" x14ac:dyDescent="0.25">
      <c r="L143267" s="472"/>
      <c r="M143267" s="472"/>
    </row>
    <row r="143339" spans="12:13" x14ac:dyDescent="0.25">
      <c r="L143339" s="472"/>
      <c r="M143339" s="472"/>
    </row>
    <row r="143340" spans="12:13" x14ac:dyDescent="0.25">
      <c r="L143340" s="472"/>
      <c r="M143340" s="472"/>
    </row>
    <row r="143341" spans="12:13" x14ac:dyDescent="0.25">
      <c r="L143341" s="472"/>
      <c r="M143341" s="472"/>
    </row>
    <row r="143413" spans="12:13" x14ac:dyDescent="0.25">
      <c r="L143413" s="472"/>
      <c r="M143413" s="472"/>
    </row>
    <row r="143414" spans="12:13" x14ac:dyDescent="0.25">
      <c r="L143414" s="472"/>
      <c r="M143414" s="472"/>
    </row>
    <row r="143415" spans="12:13" x14ac:dyDescent="0.25">
      <c r="L143415" s="472"/>
      <c r="M143415" s="472"/>
    </row>
    <row r="143487" spans="12:13" x14ac:dyDescent="0.25">
      <c r="L143487" s="472"/>
      <c r="M143487" s="472"/>
    </row>
    <row r="143488" spans="12:13" x14ac:dyDescent="0.25">
      <c r="L143488" s="472"/>
      <c r="M143488" s="472"/>
    </row>
    <row r="143489" spans="12:13" x14ac:dyDescent="0.25">
      <c r="L143489" s="472"/>
      <c r="M143489" s="472"/>
    </row>
    <row r="143561" spans="12:13" x14ac:dyDescent="0.25">
      <c r="L143561" s="472"/>
      <c r="M143561" s="472"/>
    </row>
    <row r="143562" spans="12:13" x14ac:dyDescent="0.25">
      <c r="L143562" s="472"/>
      <c r="M143562" s="472"/>
    </row>
    <row r="143563" spans="12:13" x14ac:dyDescent="0.25">
      <c r="L143563" s="472"/>
      <c r="M143563" s="472"/>
    </row>
    <row r="143635" spans="12:13" x14ac:dyDescent="0.25">
      <c r="L143635" s="472"/>
      <c r="M143635" s="472"/>
    </row>
    <row r="143636" spans="12:13" x14ac:dyDescent="0.25">
      <c r="L143636" s="472"/>
      <c r="M143636" s="472"/>
    </row>
    <row r="143637" spans="12:13" x14ac:dyDescent="0.25">
      <c r="L143637" s="472"/>
      <c r="M143637" s="472"/>
    </row>
    <row r="143709" spans="12:13" x14ac:dyDescent="0.25">
      <c r="L143709" s="472"/>
      <c r="M143709" s="472"/>
    </row>
    <row r="143710" spans="12:13" x14ac:dyDescent="0.25">
      <c r="L143710" s="472"/>
      <c r="M143710" s="472"/>
    </row>
    <row r="143711" spans="12:13" x14ac:dyDescent="0.25">
      <c r="L143711" s="472"/>
      <c r="M143711" s="472"/>
    </row>
    <row r="143783" spans="12:13" x14ac:dyDescent="0.25">
      <c r="L143783" s="472"/>
      <c r="M143783" s="472"/>
    </row>
    <row r="143784" spans="12:13" x14ac:dyDescent="0.25">
      <c r="L143784" s="472"/>
      <c r="M143784" s="472"/>
    </row>
    <row r="143785" spans="12:13" x14ac:dyDescent="0.25">
      <c r="L143785" s="472"/>
      <c r="M143785" s="472"/>
    </row>
    <row r="143857" spans="12:13" x14ac:dyDescent="0.25">
      <c r="L143857" s="472"/>
      <c r="M143857" s="472"/>
    </row>
    <row r="143858" spans="12:13" x14ac:dyDescent="0.25">
      <c r="L143858" s="472"/>
      <c r="M143858" s="472"/>
    </row>
    <row r="143859" spans="12:13" x14ac:dyDescent="0.25">
      <c r="L143859" s="472"/>
      <c r="M143859" s="472"/>
    </row>
    <row r="143931" spans="12:13" x14ac:dyDescent="0.25">
      <c r="L143931" s="472"/>
      <c r="M143931" s="472"/>
    </row>
    <row r="143932" spans="12:13" x14ac:dyDescent="0.25">
      <c r="L143932" s="472"/>
      <c r="M143932" s="472"/>
    </row>
    <row r="143933" spans="12:13" x14ac:dyDescent="0.25">
      <c r="L143933" s="472"/>
      <c r="M143933" s="472"/>
    </row>
    <row r="144005" spans="12:13" x14ac:dyDescent="0.25">
      <c r="L144005" s="472"/>
      <c r="M144005" s="472"/>
    </row>
    <row r="144006" spans="12:13" x14ac:dyDescent="0.25">
      <c r="L144006" s="472"/>
      <c r="M144006" s="472"/>
    </row>
    <row r="144007" spans="12:13" x14ac:dyDescent="0.25">
      <c r="L144007" s="472"/>
      <c r="M144007" s="472"/>
    </row>
    <row r="144079" spans="12:13" x14ac:dyDescent="0.25">
      <c r="L144079" s="472"/>
      <c r="M144079" s="472"/>
    </row>
    <row r="144080" spans="12:13" x14ac:dyDescent="0.25">
      <c r="L144080" s="472"/>
      <c r="M144080" s="472"/>
    </row>
    <row r="144081" spans="12:13" x14ac:dyDescent="0.25">
      <c r="L144081" s="472"/>
      <c r="M144081" s="472"/>
    </row>
    <row r="144153" spans="12:13" x14ac:dyDescent="0.25">
      <c r="L144153" s="472"/>
      <c r="M144153" s="472"/>
    </row>
    <row r="144154" spans="12:13" x14ac:dyDescent="0.25">
      <c r="L144154" s="472"/>
      <c r="M144154" s="472"/>
    </row>
    <row r="144155" spans="12:13" x14ac:dyDescent="0.25">
      <c r="L144155" s="472"/>
      <c r="M144155" s="472"/>
    </row>
    <row r="144227" spans="12:13" x14ac:dyDescent="0.25">
      <c r="L144227" s="472"/>
      <c r="M144227" s="472"/>
    </row>
    <row r="144228" spans="12:13" x14ac:dyDescent="0.25">
      <c r="L144228" s="472"/>
      <c r="M144228" s="472"/>
    </row>
    <row r="144229" spans="12:13" x14ac:dyDescent="0.25">
      <c r="L144229" s="472"/>
      <c r="M144229" s="472"/>
    </row>
    <row r="144301" spans="12:13" x14ac:dyDescent="0.25">
      <c r="L144301" s="472"/>
      <c r="M144301" s="472"/>
    </row>
    <row r="144302" spans="12:13" x14ac:dyDescent="0.25">
      <c r="L144302" s="472"/>
      <c r="M144302" s="472"/>
    </row>
    <row r="144303" spans="12:13" x14ac:dyDescent="0.25">
      <c r="L144303" s="472"/>
      <c r="M144303" s="472"/>
    </row>
    <row r="144375" spans="12:13" x14ac:dyDescent="0.25">
      <c r="L144375" s="472"/>
      <c r="M144375" s="472"/>
    </row>
    <row r="144376" spans="12:13" x14ac:dyDescent="0.25">
      <c r="L144376" s="472"/>
      <c r="M144376" s="472"/>
    </row>
    <row r="144377" spans="12:13" x14ac:dyDescent="0.25">
      <c r="L144377" s="472"/>
      <c r="M144377" s="472"/>
    </row>
    <row r="144449" spans="12:13" x14ac:dyDescent="0.25">
      <c r="L144449" s="472"/>
      <c r="M144449" s="472"/>
    </row>
    <row r="144450" spans="12:13" x14ac:dyDescent="0.25">
      <c r="L144450" s="472"/>
      <c r="M144450" s="472"/>
    </row>
    <row r="144451" spans="12:13" x14ac:dyDescent="0.25">
      <c r="L144451" s="472"/>
      <c r="M144451" s="472"/>
    </row>
    <row r="144523" spans="12:13" x14ac:dyDescent="0.25">
      <c r="L144523" s="472"/>
      <c r="M144523" s="472"/>
    </row>
    <row r="144524" spans="12:13" x14ac:dyDescent="0.25">
      <c r="L144524" s="472"/>
      <c r="M144524" s="472"/>
    </row>
    <row r="144525" spans="12:13" x14ac:dyDescent="0.25">
      <c r="L144525" s="472"/>
      <c r="M144525" s="472"/>
    </row>
    <row r="144597" spans="12:13" x14ac:dyDescent="0.25">
      <c r="L144597" s="472"/>
      <c r="M144597" s="472"/>
    </row>
    <row r="144598" spans="12:13" x14ac:dyDescent="0.25">
      <c r="L144598" s="472"/>
      <c r="M144598" s="472"/>
    </row>
    <row r="144599" spans="12:13" x14ac:dyDescent="0.25">
      <c r="L144599" s="472"/>
      <c r="M144599" s="472"/>
    </row>
    <row r="144671" spans="12:13" x14ac:dyDescent="0.25">
      <c r="L144671" s="472"/>
      <c r="M144671" s="472"/>
    </row>
    <row r="144672" spans="12:13" x14ac:dyDescent="0.25">
      <c r="L144672" s="472"/>
      <c r="M144672" s="472"/>
    </row>
    <row r="144673" spans="12:13" x14ac:dyDescent="0.25">
      <c r="L144673" s="472"/>
      <c r="M144673" s="472"/>
    </row>
    <row r="144745" spans="12:13" x14ac:dyDescent="0.25">
      <c r="L144745" s="472"/>
      <c r="M144745" s="472"/>
    </row>
    <row r="144746" spans="12:13" x14ac:dyDescent="0.25">
      <c r="L144746" s="472"/>
      <c r="M144746" s="472"/>
    </row>
    <row r="144747" spans="12:13" x14ac:dyDescent="0.25">
      <c r="L144747" s="472"/>
      <c r="M144747" s="472"/>
    </row>
    <row r="144819" spans="12:13" x14ac:dyDescent="0.25">
      <c r="L144819" s="472"/>
      <c r="M144819" s="472"/>
    </row>
    <row r="144820" spans="12:13" x14ac:dyDescent="0.25">
      <c r="L144820" s="472"/>
      <c r="M144820" s="472"/>
    </row>
    <row r="144821" spans="12:13" x14ac:dyDescent="0.25">
      <c r="L144821" s="472"/>
      <c r="M144821" s="472"/>
    </row>
    <row r="144893" spans="12:13" x14ac:dyDescent="0.25">
      <c r="L144893" s="472"/>
      <c r="M144893" s="472"/>
    </row>
    <row r="144894" spans="12:13" x14ac:dyDescent="0.25">
      <c r="L144894" s="472"/>
      <c r="M144894" s="472"/>
    </row>
    <row r="144895" spans="12:13" x14ac:dyDescent="0.25">
      <c r="L144895" s="472"/>
      <c r="M144895" s="472"/>
    </row>
    <row r="144967" spans="12:13" x14ac:dyDescent="0.25">
      <c r="L144967" s="472"/>
      <c r="M144967" s="472"/>
    </row>
    <row r="144968" spans="12:13" x14ac:dyDescent="0.25">
      <c r="L144968" s="472"/>
      <c r="M144968" s="472"/>
    </row>
    <row r="144969" spans="12:13" x14ac:dyDescent="0.25">
      <c r="L144969" s="472"/>
      <c r="M144969" s="472"/>
    </row>
    <row r="145041" spans="12:13" x14ac:dyDescent="0.25">
      <c r="L145041" s="472"/>
      <c r="M145041" s="472"/>
    </row>
    <row r="145042" spans="12:13" x14ac:dyDescent="0.25">
      <c r="L145042" s="472"/>
      <c r="M145042" s="472"/>
    </row>
    <row r="145043" spans="12:13" x14ac:dyDescent="0.25">
      <c r="L145043" s="472"/>
      <c r="M145043" s="472"/>
    </row>
    <row r="145115" spans="12:13" x14ac:dyDescent="0.25">
      <c r="L145115" s="472"/>
      <c r="M145115" s="472"/>
    </row>
    <row r="145116" spans="12:13" x14ac:dyDescent="0.25">
      <c r="L145116" s="472"/>
      <c r="M145116" s="472"/>
    </row>
    <row r="145117" spans="12:13" x14ac:dyDescent="0.25">
      <c r="L145117" s="472"/>
      <c r="M145117" s="472"/>
    </row>
    <row r="145189" spans="12:13" x14ac:dyDescent="0.25">
      <c r="L145189" s="472"/>
      <c r="M145189" s="472"/>
    </row>
    <row r="145190" spans="12:13" x14ac:dyDescent="0.25">
      <c r="L145190" s="472"/>
      <c r="M145190" s="472"/>
    </row>
    <row r="145191" spans="12:13" x14ac:dyDescent="0.25">
      <c r="L145191" s="472"/>
      <c r="M145191" s="472"/>
    </row>
    <row r="145263" spans="12:13" x14ac:dyDescent="0.25">
      <c r="L145263" s="472"/>
      <c r="M145263" s="472"/>
    </row>
    <row r="145264" spans="12:13" x14ac:dyDescent="0.25">
      <c r="L145264" s="472"/>
      <c r="M145264" s="472"/>
    </row>
    <row r="145265" spans="12:13" x14ac:dyDescent="0.25">
      <c r="L145265" s="472"/>
      <c r="M145265" s="472"/>
    </row>
    <row r="145337" spans="12:13" x14ac:dyDescent="0.25">
      <c r="L145337" s="472"/>
      <c r="M145337" s="472"/>
    </row>
    <row r="145338" spans="12:13" x14ac:dyDescent="0.25">
      <c r="L145338" s="472"/>
      <c r="M145338" s="472"/>
    </row>
    <row r="145339" spans="12:13" x14ac:dyDescent="0.25">
      <c r="L145339" s="472"/>
      <c r="M145339" s="472"/>
    </row>
    <row r="145411" spans="12:13" x14ac:dyDescent="0.25">
      <c r="L145411" s="472"/>
      <c r="M145411" s="472"/>
    </row>
    <row r="145412" spans="12:13" x14ac:dyDescent="0.25">
      <c r="L145412" s="472"/>
      <c r="M145412" s="472"/>
    </row>
    <row r="145413" spans="12:13" x14ac:dyDescent="0.25">
      <c r="L145413" s="472"/>
      <c r="M145413" s="472"/>
    </row>
    <row r="145485" spans="12:13" x14ac:dyDescent="0.25">
      <c r="L145485" s="472"/>
      <c r="M145485" s="472"/>
    </row>
    <row r="145486" spans="12:13" x14ac:dyDescent="0.25">
      <c r="L145486" s="472"/>
      <c r="M145486" s="472"/>
    </row>
    <row r="145487" spans="12:13" x14ac:dyDescent="0.25">
      <c r="L145487" s="472"/>
      <c r="M145487" s="472"/>
    </row>
    <row r="145559" spans="12:13" x14ac:dyDescent="0.25">
      <c r="L145559" s="472"/>
      <c r="M145559" s="472"/>
    </row>
    <row r="145560" spans="12:13" x14ac:dyDescent="0.25">
      <c r="L145560" s="472"/>
      <c r="M145560" s="472"/>
    </row>
    <row r="145561" spans="12:13" x14ac:dyDescent="0.25">
      <c r="L145561" s="472"/>
      <c r="M145561" s="472"/>
    </row>
    <row r="145633" spans="12:13" x14ac:dyDescent="0.25">
      <c r="L145633" s="472"/>
      <c r="M145633" s="472"/>
    </row>
    <row r="145634" spans="12:13" x14ac:dyDescent="0.25">
      <c r="L145634" s="472"/>
      <c r="M145634" s="472"/>
    </row>
    <row r="145635" spans="12:13" x14ac:dyDescent="0.25">
      <c r="L145635" s="472"/>
      <c r="M145635" s="472"/>
    </row>
    <row r="145707" spans="12:13" x14ac:dyDescent="0.25">
      <c r="L145707" s="472"/>
      <c r="M145707" s="472"/>
    </row>
    <row r="145708" spans="12:13" x14ac:dyDescent="0.25">
      <c r="L145708" s="472"/>
      <c r="M145708" s="472"/>
    </row>
    <row r="145709" spans="12:13" x14ac:dyDescent="0.25">
      <c r="L145709" s="472"/>
      <c r="M145709" s="472"/>
    </row>
    <row r="145781" spans="12:13" x14ac:dyDescent="0.25">
      <c r="L145781" s="472"/>
      <c r="M145781" s="472"/>
    </row>
    <row r="145782" spans="12:13" x14ac:dyDescent="0.25">
      <c r="L145782" s="472"/>
      <c r="M145782" s="472"/>
    </row>
    <row r="145783" spans="12:13" x14ac:dyDescent="0.25">
      <c r="L145783" s="472"/>
      <c r="M145783" s="472"/>
    </row>
    <row r="145855" spans="12:13" x14ac:dyDescent="0.25">
      <c r="L145855" s="472"/>
      <c r="M145855" s="472"/>
    </row>
    <row r="145856" spans="12:13" x14ac:dyDescent="0.25">
      <c r="L145856" s="472"/>
      <c r="M145856" s="472"/>
    </row>
    <row r="145857" spans="12:13" x14ac:dyDescent="0.25">
      <c r="L145857" s="472"/>
      <c r="M145857" s="472"/>
    </row>
    <row r="145929" spans="12:13" x14ac:dyDescent="0.25">
      <c r="L145929" s="472"/>
      <c r="M145929" s="472"/>
    </row>
    <row r="145930" spans="12:13" x14ac:dyDescent="0.25">
      <c r="L145930" s="472"/>
      <c r="M145930" s="472"/>
    </row>
    <row r="145931" spans="12:13" x14ac:dyDescent="0.25">
      <c r="L145931" s="472"/>
      <c r="M145931" s="472"/>
    </row>
    <row r="146003" spans="12:13" x14ac:dyDescent="0.25">
      <c r="L146003" s="472"/>
      <c r="M146003" s="472"/>
    </row>
    <row r="146004" spans="12:13" x14ac:dyDescent="0.25">
      <c r="L146004" s="472"/>
      <c r="M146004" s="472"/>
    </row>
    <row r="146005" spans="12:13" x14ac:dyDescent="0.25">
      <c r="L146005" s="472"/>
      <c r="M146005" s="472"/>
    </row>
    <row r="146077" spans="12:13" x14ac:dyDescent="0.25">
      <c r="L146077" s="472"/>
      <c r="M146077" s="472"/>
    </row>
    <row r="146078" spans="12:13" x14ac:dyDescent="0.25">
      <c r="L146078" s="472"/>
      <c r="M146078" s="472"/>
    </row>
    <row r="146079" spans="12:13" x14ac:dyDescent="0.25">
      <c r="L146079" s="472"/>
      <c r="M146079" s="472"/>
    </row>
    <row r="146151" spans="12:13" x14ac:dyDescent="0.25">
      <c r="L146151" s="472"/>
      <c r="M146151" s="472"/>
    </row>
    <row r="146152" spans="12:13" x14ac:dyDescent="0.25">
      <c r="L146152" s="472"/>
      <c r="M146152" s="472"/>
    </row>
    <row r="146153" spans="12:13" x14ac:dyDescent="0.25">
      <c r="L146153" s="472"/>
      <c r="M146153" s="472"/>
    </row>
    <row r="146225" spans="12:13" x14ac:dyDescent="0.25">
      <c r="L146225" s="472"/>
      <c r="M146225" s="472"/>
    </row>
    <row r="146226" spans="12:13" x14ac:dyDescent="0.25">
      <c r="L146226" s="472"/>
      <c r="M146226" s="472"/>
    </row>
    <row r="146227" spans="12:13" x14ac:dyDescent="0.25">
      <c r="L146227" s="472"/>
      <c r="M146227" s="472"/>
    </row>
    <row r="146299" spans="12:13" x14ac:dyDescent="0.25">
      <c r="L146299" s="472"/>
      <c r="M146299" s="472"/>
    </row>
    <row r="146300" spans="12:13" x14ac:dyDescent="0.25">
      <c r="L146300" s="472"/>
      <c r="M146300" s="472"/>
    </row>
    <row r="146301" spans="12:13" x14ac:dyDescent="0.25">
      <c r="L146301" s="472"/>
      <c r="M146301" s="472"/>
    </row>
    <row r="146373" spans="12:13" x14ac:dyDescent="0.25">
      <c r="L146373" s="472"/>
      <c r="M146373" s="472"/>
    </row>
    <row r="146374" spans="12:13" x14ac:dyDescent="0.25">
      <c r="L146374" s="472"/>
      <c r="M146374" s="472"/>
    </row>
    <row r="146375" spans="12:13" x14ac:dyDescent="0.25">
      <c r="L146375" s="472"/>
      <c r="M146375" s="472"/>
    </row>
    <row r="146447" spans="12:13" x14ac:dyDescent="0.25">
      <c r="L146447" s="472"/>
      <c r="M146447" s="472"/>
    </row>
    <row r="146448" spans="12:13" x14ac:dyDescent="0.25">
      <c r="L146448" s="472"/>
      <c r="M146448" s="472"/>
    </row>
    <row r="146449" spans="12:13" x14ac:dyDescent="0.25">
      <c r="L146449" s="472"/>
      <c r="M146449" s="472"/>
    </row>
    <row r="146521" spans="12:13" x14ac:dyDescent="0.25">
      <c r="L146521" s="472"/>
      <c r="M146521" s="472"/>
    </row>
    <row r="146522" spans="12:13" x14ac:dyDescent="0.25">
      <c r="L146522" s="472"/>
      <c r="M146522" s="472"/>
    </row>
    <row r="146523" spans="12:13" x14ac:dyDescent="0.25">
      <c r="L146523" s="472"/>
      <c r="M146523" s="472"/>
    </row>
    <row r="146595" spans="12:13" x14ac:dyDescent="0.25">
      <c r="L146595" s="472"/>
      <c r="M146595" s="472"/>
    </row>
    <row r="146596" spans="12:13" x14ac:dyDescent="0.25">
      <c r="L146596" s="472"/>
      <c r="M146596" s="472"/>
    </row>
    <row r="146597" spans="12:13" x14ac:dyDescent="0.25">
      <c r="L146597" s="472"/>
      <c r="M146597" s="472"/>
    </row>
    <row r="146669" spans="12:13" x14ac:dyDescent="0.25">
      <c r="L146669" s="472"/>
      <c r="M146669" s="472"/>
    </row>
    <row r="146670" spans="12:13" x14ac:dyDescent="0.25">
      <c r="L146670" s="472"/>
      <c r="M146670" s="472"/>
    </row>
    <row r="146671" spans="12:13" x14ac:dyDescent="0.25">
      <c r="L146671" s="472"/>
      <c r="M146671" s="472"/>
    </row>
    <row r="146743" spans="12:13" x14ac:dyDescent="0.25">
      <c r="L146743" s="472"/>
      <c r="M146743" s="472"/>
    </row>
    <row r="146744" spans="12:13" x14ac:dyDescent="0.25">
      <c r="L146744" s="472"/>
      <c r="M146744" s="472"/>
    </row>
    <row r="146745" spans="12:13" x14ac:dyDescent="0.25">
      <c r="L146745" s="472"/>
      <c r="M146745" s="472"/>
    </row>
    <row r="146817" spans="12:13" x14ac:dyDescent="0.25">
      <c r="L146817" s="472"/>
      <c r="M146817" s="472"/>
    </row>
    <row r="146818" spans="12:13" x14ac:dyDescent="0.25">
      <c r="L146818" s="472"/>
      <c r="M146818" s="472"/>
    </row>
    <row r="146819" spans="12:13" x14ac:dyDescent="0.25">
      <c r="L146819" s="472"/>
      <c r="M146819" s="472"/>
    </row>
    <row r="146891" spans="12:13" x14ac:dyDescent="0.25">
      <c r="L146891" s="472"/>
      <c r="M146891" s="472"/>
    </row>
    <row r="146892" spans="12:13" x14ac:dyDescent="0.25">
      <c r="L146892" s="472"/>
      <c r="M146892" s="472"/>
    </row>
    <row r="146893" spans="12:13" x14ac:dyDescent="0.25">
      <c r="L146893" s="472"/>
      <c r="M146893" s="472"/>
    </row>
    <row r="146965" spans="12:13" x14ac:dyDescent="0.25">
      <c r="L146965" s="472"/>
      <c r="M146965" s="472"/>
    </row>
    <row r="146966" spans="12:13" x14ac:dyDescent="0.25">
      <c r="L146966" s="472"/>
      <c r="M146966" s="472"/>
    </row>
    <row r="146967" spans="12:13" x14ac:dyDescent="0.25">
      <c r="L146967" s="472"/>
      <c r="M146967" s="472"/>
    </row>
    <row r="147039" spans="12:13" x14ac:dyDescent="0.25">
      <c r="L147039" s="472"/>
      <c r="M147039" s="472"/>
    </row>
    <row r="147040" spans="12:13" x14ac:dyDescent="0.25">
      <c r="L147040" s="472"/>
      <c r="M147040" s="472"/>
    </row>
    <row r="147041" spans="12:13" x14ac:dyDescent="0.25">
      <c r="L147041" s="472"/>
      <c r="M147041" s="472"/>
    </row>
    <row r="147113" spans="12:13" x14ac:dyDescent="0.25">
      <c r="L147113" s="472"/>
      <c r="M147113" s="472"/>
    </row>
    <row r="147114" spans="12:13" x14ac:dyDescent="0.25">
      <c r="L147114" s="472"/>
      <c r="M147114" s="472"/>
    </row>
    <row r="147115" spans="12:13" x14ac:dyDescent="0.25">
      <c r="L147115" s="472"/>
      <c r="M147115" s="472"/>
    </row>
    <row r="147187" spans="12:13" x14ac:dyDescent="0.25">
      <c r="L147187" s="472"/>
      <c r="M147187" s="472"/>
    </row>
    <row r="147188" spans="12:13" x14ac:dyDescent="0.25">
      <c r="L147188" s="472"/>
      <c r="M147188" s="472"/>
    </row>
    <row r="147189" spans="12:13" x14ac:dyDescent="0.25">
      <c r="L147189" s="472"/>
      <c r="M147189" s="472"/>
    </row>
    <row r="147261" spans="12:13" x14ac:dyDescent="0.25">
      <c r="L147261" s="472"/>
      <c r="M147261" s="472"/>
    </row>
    <row r="147262" spans="12:13" x14ac:dyDescent="0.25">
      <c r="L147262" s="472"/>
      <c r="M147262" s="472"/>
    </row>
    <row r="147263" spans="12:13" x14ac:dyDescent="0.25">
      <c r="L147263" s="472"/>
      <c r="M147263" s="472"/>
    </row>
    <row r="147335" spans="12:13" x14ac:dyDescent="0.25">
      <c r="L147335" s="472"/>
      <c r="M147335" s="472"/>
    </row>
    <row r="147336" spans="12:13" x14ac:dyDescent="0.25">
      <c r="L147336" s="472"/>
      <c r="M147336" s="472"/>
    </row>
    <row r="147337" spans="12:13" x14ac:dyDescent="0.25">
      <c r="L147337" s="472"/>
      <c r="M147337" s="472"/>
    </row>
    <row r="147409" spans="12:13" x14ac:dyDescent="0.25">
      <c r="L147409" s="472"/>
      <c r="M147409" s="472"/>
    </row>
    <row r="147410" spans="12:13" x14ac:dyDescent="0.25">
      <c r="L147410" s="472"/>
      <c r="M147410" s="472"/>
    </row>
    <row r="147411" spans="12:13" x14ac:dyDescent="0.25">
      <c r="L147411" s="472"/>
      <c r="M147411" s="472"/>
    </row>
    <row r="147483" spans="12:13" x14ac:dyDescent="0.25">
      <c r="L147483" s="472"/>
      <c r="M147483" s="472"/>
    </row>
    <row r="147484" spans="12:13" x14ac:dyDescent="0.25">
      <c r="L147484" s="472"/>
      <c r="M147484" s="472"/>
    </row>
    <row r="147485" spans="12:13" x14ac:dyDescent="0.25">
      <c r="L147485" s="472"/>
      <c r="M147485" s="472"/>
    </row>
    <row r="147557" spans="12:13" x14ac:dyDescent="0.25">
      <c r="L147557" s="472"/>
      <c r="M147557" s="472"/>
    </row>
    <row r="147558" spans="12:13" x14ac:dyDescent="0.25">
      <c r="L147558" s="472"/>
      <c r="M147558" s="472"/>
    </row>
    <row r="147559" spans="12:13" x14ac:dyDescent="0.25">
      <c r="L147559" s="472"/>
      <c r="M147559" s="472"/>
    </row>
    <row r="147631" spans="12:13" x14ac:dyDescent="0.25">
      <c r="L147631" s="472"/>
      <c r="M147631" s="472"/>
    </row>
    <row r="147632" spans="12:13" x14ac:dyDescent="0.25">
      <c r="L147632" s="472"/>
      <c r="M147632" s="472"/>
    </row>
    <row r="147633" spans="12:13" x14ac:dyDescent="0.25">
      <c r="L147633" s="472"/>
      <c r="M147633" s="472"/>
    </row>
    <row r="147705" spans="12:13" x14ac:dyDescent="0.25">
      <c r="L147705" s="472"/>
      <c r="M147705" s="472"/>
    </row>
    <row r="147706" spans="12:13" x14ac:dyDescent="0.25">
      <c r="L147706" s="472"/>
      <c r="M147706" s="472"/>
    </row>
    <row r="147707" spans="12:13" x14ac:dyDescent="0.25">
      <c r="L147707" s="472"/>
      <c r="M147707" s="472"/>
    </row>
    <row r="147779" spans="12:13" x14ac:dyDescent="0.25">
      <c r="L147779" s="472"/>
      <c r="M147779" s="472"/>
    </row>
    <row r="147780" spans="12:13" x14ac:dyDescent="0.25">
      <c r="L147780" s="472"/>
      <c r="M147780" s="472"/>
    </row>
    <row r="147781" spans="12:13" x14ac:dyDescent="0.25">
      <c r="L147781" s="472"/>
      <c r="M147781" s="472"/>
    </row>
    <row r="147853" spans="12:13" x14ac:dyDescent="0.25">
      <c r="L147853" s="472"/>
      <c r="M147853" s="472"/>
    </row>
    <row r="147854" spans="12:13" x14ac:dyDescent="0.25">
      <c r="L147854" s="472"/>
      <c r="M147854" s="472"/>
    </row>
    <row r="147855" spans="12:13" x14ac:dyDescent="0.25">
      <c r="L147855" s="472"/>
      <c r="M147855" s="472"/>
    </row>
    <row r="147927" spans="12:13" x14ac:dyDescent="0.25">
      <c r="L147927" s="472"/>
      <c r="M147927" s="472"/>
    </row>
    <row r="147928" spans="12:13" x14ac:dyDescent="0.25">
      <c r="L147928" s="472"/>
      <c r="M147928" s="472"/>
    </row>
    <row r="147929" spans="12:13" x14ac:dyDescent="0.25">
      <c r="L147929" s="472"/>
      <c r="M147929" s="472"/>
    </row>
    <row r="148001" spans="12:13" x14ac:dyDescent="0.25">
      <c r="L148001" s="472"/>
      <c r="M148001" s="472"/>
    </row>
    <row r="148002" spans="12:13" x14ac:dyDescent="0.25">
      <c r="L148002" s="472"/>
      <c r="M148002" s="472"/>
    </row>
    <row r="148003" spans="12:13" x14ac:dyDescent="0.25">
      <c r="L148003" s="472"/>
      <c r="M148003" s="472"/>
    </row>
    <row r="148075" spans="12:13" x14ac:dyDescent="0.25">
      <c r="L148075" s="472"/>
      <c r="M148075" s="472"/>
    </row>
    <row r="148076" spans="12:13" x14ac:dyDescent="0.25">
      <c r="L148076" s="472"/>
      <c r="M148076" s="472"/>
    </row>
    <row r="148077" spans="12:13" x14ac:dyDescent="0.25">
      <c r="L148077" s="472"/>
      <c r="M148077" s="472"/>
    </row>
    <row r="148149" spans="12:13" x14ac:dyDescent="0.25">
      <c r="L148149" s="472"/>
      <c r="M148149" s="472"/>
    </row>
    <row r="148150" spans="12:13" x14ac:dyDescent="0.25">
      <c r="L148150" s="472"/>
      <c r="M148150" s="472"/>
    </row>
    <row r="148151" spans="12:13" x14ac:dyDescent="0.25">
      <c r="L148151" s="472"/>
      <c r="M148151" s="472"/>
    </row>
    <row r="148223" spans="12:13" x14ac:dyDescent="0.25">
      <c r="L148223" s="472"/>
      <c r="M148223" s="472"/>
    </row>
    <row r="148224" spans="12:13" x14ac:dyDescent="0.25">
      <c r="L148224" s="472"/>
      <c r="M148224" s="472"/>
    </row>
    <row r="148225" spans="12:13" x14ac:dyDescent="0.25">
      <c r="L148225" s="472"/>
      <c r="M148225" s="472"/>
    </row>
    <row r="148297" spans="12:13" x14ac:dyDescent="0.25">
      <c r="L148297" s="472"/>
      <c r="M148297" s="472"/>
    </row>
    <row r="148298" spans="12:13" x14ac:dyDescent="0.25">
      <c r="L148298" s="472"/>
      <c r="M148298" s="472"/>
    </row>
    <row r="148299" spans="12:13" x14ac:dyDescent="0.25">
      <c r="L148299" s="472"/>
      <c r="M148299" s="472"/>
    </row>
    <row r="148371" spans="12:13" x14ac:dyDescent="0.25">
      <c r="L148371" s="472"/>
      <c r="M148371" s="472"/>
    </row>
    <row r="148372" spans="12:13" x14ac:dyDescent="0.25">
      <c r="L148372" s="472"/>
      <c r="M148372" s="472"/>
    </row>
    <row r="148373" spans="12:13" x14ac:dyDescent="0.25">
      <c r="L148373" s="472"/>
      <c r="M148373" s="472"/>
    </row>
    <row r="148445" spans="12:13" x14ac:dyDescent="0.25">
      <c r="L148445" s="472"/>
      <c r="M148445" s="472"/>
    </row>
    <row r="148446" spans="12:13" x14ac:dyDescent="0.25">
      <c r="L148446" s="472"/>
      <c r="M148446" s="472"/>
    </row>
    <row r="148447" spans="12:13" x14ac:dyDescent="0.25">
      <c r="L148447" s="472"/>
      <c r="M148447" s="472"/>
    </row>
    <row r="148519" spans="12:13" x14ac:dyDescent="0.25">
      <c r="L148519" s="472"/>
      <c r="M148519" s="472"/>
    </row>
    <row r="148520" spans="12:13" x14ac:dyDescent="0.25">
      <c r="L148520" s="472"/>
      <c r="M148520" s="472"/>
    </row>
    <row r="148521" spans="12:13" x14ac:dyDescent="0.25">
      <c r="L148521" s="472"/>
      <c r="M148521" s="472"/>
    </row>
    <row r="148593" spans="12:13" x14ac:dyDescent="0.25">
      <c r="L148593" s="472"/>
      <c r="M148593" s="472"/>
    </row>
    <row r="148594" spans="12:13" x14ac:dyDescent="0.25">
      <c r="L148594" s="472"/>
      <c r="M148594" s="472"/>
    </row>
    <row r="148595" spans="12:13" x14ac:dyDescent="0.25">
      <c r="L148595" s="472"/>
      <c r="M148595" s="472"/>
    </row>
    <row r="148667" spans="12:13" x14ac:dyDescent="0.25">
      <c r="L148667" s="472"/>
      <c r="M148667" s="472"/>
    </row>
    <row r="148668" spans="12:13" x14ac:dyDescent="0.25">
      <c r="L148668" s="472"/>
      <c r="M148668" s="472"/>
    </row>
    <row r="148669" spans="12:13" x14ac:dyDescent="0.25">
      <c r="L148669" s="472"/>
      <c r="M148669" s="472"/>
    </row>
    <row r="148741" spans="12:13" x14ac:dyDescent="0.25">
      <c r="L148741" s="472"/>
      <c r="M148741" s="472"/>
    </row>
    <row r="148742" spans="12:13" x14ac:dyDescent="0.25">
      <c r="L148742" s="472"/>
      <c r="M148742" s="472"/>
    </row>
    <row r="148743" spans="12:13" x14ac:dyDescent="0.25">
      <c r="L148743" s="472"/>
      <c r="M148743" s="472"/>
    </row>
    <row r="148815" spans="12:13" x14ac:dyDescent="0.25">
      <c r="L148815" s="472"/>
      <c r="M148815" s="472"/>
    </row>
    <row r="148816" spans="12:13" x14ac:dyDescent="0.25">
      <c r="L148816" s="472"/>
      <c r="M148816" s="472"/>
    </row>
    <row r="148817" spans="12:13" x14ac:dyDescent="0.25">
      <c r="L148817" s="472"/>
      <c r="M148817" s="472"/>
    </row>
    <row r="148889" spans="12:13" x14ac:dyDescent="0.25">
      <c r="L148889" s="472"/>
      <c r="M148889" s="472"/>
    </row>
    <row r="148890" spans="12:13" x14ac:dyDescent="0.25">
      <c r="L148890" s="472"/>
      <c r="M148890" s="472"/>
    </row>
    <row r="148891" spans="12:13" x14ac:dyDescent="0.25">
      <c r="L148891" s="472"/>
      <c r="M148891" s="472"/>
    </row>
    <row r="148963" spans="12:13" x14ac:dyDescent="0.25">
      <c r="L148963" s="472"/>
      <c r="M148963" s="472"/>
    </row>
    <row r="148964" spans="12:13" x14ac:dyDescent="0.25">
      <c r="L148964" s="472"/>
      <c r="M148964" s="472"/>
    </row>
    <row r="148965" spans="12:13" x14ac:dyDescent="0.25">
      <c r="L148965" s="472"/>
      <c r="M148965" s="472"/>
    </row>
    <row r="149037" spans="12:13" x14ac:dyDescent="0.25">
      <c r="L149037" s="472"/>
      <c r="M149037" s="472"/>
    </row>
    <row r="149038" spans="12:13" x14ac:dyDescent="0.25">
      <c r="L149038" s="472"/>
      <c r="M149038" s="472"/>
    </row>
    <row r="149039" spans="12:13" x14ac:dyDescent="0.25">
      <c r="L149039" s="472"/>
      <c r="M149039" s="472"/>
    </row>
    <row r="149111" spans="12:13" x14ac:dyDescent="0.25">
      <c r="L149111" s="472"/>
      <c r="M149111" s="472"/>
    </row>
    <row r="149112" spans="12:13" x14ac:dyDescent="0.25">
      <c r="L149112" s="472"/>
      <c r="M149112" s="472"/>
    </row>
    <row r="149113" spans="12:13" x14ac:dyDescent="0.25">
      <c r="L149113" s="472"/>
      <c r="M149113" s="472"/>
    </row>
    <row r="149185" spans="12:13" x14ac:dyDescent="0.25">
      <c r="L149185" s="472"/>
      <c r="M149185" s="472"/>
    </row>
    <row r="149186" spans="12:13" x14ac:dyDescent="0.25">
      <c r="L149186" s="472"/>
      <c r="M149186" s="472"/>
    </row>
    <row r="149187" spans="12:13" x14ac:dyDescent="0.25">
      <c r="L149187" s="472"/>
      <c r="M149187" s="472"/>
    </row>
    <row r="149259" spans="12:13" x14ac:dyDescent="0.25">
      <c r="L149259" s="472"/>
      <c r="M149259" s="472"/>
    </row>
    <row r="149260" spans="12:13" x14ac:dyDescent="0.25">
      <c r="L149260" s="472"/>
      <c r="M149260" s="472"/>
    </row>
    <row r="149261" spans="12:13" x14ac:dyDescent="0.25">
      <c r="L149261" s="472"/>
      <c r="M149261" s="472"/>
    </row>
    <row r="149333" spans="12:13" x14ac:dyDescent="0.25">
      <c r="L149333" s="472"/>
      <c r="M149333" s="472"/>
    </row>
    <row r="149334" spans="12:13" x14ac:dyDescent="0.25">
      <c r="L149334" s="472"/>
      <c r="M149334" s="472"/>
    </row>
    <row r="149335" spans="12:13" x14ac:dyDescent="0.25">
      <c r="L149335" s="472"/>
      <c r="M149335" s="472"/>
    </row>
    <row r="149407" spans="12:13" x14ac:dyDescent="0.25">
      <c r="L149407" s="472"/>
      <c r="M149407" s="472"/>
    </row>
    <row r="149408" spans="12:13" x14ac:dyDescent="0.25">
      <c r="L149408" s="472"/>
      <c r="M149408" s="472"/>
    </row>
    <row r="149409" spans="12:13" x14ac:dyDescent="0.25">
      <c r="L149409" s="472"/>
      <c r="M149409" s="472"/>
    </row>
    <row r="149481" spans="12:13" x14ac:dyDescent="0.25">
      <c r="L149481" s="472"/>
      <c r="M149481" s="472"/>
    </row>
    <row r="149482" spans="12:13" x14ac:dyDescent="0.25">
      <c r="L149482" s="472"/>
      <c r="M149482" s="472"/>
    </row>
    <row r="149483" spans="12:13" x14ac:dyDescent="0.25">
      <c r="L149483" s="472"/>
      <c r="M149483" s="472"/>
    </row>
    <row r="149555" spans="12:13" x14ac:dyDescent="0.25">
      <c r="L149555" s="472"/>
      <c r="M149555" s="472"/>
    </row>
    <row r="149556" spans="12:13" x14ac:dyDescent="0.25">
      <c r="L149556" s="472"/>
      <c r="M149556" s="472"/>
    </row>
    <row r="149557" spans="12:13" x14ac:dyDescent="0.25">
      <c r="L149557" s="472"/>
      <c r="M149557" s="472"/>
    </row>
    <row r="149629" spans="12:13" x14ac:dyDescent="0.25">
      <c r="L149629" s="472"/>
      <c r="M149629" s="472"/>
    </row>
    <row r="149630" spans="12:13" x14ac:dyDescent="0.25">
      <c r="L149630" s="472"/>
      <c r="M149630" s="472"/>
    </row>
    <row r="149631" spans="12:13" x14ac:dyDescent="0.25">
      <c r="L149631" s="472"/>
      <c r="M149631" s="472"/>
    </row>
    <row r="149703" spans="12:13" x14ac:dyDescent="0.25">
      <c r="L149703" s="472"/>
      <c r="M149703" s="472"/>
    </row>
    <row r="149704" spans="12:13" x14ac:dyDescent="0.25">
      <c r="L149704" s="472"/>
      <c r="M149704" s="472"/>
    </row>
    <row r="149705" spans="12:13" x14ac:dyDescent="0.25">
      <c r="L149705" s="472"/>
      <c r="M149705" s="472"/>
    </row>
    <row r="149777" spans="12:13" x14ac:dyDescent="0.25">
      <c r="L149777" s="472"/>
      <c r="M149777" s="472"/>
    </row>
    <row r="149778" spans="12:13" x14ac:dyDescent="0.25">
      <c r="L149778" s="472"/>
      <c r="M149778" s="472"/>
    </row>
    <row r="149779" spans="12:13" x14ac:dyDescent="0.25">
      <c r="L149779" s="472"/>
      <c r="M149779" s="472"/>
    </row>
    <row r="149851" spans="12:13" x14ac:dyDescent="0.25">
      <c r="L149851" s="472"/>
      <c r="M149851" s="472"/>
    </row>
    <row r="149852" spans="12:13" x14ac:dyDescent="0.25">
      <c r="L149852" s="472"/>
      <c r="M149852" s="472"/>
    </row>
    <row r="149853" spans="12:13" x14ac:dyDescent="0.25">
      <c r="L149853" s="472"/>
      <c r="M149853" s="472"/>
    </row>
    <row r="149925" spans="12:13" x14ac:dyDescent="0.25">
      <c r="L149925" s="472"/>
      <c r="M149925" s="472"/>
    </row>
    <row r="149926" spans="12:13" x14ac:dyDescent="0.25">
      <c r="L149926" s="472"/>
      <c r="M149926" s="472"/>
    </row>
    <row r="149927" spans="12:13" x14ac:dyDescent="0.25">
      <c r="L149927" s="472"/>
      <c r="M149927" s="472"/>
    </row>
    <row r="149999" spans="12:13" x14ac:dyDescent="0.25">
      <c r="L149999" s="472"/>
      <c r="M149999" s="472"/>
    </row>
    <row r="150000" spans="12:13" x14ac:dyDescent="0.25">
      <c r="L150000" s="472"/>
      <c r="M150000" s="472"/>
    </row>
    <row r="150001" spans="12:13" x14ac:dyDescent="0.25">
      <c r="L150001" s="472"/>
      <c r="M150001" s="472"/>
    </row>
    <row r="150073" spans="12:13" x14ac:dyDescent="0.25">
      <c r="L150073" s="472"/>
      <c r="M150073" s="472"/>
    </row>
    <row r="150074" spans="12:13" x14ac:dyDescent="0.25">
      <c r="L150074" s="472"/>
      <c r="M150074" s="472"/>
    </row>
    <row r="150075" spans="12:13" x14ac:dyDescent="0.25">
      <c r="L150075" s="472"/>
      <c r="M150075" s="472"/>
    </row>
    <row r="150147" spans="12:13" x14ac:dyDescent="0.25">
      <c r="L150147" s="472"/>
      <c r="M150147" s="472"/>
    </row>
    <row r="150148" spans="12:13" x14ac:dyDescent="0.25">
      <c r="L150148" s="472"/>
      <c r="M150148" s="472"/>
    </row>
    <row r="150149" spans="12:13" x14ac:dyDescent="0.25">
      <c r="L150149" s="472"/>
      <c r="M150149" s="472"/>
    </row>
    <row r="150221" spans="12:13" x14ac:dyDescent="0.25">
      <c r="L150221" s="472"/>
      <c r="M150221" s="472"/>
    </row>
    <row r="150222" spans="12:13" x14ac:dyDescent="0.25">
      <c r="L150222" s="472"/>
      <c r="M150222" s="472"/>
    </row>
    <row r="150223" spans="12:13" x14ac:dyDescent="0.25">
      <c r="L150223" s="472"/>
      <c r="M150223" s="472"/>
    </row>
    <row r="150295" spans="12:13" x14ac:dyDescent="0.25">
      <c r="L150295" s="472"/>
      <c r="M150295" s="472"/>
    </row>
    <row r="150296" spans="12:13" x14ac:dyDescent="0.25">
      <c r="L150296" s="472"/>
      <c r="M150296" s="472"/>
    </row>
    <row r="150297" spans="12:13" x14ac:dyDescent="0.25">
      <c r="L150297" s="472"/>
      <c r="M150297" s="472"/>
    </row>
    <row r="150369" spans="12:13" x14ac:dyDescent="0.25">
      <c r="L150369" s="472"/>
      <c r="M150369" s="472"/>
    </row>
    <row r="150370" spans="12:13" x14ac:dyDescent="0.25">
      <c r="L150370" s="472"/>
      <c r="M150370" s="472"/>
    </row>
    <row r="150371" spans="12:13" x14ac:dyDescent="0.25">
      <c r="L150371" s="472"/>
      <c r="M150371" s="472"/>
    </row>
    <row r="150443" spans="12:13" x14ac:dyDescent="0.25">
      <c r="L150443" s="472"/>
      <c r="M150443" s="472"/>
    </row>
    <row r="150444" spans="12:13" x14ac:dyDescent="0.25">
      <c r="L150444" s="472"/>
      <c r="M150444" s="472"/>
    </row>
    <row r="150445" spans="12:13" x14ac:dyDescent="0.25">
      <c r="L150445" s="472"/>
      <c r="M150445" s="472"/>
    </row>
    <row r="150517" spans="12:13" x14ac:dyDescent="0.25">
      <c r="L150517" s="472"/>
      <c r="M150517" s="472"/>
    </row>
    <row r="150518" spans="12:13" x14ac:dyDescent="0.25">
      <c r="L150518" s="472"/>
      <c r="M150518" s="472"/>
    </row>
    <row r="150519" spans="12:13" x14ac:dyDescent="0.25">
      <c r="L150519" s="472"/>
      <c r="M150519" s="472"/>
    </row>
    <row r="150591" spans="12:13" x14ac:dyDescent="0.25">
      <c r="L150591" s="472"/>
      <c r="M150591" s="472"/>
    </row>
    <row r="150592" spans="12:13" x14ac:dyDescent="0.25">
      <c r="L150592" s="472"/>
      <c r="M150592" s="472"/>
    </row>
    <row r="150593" spans="12:13" x14ac:dyDescent="0.25">
      <c r="L150593" s="472"/>
      <c r="M150593" s="472"/>
    </row>
    <row r="150665" spans="12:13" x14ac:dyDescent="0.25">
      <c r="L150665" s="472"/>
      <c r="M150665" s="472"/>
    </row>
    <row r="150666" spans="12:13" x14ac:dyDescent="0.25">
      <c r="L150666" s="472"/>
      <c r="M150666" s="472"/>
    </row>
    <row r="150667" spans="12:13" x14ac:dyDescent="0.25">
      <c r="L150667" s="472"/>
      <c r="M150667" s="472"/>
    </row>
    <row r="150739" spans="12:13" x14ac:dyDescent="0.25">
      <c r="L150739" s="472"/>
      <c r="M150739" s="472"/>
    </row>
    <row r="150740" spans="12:13" x14ac:dyDescent="0.25">
      <c r="L150740" s="472"/>
      <c r="M150740" s="472"/>
    </row>
    <row r="150741" spans="12:13" x14ac:dyDescent="0.25">
      <c r="L150741" s="472"/>
      <c r="M150741" s="472"/>
    </row>
    <row r="150813" spans="12:13" x14ac:dyDescent="0.25">
      <c r="L150813" s="472"/>
      <c r="M150813" s="472"/>
    </row>
    <row r="150814" spans="12:13" x14ac:dyDescent="0.25">
      <c r="L150814" s="472"/>
      <c r="M150814" s="472"/>
    </row>
    <row r="150815" spans="12:13" x14ac:dyDescent="0.25">
      <c r="L150815" s="472"/>
      <c r="M150815" s="472"/>
    </row>
    <row r="150887" spans="12:13" x14ac:dyDescent="0.25">
      <c r="L150887" s="472"/>
      <c r="M150887" s="472"/>
    </row>
    <row r="150888" spans="12:13" x14ac:dyDescent="0.25">
      <c r="L150888" s="472"/>
      <c r="M150888" s="472"/>
    </row>
    <row r="150889" spans="12:13" x14ac:dyDescent="0.25">
      <c r="L150889" s="472"/>
      <c r="M150889" s="472"/>
    </row>
    <row r="150961" spans="12:13" x14ac:dyDescent="0.25">
      <c r="L150961" s="472"/>
      <c r="M150961" s="472"/>
    </row>
    <row r="150962" spans="12:13" x14ac:dyDescent="0.25">
      <c r="L150962" s="472"/>
      <c r="M150962" s="472"/>
    </row>
    <row r="150963" spans="12:13" x14ac:dyDescent="0.25">
      <c r="L150963" s="472"/>
      <c r="M150963" s="472"/>
    </row>
    <row r="151035" spans="12:13" x14ac:dyDescent="0.25">
      <c r="L151035" s="472"/>
      <c r="M151035" s="472"/>
    </row>
    <row r="151036" spans="12:13" x14ac:dyDescent="0.25">
      <c r="L151036" s="472"/>
      <c r="M151036" s="472"/>
    </row>
    <row r="151037" spans="12:13" x14ac:dyDescent="0.25">
      <c r="L151037" s="472"/>
      <c r="M151037" s="472"/>
    </row>
    <row r="151109" spans="12:13" x14ac:dyDescent="0.25">
      <c r="L151109" s="472"/>
      <c r="M151109" s="472"/>
    </row>
    <row r="151110" spans="12:13" x14ac:dyDescent="0.25">
      <c r="L151110" s="472"/>
      <c r="M151110" s="472"/>
    </row>
    <row r="151111" spans="12:13" x14ac:dyDescent="0.25">
      <c r="L151111" s="472"/>
      <c r="M151111" s="472"/>
    </row>
    <row r="151183" spans="12:13" x14ac:dyDescent="0.25">
      <c r="L151183" s="472"/>
      <c r="M151183" s="472"/>
    </row>
    <row r="151184" spans="12:13" x14ac:dyDescent="0.25">
      <c r="L151184" s="472"/>
      <c r="M151184" s="472"/>
    </row>
    <row r="151185" spans="12:13" x14ac:dyDescent="0.25">
      <c r="L151185" s="472"/>
      <c r="M151185" s="472"/>
    </row>
    <row r="151257" spans="12:13" x14ac:dyDescent="0.25">
      <c r="L151257" s="472"/>
      <c r="M151257" s="472"/>
    </row>
    <row r="151258" spans="12:13" x14ac:dyDescent="0.25">
      <c r="L151258" s="472"/>
      <c r="M151258" s="472"/>
    </row>
    <row r="151259" spans="12:13" x14ac:dyDescent="0.25">
      <c r="L151259" s="472"/>
      <c r="M151259" s="472"/>
    </row>
    <row r="151331" spans="12:13" x14ac:dyDescent="0.25">
      <c r="L151331" s="472"/>
      <c r="M151331" s="472"/>
    </row>
    <row r="151332" spans="12:13" x14ac:dyDescent="0.25">
      <c r="L151332" s="472"/>
      <c r="M151332" s="472"/>
    </row>
    <row r="151333" spans="12:13" x14ac:dyDescent="0.25">
      <c r="L151333" s="472"/>
      <c r="M151333" s="472"/>
    </row>
    <row r="151405" spans="12:13" x14ac:dyDescent="0.25">
      <c r="L151405" s="472"/>
      <c r="M151405" s="472"/>
    </row>
    <row r="151406" spans="12:13" x14ac:dyDescent="0.25">
      <c r="L151406" s="472"/>
      <c r="M151406" s="472"/>
    </row>
    <row r="151407" spans="12:13" x14ac:dyDescent="0.25">
      <c r="L151407" s="472"/>
      <c r="M151407" s="472"/>
    </row>
    <row r="151479" spans="12:13" x14ac:dyDescent="0.25">
      <c r="L151479" s="472"/>
      <c r="M151479" s="472"/>
    </row>
    <row r="151480" spans="12:13" x14ac:dyDescent="0.25">
      <c r="L151480" s="472"/>
      <c r="M151480" s="472"/>
    </row>
    <row r="151481" spans="12:13" x14ac:dyDescent="0.25">
      <c r="L151481" s="472"/>
      <c r="M151481" s="472"/>
    </row>
    <row r="151553" spans="12:13" x14ac:dyDescent="0.25">
      <c r="L151553" s="472"/>
      <c r="M151553" s="472"/>
    </row>
    <row r="151554" spans="12:13" x14ac:dyDescent="0.25">
      <c r="L151554" s="472"/>
      <c r="M151554" s="472"/>
    </row>
    <row r="151555" spans="12:13" x14ac:dyDescent="0.25">
      <c r="L151555" s="472"/>
      <c r="M151555" s="472"/>
    </row>
    <row r="151627" spans="12:13" x14ac:dyDescent="0.25">
      <c r="L151627" s="472"/>
      <c r="M151627" s="472"/>
    </row>
    <row r="151628" spans="12:13" x14ac:dyDescent="0.25">
      <c r="L151628" s="472"/>
      <c r="M151628" s="472"/>
    </row>
    <row r="151629" spans="12:13" x14ac:dyDescent="0.25">
      <c r="L151629" s="472"/>
      <c r="M151629" s="472"/>
    </row>
    <row r="151701" spans="12:13" x14ac:dyDescent="0.25">
      <c r="L151701" s="472"/>
      <c r="M151701" s="472"/>
    </row>
    <row r="151702" spans="12:13" x14ac:dyDescent="0.25">
      <c r="L151702" s="472"/>
      <c r="M151702" s="472"/>
    </row>
    <row r="151703" spans="12:13" x14ac:dyDescent="0.25">
      <c r="L151703" s="472"/>
      <c r="M151703" s="472"/>
    </row>
    <row r="151775" spans="12:13" x14ac:dyDescent="0.25">
      <c r="L151775" s="472"/>
      <c r="M151775" s="472"/>
    </row>
    <row r="151776" spans="12:13" x14ac:dyDescent="0.25">
      <c r="L151776" s="472"/>
      <c r="M151776" s="472"/>
    </row>
    <row r="151777" spans="12:13" x14ac:dyDescent="0.25">
      <c r="L151777" s="472"/>
      <c r="M151777" s="472"/>
    </row>
    <row r="151849" spans="12:13" x14ac:dyDescent="0.25">
      <c r="L151849" s="472"/>
      <c r="M151849" s="472"/>
    </row>
    <row r="151850" spans="12:13" x14ac:dyDescent="0.25">
      <c r="L151850" s="472"/>
      <c r="M151850" s="472"/>
    </row>
    <row r="151851" spans="12:13" x14ac:dyDescent="0.25">
      <c r="L151851" s="472"/>
      <c r="M151851" s="472"/>
    </row>
    <row r="151923" spans="12:13" x14ac:dyDescent="0.25">
      <c r="L151923" s="472"/>
      <c r="M151923" s="472"/>
    </row>
    <row r="151924" spans="12:13" x14ac:dyDescent="0.25">
      <c r="L151924" s="472"/>
      <c r="M151924" s="472"/>
    </row>
    <row r="151925" spans="12:13" x14ac:dyDescent="0.25">
      <c r="L151925" s="472"/>
      <c r="M151925" s="472"/>
    </row>
    <row r="151997" spans="12:13" x14ac:dyDescent="0.25">
      <c r="L151997" s="472"/>
      <c r="M151997" s="472"/>
    </row>
    <row r="151998" spans="12:13" x14ac:dyDescent="0.25">
      <c r="L151998" s="472"/>
      <c r="M151998" s="472"/>
    </row>
    <row r="151999" spans="12:13" x14ac:dyDescent="0.25">
      <c r="L151999" s="472"/>
      <c r="M151999" s="472"/>
    </row>
    <row r="152071" spans="12:13" x14ac:dyDescent="0.25">
      <c r="L152071" s="472"/>
      <c r="M152071" s="472"/>
    </row>
    <row r="152072" spans="12:13" x14ac:dyDescent="0.25">
      <c r="L152072" s="472"/>
      <c r="M152072" s="472"/>
    </row>
    <row r="152073" spans="12:13" x14ac:dyDescent="0.25">
      <c r="L152073" s="472"/>
      <c r="M152073" s="472"/>
    </row>
    <row r="152145" spans="12:13" x14ac:dyDescent="0.25">
      <c r="L152145" s="472"/>
      <c r="M152145" s="472"/>
    </row>
    <row r="152146" spans="12:13" x14ac:dyDescent="0.25">
      <c r="L152146" s="472"/>
      <c r="M152146" s="472"/>
    </row>
    <row r="152147" spans="12:13" x14ac:dyDescent="0.25">
      <c r="L152147" s="472"/>
      <c r="M152147" s="472"/>
    </row>
    <row r="152219" spans="12:13" x14ac:dyDescent="0.25">
      <c r="L152219" s="472"/>
      <c r="M152219" s="472"/>
    </row>
    <row r="152220" spans="12:13" x14ac:dyDescent="0.25">
      <c r="L152220" s="472"/>
      <c r="M152220" s="472"/>
    </row>
    <row r="152221" spans="12:13" x14ac:dyDescent="0.25">
      <c r="L152221" s="472"/>
      <c r="M152221" s="472"/>
    </row>
    <row r="152293" spans="12:13" x14ac:dyDescent="0.25">
      <c r="L152293" s="472"/>
      <c r="M152293" s="472"/>
    </row>
    <row r="152294" spans="12:13" x14ac:dyDescent="0.25">
      <c r="L152294" s="472"/>
      <c r="M152294" s="472"/>
    </row>
    <row r="152295" spans="12:13" x14ac:dyDescent="0.25">
      <c r="L152295" s="472"/>
      <c r="M152295" s="472"/>
    </row>
    <row r="152367" spans="12:13" x14ac:dyDescent="0.25">
      <c r="L152367" s="472"/>
      <c r="M152367" s="472"/>
    </row>
    <row r="152368" spans="12:13" x14ac:dyDescent="0.25">
      <c r="L152368" s="472"/>
      <c r="M152368" s="472"/>
    </row>
    <row r="152369" spans="12:13" x14ac:dyDescent="0.25">
      <c r="L152369" s="472"/>
      <c r="M152369" s="472"/>
    </row>
    <row r="152441" spans="12:13" x14ac:dyDescent="0.25">
      <c r="L152441" s="472"/>
      <c r="M152441" s="472"/>
    </row>
    <row r="152442" spans="12:13" x14ac:dyDescent="0.25">
      <c r="L152442" s="472"/>
      <c r="M152442" s="472"/>
    </row>
    <row r="152443" spans="12:13" x14ac:dyDescent="0.25">
      <c r="L152443" s="472"/>
      <c r="M152443" s="472"/>
    </row>
    <row r="152515" spans="12:13" x14ac:dyDescent="0.25">
      <c r="L152515" s="472"/>
      <c r="M152515" s="472"/>
    </row>
    <row r="152516" spans="12:13" x14ac:dyDescent="0.25">
      <c r="L152516" s="472"/>
      <c r="M152516" s="472"/>
    </row>
    <row r="152517" spans="12:13" x14ac:dyDescent="0.25">
      <c r="L152517" s="472"/>
      <c r="M152517" s="472"/>
    </row>
    <row r="152589" spans="12:13" x14ac:dyDescent="0.25">
      <c r="L152589" s="472"/>
      <c r="M152589" s="472"/>
    </row>
    <row r="152590" spans="12:13" x14ac:dyDescent="0.25">
      <c r="L152590" s="472"/>
      <c r="M152590" s="472"/>
    </row>
    <row r="152591" spans="12:13" x14ac:dyDescent="0.25">
      <c r="L152591" s="472"/>
      <c r="M152591" s="472"/>
    </row>
    <row r="152663" spans="12:13" x14ac:dyDescent="0.25">
      <c r="L152663" s="472"/>
      <c r="M152663" s="472"/>
    </row>
    <row r="152664" spans="12:13" x14ac:dyDescent="0.25">
      <c r="L152664" s="472"/>
      <c r="M152664" s="472"/>
    </row>
    <row r="152665" spans="12:13" x14ac:dyDescent="0.25">
      <c r="L152665" s="472"/>
      <c r="M152665" s="472"/>
    </row>
    <row r="152737" spans="12:13" x14ac:dyDescent="0.25">
      <c r="L152737" s="472"/>
      <c r="M152737" s="472"/>
    </row>
    <row r="152738" spans="12:13" x14ac:dyDescent="0.25">
      <c r="L152738" s="472"/>
      <c r="M152738" s="472"/>
    </row>
    <row r="152739" spans="12:13" x14ac:dyDescent="0.25">
      <c r="L152739" s="472"/>
      <c r="M152739" s="472"/>
    </row>
    <row r="152811" spans="12:13" x14ac:dyDescent="0.25">
      <c r="L152811" s="472"/>
      <c r="M152811" s="472"/>
    </row>
    <row r="152812" spans="12:13" x14ac:dyDescent="0.25">
      <c r="L152812" s="472"/>
      <c r="M152812" s="472"/>
    </row>
    <row r="152813" spans="12:13" x14ac:dyDescent="0.25">
      <c r="L152813" s="472"/>
      <c r="M152813" s="472"/>
    </row>
    <row r="152885" spans="12:13" x14ac:dyDescent="0.25">
      <c r="L152885" s="472"/>
      <c r="M152885" s="472"/>
    </row>
    <row r="152886" spans="12:13" x14ac:dyDescent="0.25">
      <c r="L152886" s="472"/>
      <c r="M152886" s="472"/>
    </row>
    <row r="152887" spans="12:13" x14ac:dyDescent="0.25">
      <c r="L152887" s="472"/>
      <c r="M152887" s="472"/>
    </row>
    <row r="152959" spans="12:13" x14ac:dyDescent="0.25">
      <c r="L152959" s="472"/>
      <c r="M152959" s="472"/>
    </row>
    <row r="152960" spans="12:13" x14ac:dyDescent="0.25">
      <c r="L152960" s="472"/>
      <c r="M152960" s="472"/>
    </row>
    <row r="152961" spans="12:13" x14ac:dyDescent="0.25">
      <c r="L152961" s="472"/>
      <c r="M152961" s="472"/>
    </row>
    <row r="153033" spans="12:13" x14ac:dyDescent="0.25">
      <c r="L153033" s="472"/>
      <c r="M153033" s="472"/>
    </row>
    <row r="153034" spans="12:13" x14ac:dyDescent="0.25">
      <c r="L153034" s="472"/>
      <c r="M153034" s="472"/>
    </row>
    <row r="153035" spans="12:13" x14ac:dyDescent="0.25">
      <c r="L153035" s="472"/>
      <c r="M153035" s="472"/>
    </row>
    <row r="153107" spans="12:13" x14ac:dyDescent="0.25">
      <c r="L153107" s="472"/>
      <c r="M153107" s="472"/>
    </row>
    <row r="153108" spans="12:13" x14ac:dyDescent="0.25">
      <c r="L153108" s="472"/>
      <c r="M153108" s="472"/>
    </row>
    <row r="153109" spans="12:13" x14ac:dyDescent="0.25">
      <c r="L153109" s="472"/>
      <c r="M153109" s="472"/>
    </row>
    <row r="153181" spans="12:13" x14ac:dyDescent="0.25">
      <c r="L153181" s="472"/>
      <c r="M153181" s="472"/>
    </row>
    <row r="153182" spans="12:13" x14ac:dyDescent="0.25">
      <c r="L153182" s="472"/>
      <c r="M153182" s="472"/>
    </row>
    <row r="153183" spans="12:13" x14ac:dyDescent="0.25">
      <c r="L153183" s="472"/>
      <c r="M153183" s="472"/>
    </row>
    <row r="153255" spans="12:13" x14ac:dyDescent="0.25">
      <c r="L153255" s="472"/>
      <c r="M153255" s="472"/>
    </row>
    <row r="153256" spans="12:13" x14ac:dyDescent="0.25">
      <c r="L153256" s="472"/>
      <c r="M153256" s="472"/>
    </row>
    <row r="153257" spans="12:13" x14ac:dyDescent="0.25">
      <c r="L153257" s="472"/>
      <c r="M153257" s="472"/>
    </row>
    <row r="153329" spans="12:13" x14ac:dyDescent="0.25">
      <c r="L153329" s="472"/>
      <c r="M153329" s="472"/>
    </row>
    <row r="153330" spans="12:13" x14ac:dyDescent="0.25">
      <c r="L153330" s="472"/>
      <c r="M153330" s="472"/>
    </row>
    <row r="153331" spans="12:13" x14ac:dyDescent="0.25">
      <c r="L153331" s="472"/>
      <c r="M153331" s="472"/>
    </row>
    <row r="153403" spans="12:13" x14ac:dyDescent="0.25">
      <c r="L153403" s="472"/>
      <c r="M153403" s="472"/>
    </row>
    <row r="153404" spans="12:13" x14ac:dyDescent="0.25">
      <c r="L153404" s="472"/>
      <c r="M153404" s="472"/>
    </row>
    <row r="153405" spans="12:13" x14ac:dyDescent="0.25">
      <c r="L153405" s="472"/>
      <c r="M153405" s="472"/>
    </row>
    <row r="153477" spans="12:13" x14ac:dyDescent="0.25">
      <c r="L153477" s="472"/>
      <c r="M153477" s="472"/>
    </row>
    <row r="153478" spans="12:13" x14ac:dyDescent="0.25">
      <c r="L153478" s="472"/>
      <c r="M153478" s="472"/>
    </row>
    <row r="153479" spans="12:13" x14ac:dyDescent="0.25">
      <c r="L153479" s="472"/>
      <c r="M153479" s="472"/>
    </row>
    <row r="153551" spans="12:13" x14ac:dyDescent="0.25">
      <c r="L153551" s="472"/>
      <c r="M153551" s="472"/>
    </row>
    <row r="153552" spans="12:13" x14ac:dyDescent="0.25">
      <c r="L153552" s="472"/>
      <c r="M153552" s="472"/>
    </row>
    <row r="153553" spans="12:13" x14ac:dyDescent="0.25">
      <c r="L153553" s="472"/>
      <c r="M153553" s="472"/>
    </row>
    <row r="153625" spans="12:13" x14ac:dyDescent="0.25">
      <c r="L153625" s="472"/>
      <c r="M153625" s="472"/>
    </row>
    <row r="153626" spans="12:13" x14ac:dyDescent="0.25">
      <c r="L153626" s="472"/>
      <c r="M153626" s="472"/>
    </row>
    <row r="153627" spans="12:13" x14ac:dyDescent="0.25">
      <c r="L153627" s="472"/>
      <c r="M153627" s="472"/>
    </row>
    <row r="153699" spans="12:13" x14ac:dyDescent="0.25">
      <c r="L153699" s="472"/>
      <c r="M153699" s="472"/>
    </row>
    <row r="153700" spans="12:13" x14ac:dyDescent="0.25">
      <c r="L153700" s="472"/>
      <c r="M153700" s="472"/>
    </row>
    <row r="153701" spans="12:13" x14ac:dyDescent="0.25">
      <c r="L153701" s="472"/>
      <c r="M153701" s="472"/>
    </row>
    <row r="153773" spans="12:13" x14ac:dyDescent="0.25">
      <c r="L153773" s="472"/>
      <c r="M153773" s="472"/>
    </row>
    <row r="153774" spans="12:13" x14ac:dyDescent="0.25">
      <c r="L153774" s="472"/>
      <c r="M153774" s="472"/>
    </row>
    <row r="153775" spans="12:13" x14ac:dyDescent="0.25">
      <c r="L153775" s="472"/>
      <c r="M153775" s="472"/>
    </row>
    <row r="153847" spans="12:13" x14ac:dyDescent="0.25">
      <c r="L153847" s="472"/>
      <c r="M153847" s="472"/>
    </row>
    <row r="153848" spans="12:13" x14ac:dyDescent="0.25">
      <c r="L153848" s="472"/>
      <c r="M153848" s="472"/>
    </row>
    <row r="153849" spans="12:13" x14ac:dyDescent="0.25">
      <c r="L153849" s="472"/>
      <c r="M153849" s="472"/>
    </row>
    <row r="153921" spans="12:13" x14ac:dyDescent="0.25">
      <c r="L153921" s="472"/>
      <c r="M153921" s="472"/>
    </row>
    <row r="153922" spans="12:13" x14ac:dyDescent="0.25">
      <c r="L153922" s="472"/>
      <c r="M153922" s="472"/>
    </row>
    <row r="153923" spans="12:13" x14ac:dyDescent="0.25">
      <c r="L153923" s="472"/>
      <c r="M153923" s="472"/>
    </row>
    <row r="153995" spans="12:13" x14ac:dyDescent="0.25">
      <c r="L153995" s="472"/>
      <c r="M153995" s="472"/>
    </row>
    <row r="153996" spans="12:13" x14ac:dyDescent="0.25">
      <c r="L153996" s="472"/>
      <c r="M153996" s="472"/>
    </row>
    <row r="153997" spans="12:13" x14ac:dyDescent="0.25">
      <c r="L153997" s="472"/>
      <c r="M153997" s="472"/>
    </row>
    <row r="154069" spans="12:13" x14ac:dyDescent="0.25">
      <c r="L154069" s="472"/>
      <c r="M154069" s="472"/>
    </row>
    <row r="154070" spans="12:13" x14ac:dyDescent="0.25">
      <c r="L154070" s="472"/>
      <c r="M154070" s="472"/>
    </row>
    <row r="154071" spans="12:13" x14ac:dyDescent="0.25">
      <c r="L154071" s="472"/>
      <c r="M154071" s="472"/>
    </row>
    <row r="154143" spans="12:13" x14ac:dyDescent="0.25">
      <c r="L154143" s="472"/>
      <c r="M154143" s="472"/>
    </row>
    <row r="154144" spans="12:13" x14ac:dyDescent="0.25">
      <c r="L154144" s="472"/>
      <c r="M154144" s="472"/>
    </row>
    <row r="154145" spans="12:13" x14ac:dyDescent="0.25">
      <c r="L154145" s="472"/>
      <c r="M154145" s="472"/>
    </row>
    <row r="154217" spans="12:13" x14ac:dyDescent="0.25">
      <c r="L154217" s="472"/>
      <c r="M154217" s="472"/>
    </row>
    <row r="154218" spans="12:13" x14ac:dyDescent="0.25">
      <c r="L154218" s="472"/>
      <c r="M154218" s="472"/>
    </row>
    <row r="154219" spans="12:13" x14ac:dyDescent="0.25">
      <c r="L154219" s="472"/>
      <c r="M154219" s="472"/>
    </row>
    <row r="154291" spans="12:13" x14ac:dyDescent="0.25">
      <c r="L154291" s="472"/>
      <c r="M154291" s="472"/>
    </row>
    <row r="154292" spans="12:13" x14ac:dyDescent="0.25">
      <c r="L154292" s="472"/>
      <c r="M154292" s="472"/>
    </row>
    <row r="154293" spans="12:13" x14ac:dyDescent="0.25">
      <c r="L154293" s="472"/>
      <c r="M154293" s="472"/>
    </row>
    <row r="154365" spans="12:13" x14ac:dyDescent="0.25">
      <c r="L154365" s="472"/>
      <c r="M154365" s="472"/>
    </row>
    <row r="154366" spans="12:13" x14ac:dyDescent="0.25">
      <c r="L154366" s="472"/>
      <c r="M154366" s="472"/>
    </row>
    <row r="154367" spans="12:13" x14ac:dyDescent="0.25">
      <c r="L154367" s="472"/>
      <c r="M154367" s="472"/>
    </row>
    <row r="154439" spans="12:13" x14ac:dyDescent="0.25">
      <c r="L154439" s="472"/>
      <c r="M154439" s="472"/>
    </row>
    <row r="154440" spans="12:13" x14ac:dyDescent="0.25">
      <c r="L154440" s="472"/>
      <c r="M154440" s="472"/>
    </row>
    <row r="154441" spans="12:13" x14ac:dyDescent="0.25">
      <c r="L154441" s="472"/>
      <c r="M154441" s="472"/>
    </row>
    <row r="154513" spans="12:13" x14ac:dyDescent="0.25">
      <c r="L154513" s="472"/>
      <c r="M154513" s="472"/>
    </row>
    <row r="154514" spans="12:13" x14ac:dyDescent="0.25">
      <c r="L154514" s="472"/>
      <c r="M154514" s="472"/>
    </row>
    <row r="154515" spans="12:13" x14ac:dyDescent="0.25">
      <c r="L154515" s="472"/>
      <c r="M154515" s="472"/>
    </row>
    <row r="154587" spans="12:13" x14ac:dyDescent="0.25">
      <c r="L154587" s="472"/>
      <c r="M154587" s="472"/>
    </row>
    <row r="154588" spans="12:13" x14ac:dyDescent="0.25">
      <c r="L154588" s="472"/>
      <c r="M154588" s="472"/>
    </row>
    <row r="154589" spans="12:13" x14ac:dyDescent="0.25">
      <c r="L154589" s="472"/>
      <c r="M154589" s="472"/>
    </row>
    <row r="154661" spans="12:13" x14ac:dyDescent="0.25">
      <c r="L154661" s="472"/>
      <c r="M154661" s="472"/>
    </row>
    <row r="154662" spans="12:13" x14ac:dyDescent="0.25">
      <c r="L154662" s="472"/>
      <c r="M154662" s="472"/>
    </row>
    <row r="154663" spans="12:13" x14ac:dyDescent="0.25">
      <c r="L154663" s="472"/>
      <c r="M154663" s="472"/>
    </row>
    <row r="154735" spans="12:13" x14ac:dyDescent="0.25">
      <c r="L154735" s="472"/>
      <c r="M154735" s="472"/>
    </row>
    <row r="154736" spans="12:13" x14ac:dyDescent="0.25">
      <c r="L154736" s="472"/>
      <c r="M154736" s="472"/>
    </row>
    <row r="154737" spans="12:13" x14ac:dyDescent="0.25">
      <c r="L154737" s="472"/>
      <c r="M154737" s="472"/>
    </row>
    <row r="154809" spans="12:13" x14ac:dyDescent="0.25">
      <c r="L154809" s="472"/>
      <c r="M154809" s="472"/>
    </row>
    <row r="154810" spans="12:13" x14ac:dyDescent="0.25">
      <c r="L154810" s="472"/>
      <c r="M154810" s="472"/>
    </row>
    <row r="154811" spans="12:13" x14ac:dyDescent="0.25">
      <c r="L154811" s="472"/>
      <c r="M154811" s="472"/>
    </row>
    <row r="154883" spans="12:13" x14ac:dyDescent="0.25">
      <c r="L154883" s="472"/>
      <c r="M154883" s="472"/>
    </row>
    <row r="154884" spans="12:13" x14ac:dyDescent="0.25">
      <c r="L154884" s="472"/>
      <c r="M154884" s="472"/>
    </row>
    <row r="154885" spans="12:13" x14ac:dyDescent="0.25">
      <c r="L154885" s="472"/>
      <c r="M154885" s="472"/>
    </row>
    <row r="154957" spans="12:13" x14ac:dyDescent="0.25">
      <c r="L154957" s="472"/>
      <c r="M154957" s="472"/>
    </row>
    <row r="154958" spans="12:13" x14ac:dyDescent="0.25">
      <c r="L154958" s="472"/>
      <c r="M154958" s="472"/>
    </row>
    <row r="154959" spans="12:13" x14ac:dyDescent="0.25">
      <c r="L154959" s="472"/>
      <c r="M154959" s="472"/>
    </row>
    <row r="155031" spans="12:13" x14ac:dyDescent="0.25">
      <c r="L155031" s="472"/>
      <c r="M155031" s="472"/>
    </row>
    <row r="155032" spans="12:13" x14ac:dyDescent="0.25">
      <c r="L155032" s="472"/>
      <c r="M155032" s="472"/>
    </row>
    <row r="155033" spans="12:13" x14ac:dyDescent="0.25">
      <c r="L155033" s="472"/>
      <c r="M155033" s="472"/>
    </row>
    <row r="155105" spans="12:13" x14ac:dyDescent="0.25">
      <c r="L155105" s="472"/>
      <c r="M155105" s="472"/>
    </row>
    <row r="155106" spans="12:13" x14ac:dyDescent="0.25">
      <c r="L155106" s="472"/>
      <c r="M155106" s="472"/>
    </row>
    <row r="155107" spans="12:13" x14ac:dyDescent="0.25">
      <c r="L155107" s="472"/>
      <c r="M155107" s="472"/>
    </row>
    <row r="155179" spans="12:13" x14ac:dyDescent="0.25">
      <c r="L155179" s="472"/>
      <c r="M155179" s="472"/>
    </row>
    <row r="155180" spans="12:13" x14ac:dyDescent="0.25">
      <c r="L155180" s="472"/>
      <c r="M155180" s="472"/>
    </row>
    <row r="155181" spans="12:13" x14ac:dyDescent="0.25">
      <c r="L155181" s="472"/>
      <c r="M155181" s="472"/>
    </row>
    <row r="155253" spans="12:13" x14ac:dyDescent="0.25">
      <c r="L155253" s="472"/>
      <c r="M155253" s="472"/>
    </row>
    <row r="155254" spans="12:13" x14ac:dyDescent="0.25">
      <c r="L155254" s="472"/>
      <c r="M155254" s="472"/>
    </row>
    <row r="155255" spans="12:13" x14ac:dyDescent="0.25">
      <c r="L155255" s="472"/>
      <c r="M155255" s="472"/>
    </row>
    <row r="155327" spans="12:13" x14ac:dyDescent="0.25">
      <c r="L155327" s="472"/>
      <c r="M155327" s="472"/>
    </row>
    <row r="155328" spans="12:13" x14ac:dyDescent="0.25">
      <c r="L155328" s="472"/>
      <c r="M155328" s="472"/>
    </row>
    <row r="155329" spans="12:13" x14ac:dyDescent="0.25">
      <c r="L155329" s="472"/>
      <c r="M155329" s="472"/>
    </row>
    <row r="155401" spans="12:13" x14ac:dyDescent="0.25">
      <c r="L155401" s="472"/>
      <c r="M155401" s="472"/>
    </row>
    <row r="155402" spans="12:13" x14ac:dyDescent="0.25">
      <c r="L155402" s="472"/>
      <c r="M155402" s="472"/>
    </row>
    <row r="155403" spans="12:13" x14ac:dyDescent="0.25">
      <c r="L155403" s="472"/>
      <c r="M155403" s="472"/>
    </row>
    <row r="155475" spans="12:13" x14ac:dyDescent="0.25">
      <c r="L155475" s="472"/>
      <c r="M155475" s="472"/>
    </row>
    <row r="155476" spans="12:13" x14ac:dyDescent="0.25">
      <c r="L155476" s="472"/>
      <c r="M155476" s="472"/>
    </row>
    <row r="155477" spans="12:13" x14ac:dyDescent="0.25">
      <c r="L155477" s="472"/>
      <c r="M155477" s="472"/>
    </row>
    <row r="155549" spans="12:13" x14ac:dyDescent="0.25">
      <c r="L155549" s="472"/>
      <c r="M155549" s="472"/>
    </row>
    <row r="155550" spans="12:13" x14ac:dyDescent="0.25">
      <c r="L155550" s="472"/>
      <c r="M155550" s="472"/>
    </row>
    <row r="155551" spans="12:13" x14ac:dyDescent="0.25">
      <c r="L155551" s="472"/>
      <c r="M155551" s="472"/>
    </row>
    <row r="155623" spans="12:13" x14ac:dyDescent="0.25">
      <c r="L155623" s="472"/>
      <c r="M155623" s="472"/>
    </row>
    <row r="155624" spans="12:13" x14ac:dyDescent="0.25">
      <c r="L155624" s="472"/>
      <c r="M155624" s="472"/>
    </row>
    <row r="155625" spans="12:13" x14ac:dyDescent="0.25">
      <c r="L155625" s="472"/>
      <c r="M155625" s="472"/>
    </row>
    <row r="155697" spans="12:13" x14ac:dyDescent="0.25">
      <c r="L155697" s="472"/>
      <c r="M155697" s="472"/>
    </row>
    <row r="155698" spans="12:13" x14ac:dyDescent="0.25">
      <c r="L155698" s="472"/>
      <c r="M155698" s="472"/>
    </row>
    <row r="155699" spans="12:13" x14ac:dyDescent="0.25">
      <c r="L155699" s="472"/>
      <c r="M155699" s="472"/>
    </row>
    <row r="155771" spans="12:13" x14ac:dyDescent="0.25">
      <c r="L155771" s="472"/>
      <c r="M155771" s="472"/>
    </row>
    <row r="155772" spans="12:13" x14ac:dyDescent="0.25">
      <c r="L155772" s="472"/>
      <c r="M155772" s="472"/>
    </row>
    <row r="155773" spans="12:13" x14ac:dyDescent="0.25">
      <c r="L155773" s="472"/>
      <c r="M155773" s="472"/>
    </row>
    <row r="155845" spans="12:13" x14ac:dyDescent="0.25">
      <c r="L155845" s="472"/>
      <c r="M155845" s="472"/>
    </row>
    <row r="155846" spans="12:13" x14ac:dyDescent="0.25">
      <c r="L155846" s="472"/>
      <c r="M155846" s="472"/>
    </row>
    <row r="155847" spans="12:13" x14ac:dyDescent="0.25">
      <c r="L155847" s="472"/>
      <c r="M155847" s="472"/>
    </row>
    <row r="155919" spans="12:13" x14ac:dyDescent="0.25">
      <c r="L155919" s="472"/>
      <c r="M155919" s="472"/>
    </row>
    <row r="155920" spans="12:13" x14ac:dyDescent="0.25">
      <c r="L155920" s="472"/>
      <c r="M155920" s="472"/>
    </row>
    <row r="155921" spans="12:13" x14ac:dyDescent="0.25">
      <c r="L155921" s="472"/>
      <c r="M155921" s="472"/>
    </row>
    <row r="155993" spans="12:13" x14ac:dyDescent="0.25">
      <c r="L155993" s="472"/>
      <c r="M155993" s="472"/>
    </row>
    <row r="155994" spans="12:13" x14ac:dyDescent="0.25">
      <c r="L155994" s="472"/>
      <c r="M155994" s="472"/>
    </row>
    <row r="155995" spans="12:13" x14ac:dyDescent="0.25">
      <c r="L155995" s="472"/>
      <c r="M155995" s="472"/>
    </row>
    <row r="156067" spans="12:13" x14ac:dyDescent="0.25">
      <c r="L156067" s="472"/>
      <c r="M156067" s="472"/>
    </row>
    <row r="156068" spans="12:13" x14ac:dyDescent="0.25">
      <c r="L156068" s="472"/>
      <c r="M156068" s="472"/>
    </row>
    <row r="156069" spans="12:13" x14ac:dyDescent="0.25">
      <c r="L156069" s="472"/>
      <c r="M156069" s="472"/>
    </row>
    <row r="156141" spans="12:13" x14ac:dyDescent="0.25">
      <c r="L156141" s="472"/>
      <c r="M156141" s="472"/>
    </row>
    <row r="156142" spans="12:13" x14ac:dyDescent="0.25">
      <c r="L156142" s="472"/>
      <c r="M156142" s="472"/>
    </row>
    <row r="156143" spans="12:13" x14ac:dyDescent="0.25">
      <c r="L156143" s="472"/>
      <c r="M156143" s="472"/>
    </row>
    <row r="156215" spans="12:13" x14ac:dyDescent="0.25">
      <c r="L156215" s="472"/>
      <c r="M156215" s="472"/>
    </row>
    <row r="156216" spans="12:13" x14ac:dyDescent="0.25">
      <c r="L156216" s="472"/>
      <c r="M156216" s="472"/>
    </row>
    <row r="156217" spans="12:13" x14ac:dyDescent="0.25">
      <c r="L156217" s="472"/>
      <c r="M156217" s="472"/>
    </row>
    <row r="156289" spans="12:13" x14ac:dyDescent="0.25">
      <c r="L156289" s="472"/>
      <c r="M156289" s="472"/>
    </row>
    <row r="156290" spans="12:13" x14ac:dyDescent="0.25">
      <c r="L156290" s="472"/>
      <c r="M156290" s="472"/>
    </row>
    <row r="156291" spans="12:13" x14ac:dyDescent="0.25">
      <c r="L156291" s="472"/>
      <c r="M156291" s="472"/>
    </row>
    <row r="156363" spans="12:13" x14ac:dyDescent="0.25">
      <c r="L156363" s="472"/>
      <c r="M156363" s="472"/>
    </row>
    <row r="156364" spans="12:13" x14ac:dyDescent="0.25">
      <c r="L156364" s="472"/>
      <c r="M156364" s="472"/>
    </row>
    <row r="156365" spans="12:13" x14ac:dyDescent="0.25">
      <c r="L156365" s="472"/>
      <c r="M156365" s="472"/>
    </row>
    <row r="156437" spans="12:13" x14ac:dyDescent="0.25">
      <c r="L156437" s="472"/>
      <c r="M156437" s="472"/>
    </row>
    <row r="156438" spans="12:13" x14ac:dyDescent="0.25">
      <c r="L156438" s="472"/>
      <c r="M156438" s="472"/>
    </row>
    <row r="156439" spans="12:13" x14ac:dyDescent="0.25">
      <c r="L156439" s="472"/>
      <c r="M156439" s="472"/>
    </row>
    <row r="156511" spans="12:13" x14ac:dyDescent="0.25">
      <c r="L156511" s="472"/>
      <c r="M156511" s="472"/>
    </row>
    <row r="156512" spans="12:13" x14ac:dyDescent="0.25">
      <c r="L156512" s="472"/>
      <c r="M156512" s="472"/>
    </row>
    <row r="156513" spans="12:13" x14ac:dyDescent="0.25">
      <c r="L156513" s="472"/>
      <c r="M156513" s="472"/>
    </row>
    <row r="156585" spans="12:13" x14ac:dyDescent="0.25">
      <c r="L156585" s="472"/>
      <c r="M156585" s="472"/>
    </row>
    <row r="156586" spans="12:13" x14ac:dyDescent="0.25">
      <c r="L156586" s="472"/>
      <c r="M156586" s="472"/>
    </row>
    <row r="156587" spans="12:13" x14ac:dyDescent="0.25">
      <c r="L156587" s="472"/>
      <c r="M156587" s="472"/>
    </row>
    <row r="156659" spans="12:13" x14ac:dyDescent="0.25">
      <c r="L156659" s="472"/>
      <c r="M156659" s="472"/>
    </row>
    <row r="156660" spans="12:13" x14ac:dyDescent="0.25">
      <c r="L156660" s="472"/>
      <c r="M156660" s="472"/>
    </row>
    <row r="156661" spans="12:13" x14ac:dyDescent="0.25">
      <c r="L156661" s="472"/>
      <c r="M156661" s="472"/>
    </row>
    <row r="156733" spans="12:13" x14ac:dyDescent="0.25">
      <c r="L156733" s="472"/>
      <c r="M156733" s="472"/>
    </row>
    <row r="156734" spans="12:13" x14ac:dyDescent="0.25">
      <c r="L156734" s="472"/>
      <c r="M156734" s="472"/>
    </row>
    <row r="156735" spans="12:13" x14ac:dyDescent="0.25">
      <c r="L156735" s="472"/>
      <c r="M156735" s="472"/>
    </row>
    <row r="156807" spans="12:13" x14ac:dyDescent="0.25">
      <c r="L156807" s="472"/>
      <c r="M156807" s="472"/>
    </row>
    <row r="156808" spans="12:13" x14ac:dyDescent="0.25">
      <c r="L156808" s="472"/>
      <c r="M156808" s="472"/>
    </row>
    <row r="156809" spans="12:13" x14ac:dyDescent="0.25">
      <c r="L156809" s="472"/>
      <c r="M156809" s="472"/>
    </row>
    <row r="156881" spans="12:13" x14ac:dyDescent="0.25">
      <c r="L156881" s="472"/>
      <c r="M156881" s="472"/>
    </row>
    <row r="156882" spans="12:13" x14ac:dyDescent="0.25">
      <c r="L156882" s="472"/>
      <c r="M156882" s="472"/>
    </row>
    <row r="156883" spans="12:13" x14ac:dyDescent="0.25">
      <c r="L156883" s="472"/>
      <c r="M156883" s="472"/>
    </row>
    <row r="156955" spans="12:13" x14ac:dyDescent="0.25">
      <c r="L156955" s="472"/>
      <c r="M156955" s="472"/>
    </row>
    <row r="156956" spans="12:13" x14ac:dyDescent="0.25">
      <c r="L156956" s="472"/>
      <c r="M156956" s="472"/>
    </row>
    <row r="156957" spans="12:13" x14ac:dyDescent="0.25">
      <c r="L156957" s="472"/>
      <c r="M156957" s="472"/>
    </row>
    <row r="157029" spans="12:13" x14ac:dyDescent="0.25">
      <c r="L157029" s="472"/>
      <c r="M157029" s="472"/>
    </row>
    <row r="157030" spans="12:13" x14ac:dyDescent="0.25">
      <c r="L157030" s="472"/>
      <c r="M157030" s="472"/>
    </row>
    <row r="157031" spans="12:13" x14ac:dyDescent="0.25">
      <c r="L157031" s="472"/>
      <c r="M157031" s="472"/>
    </row>
    <row r="157103" spans="12:13" x14ac:dyDescent="0.25">
      <c r="L157103" s="472"/>
      <c r="M157103" s="472"/>
    </row>
    <row r="157104" spans="12:13" x14ac:dyDescent="0.25">
      <c r="L157104" s="472"/>
      <c r="M157104" s="472"/>
    </row>
    <row r="157105" spans="12:13" x14ac:dyDescent="0.25">
      <c r="L157105" s="472"/>
      <c r="M157105" s="472"/>
    </row>
    <row r="157177" spans="12:13" x14ac:dyDescent="0.25">
      <c r="L157177" s="472"/>
      <c r="M157177" s="472"/>
    </row>
    <row r="157178" spans="12:13" x14ac:dyDescent="0.25">
      <c r="L157178" s="472"/>
      <c r="M157178" s="472"/>
    </row>
    <row r="157179" spans="12:13" x14ac:dyDescent="0.25">
      <c r="L157179" s="472"/>
      <c r="M157179" s="472"/>
    </row>
    <row r="157251" spans="12:13" x14ac:dyDescent="0.25">
      <c r="L157251" s="472"/>
      <c r="M157251" s="472"/>
    </row>
    <row r="157252" spans="12:13" x14ac:dyDescent="0.25">
      <c r="L157252" s="472"/>
      <c r="M157252" s="472"/>
    </row>
    <row r="157253" spans="12:13" x14ac:dyDescent="0.25">
      <c r="L157253" s="472"/>
      <c r="M157253" s="472"/>
    </row>
    <row r="157325" spans="12:13" x14ac:dyDescent="0.25">
      <c r="L157325" s="472"/>
      <c r="M157325" s="472"/>
    </row>
    <row r="157326" spans="12:13" x14ac:dyDescent="0.25">
      <c r="L157326" s="472"/>
      <c r="M157326" s="472"/>
    </row>
    <row r="157327" spans="12:13" x14ac:dyDescent="0.25">
      <c r="L157327" s="472"/>
      <c r="M157327" s="472"/>
    </row>
    <row r="157399" spans="12:13" x14ac:dyDescent="0.25">
      <c r="L157399" s="472"/>
      <c r="M157399" s="472"/>
    </row>
    <row r="157400" spans="12:13" x14ac:dyDescent="0.25">
      <c r="L157400" s="472"/>
      <c r="M157400" s="472"/>
    </row>
    <row r="157401" spans="12:13" x14ac:dyDescent="0.25">
      <c r="L157401" s="472"/>
      <c r="M157401" s="472"/>
    </row>
    <row r="157473" spans="12:13" x14ac:dyDescent="0.25">
      <c r="L157473" s="472"/>
      <c r="M157473" s="472"/>
    </row>
    <row r="157474" spans="12:13" x14ac:dyDescent="0.25">
      <c r="L157474" s="472"/>
      <c r="M157474" s="472"/>
    </row>
    <row r="157475" spans="12:13" x14ac:dyDescent="0.25">
      <c r="L157475" s="472"/>
      <c r="M157475" s="472"/>
    </row>
    <row r="157547" spans="12:13" x14ac:dyDescent="0.25">
      <c r="L157547" s="472"/>
      <c r="M157547" s="472"/>
    </row>
    <row r="157548" spans="12:13" x14ac:dyDescent="0.25">
      <c r="L157548" s="472"/>
      <c r="M157548" s="472"/>
    </row>
    <row r="157549" spans="12:13" x14ac:dyDescent="0.25">
      <c r="L157549" s="472"/>
      <c r="M157549" s="472"/>
    </row>
    <row r="157621" spans="12:13" x14ac:dyDescent="0.25">
      <c r="L157621" s="472"/>
      <c r="M157621" s="472"/>
    </row>
    <row r="157622" spans="12:13" x14ac:dyDescent="0.25">
      <c r="L157622" s="472"/>
      <c r="M157622" s="472"/>
    </row>
    <row r="157623" spans="12:13" x14ac:dyDescent="0.25">
      <c r="L157623" s="472"/>
      <c r="M157623" s="472"/>
    </row>
    <row r="157695" spans="12:13" x14ac:dyDescent="0.25">
      <c r="L157695" s="472"/>
      <c r="M157695" s="472"/>
    </row>
    <row r="157696" spans="12:13" x14ac:dyDescent="0.25">
      <c r="L157696" s="472"/>
      <c r="M157696" s="472"/>
    </row>
    <row r="157697" spans="12:13" x14ac:dyDescent="0.25">
      <c r="L157697" s="472"/>
      <c r="M157697" s="472"/>
    </row>
    <row r="157769" spans="12:13" x14ac:dyDescent="0.25">
      <c r="L157769" s="472"/>
      <c r="M157769" s="472"/>
    </row>
    <row r="157770" spans="12:13" x14ac:dyDescent="0.25">
      <c r="L157770" s="472"/>
      <c r="M157770" s="472"/>
    </row>
    <row r="157771" spans="12:13" x14ac:dyDescent="0.25">
      <c r="L157771" s="472"/>
      <c r="M157771" s="472"/>
    </row>
    <row r="157843" spans="12:13" x14ac:dyDescent="0.25">
      <c r="L157843" s="472"/>
      <c r="M157843" s="472"/>
    </row>
    <row r="157844" spans="12:13" x14ac:dyDescent="0.25">
      <c r="L157844" s="472"/>
      <c r="M157844" s="472"/>
    </row>
    <row r="157845" spans="12:13" x14ac:dyDescent="0.25">
      <c r="L157845" s="472"/>
      <c r="M157845" s="472"/>
    </row>
    <row r="157917" spans="12:13" x14ac:dyDescent="0.25">
      <c r="L157917" s="472"/>
      <c r="M157917" s="472"/>
    </row>
    <row r="157918" spans="12:13" x14ac:dyDescent="0.25">
      <c r="L157918" s="472"/>
      <c r="M157918" s="472"/>
    </row>
    <row r="157919" spans="12:13" x14ac:dyDescent="0.25">
      <c r="L157919" s="472"/>
      <c r="M157919" s="472"/>
    </row>
    <row r="157991" spans="12:13" x14ac:dyDescent="0.25">
      <c r="L157991" s="472"/>
      <c r="M157991" s="472"/>
    </row>
    <row r="157992" spans="12:13" x14ac:dyDescent="0.25">
      <c r="L157992" s="472"/>
      <c r="M157992" s="472"/>
    </row>
    <row r="157993" spans="12:13" x14ac:dyDescent="0.25">
      <c r="L157993" s="472"/>
      <c r="M157993" s="472"/>
    </row>
    <row r="158065" spans="12:13" x14ac:dyDescent="0.25">
      <c r="L158065" s="472"/>
      <c r="M158065" s="472"/>
    </row>
    <row r="158066" spans="12:13" x14ac:dyDescent="0.25">
      <c r="L158066" s="472"/>
      <c r="M158066" s="472"/>
    </row>
    <row r="158067" spans="12:13" x14ac:dyDescent="0.25">
      <c r="L158067" s="472"/>
      <c r="M158067" s="472"/>
    </row>
    <row r="158139" spans="12:13" x14ac:dyDescent="0.25">
      <c r="L158139" s="472"/>
      <c r="M158139" s="472"/>
    </row>
    <row r="158140" spans="12:13" x14ac:dyDescent="0.25">
      <c r="L158140" s="472"/>
      <c r="M158140" s="472"/>
    </row>
    <row r="158141" spans="12:13" x14ac:dyDescent="0.25">
      <c r="L158141" s="472"/>
      <c r="M158141" s="472"/>
    </row>
    <row r="158213" spans="12:13" x14ac:dyDescent="0.25">
      <c r="L158213" s="472"/>
      <c r="M158213" s="472"/>
    </row>
    <row r="158214" spans="12:13" x14ac:dyDescent="0.25">
      <c r="L158214" s="472"/>
      <c r="M158214" s="472"/>
    </row>
    <row r="158215" spans="12:13" x14ac:dyDescent="0.25">
      <c r="L158215" s="472"/>
      <c r="M158215" s="472"/>
    </row>
    <row r="158287" spans="12:13" x14ac:dyDescent="0.25">
      <c r="L158287" s="472"/>
      <c r="M158287" s="472"/>
    </row>
    <row r="158288" spans="12:13" x14ac:dyDescent="0.25">
      <c r="L158288" s="472"/>
      <c r="M158288" s="472"/>
    </row>
    <row r="158289" spans="12:13" x14ac:dyDescent="0.25">
      <c r="L158289" s="472"/>
      <c r="M158289" s="472"/>
    </row>
    <row r="158361" spans="12:13" x14ac:dyDescent="0.25">
      <c r="L158361" s="472"/>
      <c r="M158361" s="472"/>
    </row>
    <row r="158362" spans="12:13" x14ac:dyDescent="0.25">
      <c r="L158362" s="472"/>
      <c r="M158362" s="472"/>
    </row>
    <row r="158363" spans="12:13" x14ac:dyDescent="0.25">
      <c r="L158363" s="472"/>
      <c r="M158363" s="472"/>
    </row>
    <row r="158435" spans="12:13" x14ac:dyDescent="0.25">
      <c r="L158435" s="472"/>
      <c r="M158435" s="472"/>
    </row>
    <row r="158436" spans="12:13" x14ac:dyDescent="0.25">
      <c r="L158436" s="472"/>
      <c r="M158436" s="472"/>
    </row>
    <row r="158437" spans="12:13" x14ac:dyDescent="0.25">
      <c r="L158437" s="472"/>
      <c r="M158437" s="472"/>
    </row>
    <row r="158509" spans="12:13" x14ac:dyDescent="0.25">
      <c r="L158509" s="472"/>
      <c r="M158509" s="472"/>
    </row>
    <row r="158510" spans="12:13" x14ac:dyDescent="0.25">
      <c r="L158510" s="472"/>
      <c r="M158510" s="472"/>
    </row>
    <row r="158511" spans="12:13" x14ac:dyDescent="0.25">
      <c r="L158511" s="472"/>
      <c r="M158511" s="472"/>
    </row>
    <row r="158583" spans="12:13" x14ac:dyDescent="0.25">
      <c r="L158583" s="472"/>
      <c r="M158583" s="472"/>
    </row>
    <row r="158584" spans="12:13" x14ac:dyDescent="0.25">
      <c r="L158584" s="472"/>
      <c r="M158584" s="472"/>
    </row>
    <row r="158585" spans="12:13" x14ac:dyDescent="0.25">
      <c r="L158585" s="472"/>
      <c r="M158585" s="472"/>
    </row>
    <row r="158657" spans="12:13" x14ac:dyDescent="0.25">
      <c r="L158657" s="472"/>
      <c r="M158657" s="472"/>
    </row>
    <row r="158658" spans="12:13" x14ac:dyDescent="0.25">
      <c r="L158658" s="472"/>
      <c r="M158658" s="472"/>
    </row>
    <row r="158659" spans="12:13" x14ac:dyDescent="0.25">
      <c r="L158659" s="472"/>
      <c r="M158659" s="472"/>
    </row>
    <row r="158731" spans="12:13" x14ac:dyDescent="0.25">
      <c r="L158731" s="472"/>
      <c r="M158731" s="472"/>
    </row>
    <row r="158732" spans="12:13" x14ac:dyDescent="0.25">
      <c r="L158732" s="472"/>
      <c r="M158732" s="472"/>
    </row>
    <row r="158733" spans="12:13" x14ac:dyDescent="0.25">
      <c r="L158733" s="472"/>
      <c r="M158733" s="472"/>
    </row>
    <row r="158805" spans="12:13" x14ac:dyDescent="0.25">
      <c r="L158805" s="472"/>
      <c r="M158805" s="472"/>
    </row>
    <row r="158806" spans="12:13" x14ac:dyDescent="0.25">
      <c r="L158806" s="472"/>
      <c r="M158806" s="472"/>
    </row>
    <row r="158807" spans="12:13" x14ac:dyDescent="0.25">
      <c r="L158807" s="472"/>
      <c r="M158807" s="472"/>
    </row>
    <row r="158879" spans="12:13" x14ac:dyDescent="0.25">
      <c r="L158879" s="472"/>
      <c r="M158879" s="472"/>
    </row>
    <row r="158880" spans="12:13" x14ac:dyDescent="0.25">
      <c r="L158880" s="472"/>
      <c r="M158880" s="472"/>
    </row>
    <row r="158881" spans="12:13" x14ac:dyDescent="0.25">
      <c r="L158881" s="472"/>
      <c r="M158881" s="472"/>
    </row>
    <row r="158953" spans="12:13" x14ac:dyDescent="0.25">
      <c r="L158953" s="472"/>
      <c r="M158953" s="472"/>
    </row>
    <row r="158954" spans="12:13" x14ac:dyDescent="0.25">
      <c r="L158954" s="472"/>
      <c r="M158954" s="472"/>
    </row>
    <row r="158955" spans="12:13" x14ac:dyDescent="0.25">
      <c r="L158955" s="472"/>
      <c r="M158955" s="472"/>
    </row>
    <row r="159027" spans="12:13" x14ac:dyDescent="0.25">
      <c r="L159027" s="472"/>
      <c r="M159027" s="472"/>
    </row>
    <row r="159028" spans="12:13" x14ac:dyDescent="0.25">
      <c r="L159028" s="472"/>
      <c r="M159028" s="472"/>
    </row>
    <row r="159029" spans="12:13" x14ac:dyDescent="0.25">
      <c r="L159029" s="472"/>
      <c r="M159029" s="472"/>
    </row>
    <row r="159101" spans="12:13" x14ac:dyDescent="0.25">
      <c r="L159101" s="472"/>
      <c r="M159101" s="472"/>
    </row>
    <row r="159102" spans="12:13" x14ac:dyDescent="0.25">
      <c r="L159102" s="472"/>
      <c r="M159102" s="472"/>
    </row>
    <row r="159103" spans="12:13" x14ac:dyDescent="0.25">
      <c r="L159103" s="472"/>
      <c r="M159103" s="472"/>
    </row>
    <row r="159175" spans="12:13" x14ac:dyDescent="0.25">
      <c r="L159175" s="472"/>
      <c r="M159175" s="472"/>
    </row>
    <row r="159176" spans="12:13" x14ac:dyDescent="0.25">
      <c r="L159176" s="472"/>
      <c r="M159176" s="472"/>
    </row>
    <row r="159177" spans="12:13" x14ac:dyDescent="0.25">
      <c r="L159177" s="472"/>
      <c r="M159177" s="472"/>
    </row>
    <row r="159249" spans="12:13" x14ac:dyDescent="0.25">
      <c r="L159249" s="472"/>
      <c r="M159249" s="472"/>
    </row>
    <row r="159250" spans="12:13" x14ac:dyDescent="0.25">
      <c r="L159250" s="472"/>
      <c r="M159250" s="472"/>
    </row>
    <row r="159251" spans="12:13" x14ac:dyDescent="0.25">
      <c r="L159251" s="472"/>
      <c r="M159251" s="472"/>
    </row>
    <row r="159323" spans="12:13" x14ac:dyDescent="0.25">
      <c r="L159323" s="472"/>
      <c r="M159323" s="472"/>
    </row>
    <row r="159324" spans="12:13" x14ac:dyDescent="0.25">
      <c r="L159324" s="472"/>
      <c r="M159324" s="472"/>
    </row>
    <row r="159325" spans="12:13" x14ac:dyDescent="0.25">
      <c r="L159325" s="472"/>
      <c r="M159325" s="472"/>
    </row>
    <row r="159397" spans="12:13" x14ac:dyDescent="0.25">
      <c r="L159397" s="472"/>
      <c r="M159397" s="472"/>
    </row>
    <row r="159398" spans="12:13" x14ac:dyDescent="0.25">
      <c r="L159398" s="472"/>
      <c r="M159398" s="472"/>
    </row>
    <row r="159399" spans="12:13" x14ac:dyDescent="0.25">
      <c r="L159399" s="472"/>
      <c r="M159399" s="472"/>
    </row>
    <row r="159471" spans="12:13" x14ac:dyDescent="0.25">
      <c r="L159471" s="472"/>
      <c r="M159471" s="472"/>
    </row>
    <row r="159472" spans="12:13" x14ac:dyDescent="0.25">
      <c r="L159472" s="472"/>
      <c r="M159472" s="472"/>
    </row>
    <row r="159473" spans="12:13" x14ac:dyDescent="0.25">
      <c r="L159473" s="472"/>
      <c r="M159473" s="472"/>
    </row>
    <row r="159545" spans="12:13" x14ac:dyDescent="0.25">
      <c r="L159545" s="472"/>
      <c r="M159545" s="472"/>
    </row>
    <row r="159546" spans="12:13" x14ac:dyDescent="0.25">
      <c r="L159546" s="472"/>
      <c r="M159546" s="472"/>
    </row>
    <row r="159547" spans="12:13" x14ac:dyDescent="0.25">
      <c r="L159547" s="472"/>
      <c r="M159547" s="472"/>
    </row>
    <row r="159619" spans="12:13" x14ac:dyDescent="0.25">
      <c r="L159619" s="472"/>
      <c r="M159619" s="472"/>
    </row>
    <row r="159620" spans="12:13" x14ac:dyDescent="0.25">
      <c r="L159620" s="472"/>
      <c r="M159620" s="472"/>
    </row>
    <row r="159621" spans="12:13" x14ac:dyDescent="0.25">
      <c r="L159621" s="472"/>
      <c r="M159621" s="472"/>
    </row>
    <row r="159693" spans="12:13" x14ac:dyDescent="0.25">
      <c r="L159693" s="472"/>
      <c r="M159693" s="472"/>
    </row>
    <row r="159694" spans="12:13" x14ac:dyDescent="0.25">
      <c r="L159694" s="472"/>
      <c r="M159694" s="472"/>
    </row>
    <row r="159695" spans="12:13" x14ac:dyDescent="0.25">
      <c r="L159695" s="472"/>
      <c r="M159695" s="472"/>
    </row>
    <row r="159767" spans="12:13" x14ac:dyDescent="0.25">
      <c r="L159767" s="472"/>
      <c r="M159767" s="472"/>
    </row>
    <row r="159768" spans="12:13" x14ac:dyDescent="0.25">
      <c r="L159768" s="472"/>
      <c r="M159768" s="472"/>
    </row>
    <row r="159769" spans="12:13" x14ac:dyDescent="0.25">
      <c r="L159769" s="472"/>
      <c r="M159769" s="472"/>
    </row>
    <row r="159841" spans="12:13" x14ac:dyDescent="0.25">
      <c r="L159841" s="472"/>
      <c r="M159841" s="472"/>
    </row>
    <row r="159842" spans="12:13" x14ac:dyDescent="0.25">
      <c r="L159842" s="472"/>
      <c r="M159842" s="472"/>
    </row>
    <row r="159843" spans="12:13" x14ac:dyDescent="0.25">
      <c r="L159843" s="472"/>
      <c r="M159843" s="472"/>
    </row>
    <row r="159915" spans="12:13" x14ac:dyDescent="0.25">
      <c r="L159915" s="472"/>
      <c r="M159915" s="472"/>
    </row>
    <row r="159916" spans="12:13" x14ac:dyDescent="0.25">
      <c r="L159916" s="472"/>
      <c r="M159916" s="472"/>
    </row>
    <row r="159917" spans="12:13" x14ac:dyDescent="0.25">
      <c r="L159917" s="472"/>
      <c r="M159917" s="472"/>
    </row>
    <row r="159989" spans="12:13" x14ac:dyDescent="0.25">
      <c r="L159989" s="472"/>
      <c r="M159989" s="472"/>
    </row>
    <row r="159990" spans="12:13" x14ac:dyDescent="0.25">
      <c r="L159990" s="472"/>
      <c r="M159990" s="472"/>
    </row>
    <row r="159991" spans="12:13" x14ac:dyDescent="0.25">
      <c r="L159991" s="472"/>
      <c r="M159991" s="472"/>
    </row>
    <row r="160063" spans="12:13" x14ac:dyDescent="0.25">
      <c r="L160063" s="472"/>
      <c r="M160063" s="472"/>
    </row>
    <row r="160064" spans="12:13" x14ac:dyDescent="0.25">
      <c r="L160064" s="472"/>
      <c r="M160064" s="472"/>
    </row>
    <row r="160065" spans="12:13" x14ac:dyDescent="0.25">
      <c r="L160065" s="472"/>
      <c r="M160065" s="472"/>
    </row>
    <row r="160137" spans="12:13" x14ac:dyDescent="0.25">
      <c r="L160137" s="472"/>
      <c r="M160137" s="472"/>
    </row>
    <row r="160138" spans="12:13" x14ac:dyDescent="0.25">
      <c r="L160138" s="472"/>
      <c r="M160138" s="472"/>
    </row>
    <row r="160139" spans="12:13" x14ac:dyDescent="0.25">
      <c r="L160139" s="472"/>
      <c r="M160139" s="472"/>
    </row>
    <row r="160211" spans="12:13" x14ac:dyDescent="0.25">
      <c r="L160211" s="472"/>
      <c r="M160211" s="472"/>
    </row>
    <row r="160212" spans="12:13" x14ac:dyDescent="0.25">
      <c r="L160212" s="472"/>
      <c r="M160212" s="472"/>
    </row>
    <row r="160213" spans="12:13" x14ac:dyDescent="0.25">
      <c r="L160213" s="472"/>
      <c r="M160213" s="472"/>
    </row>
    <row r="160285" spans="12:13" x14ac:dyDescent="0.25">
      <c r="L160285" s="472"/>
      <c r="M160285" s="472"/>
    </row>
    <row r="160286" spans="12:13" x14ac:dyDescent="0.25">
      <c r="L160286" s="472"/>
      <c r="M160286" s="472"/>
    </row>
    <row r="160287" spans="12:13" x14ac:dyDescent="0.25">
      <c r="L160287" s="472"/>
      <c r="M160287" s="472"/>
    </row>
    <row r="160359" spans="12:13" x14ac:dyDescent="0.25">
      <c r="L160359" s="472"/>
      <c r="M160359" s="472"/>
    </row>
    <row r="160360" spans="12:13" x14ac:dyDescent="0.25">
      <c r="L160360" s="472"/>
      <c r="M160360" s="472"/>
    </row>
    <row r="160361" spans="12:13" x14ac:dyDescent="0.25">
      <c r="L160361" s="472"/>
      <c r="M160361" s="472"/>
    </row>
    <row r="160433" spans="12:13" x14ac:dyDescent="0.25">
      <c r="L160433" s="472"/>
      <c r="M160433" s="472"/>
    </row>
    <row r="160434" spans="12:13" x14ac:dyDescent="0.25">
      <c r="L160434" s="472"/>
      <c r="M160434" s="472"/>
    </row>
    <row r="160435" spans="12:13" x14ac:dyDescent="0.25">
      <c r="L160435" s="472"/>
      <c r="M160435" s="472"/>
    </row>
    <row r="160507" spans="12:13" x14ac:dyDescent="0.25">
      <c r="L160507" s="472"/>
      <c r="M160507" s="472"/>
    </row>
    <row r="160508" spans="12:13" x14ac:dyDescent="0.25">
      <c r="L160508" s="472"/>
      <c r="M160508" s="472"/>
    </row>
    <row r="160509" spans="12:13" x14ac:dyDescent="0.25">
      <c r="L160509" s="472"/>
      <c r="M160509" s="472"/>
    </row>
    <row r="160581" spans="12:13" x14ac:dyDescent="0.25">
      <c r="L160581" s="472"/>
      <c r="M160581" s="472"/>
    </row>
    <row r="160582" spans="12:13" x14ac:dyDescent="0.25">
      <c r="L160582" s="472"/>
      <c r="M160582" s="472"/>
    </row>
    <row r="160583" spans="12:13" x14ac:dyDescent="0.25">
      <c r="L160583" s="472"/>
      <c r="M160583" s="472"/>
    </row>
    <row r="160655" spans="12:13" x14ac:dyDescent="0.25">
      <c r="L160655" s="472"/>
      <c r="M160655" s="472"/>
    </row>
    <row r="160656" spans="12:13" x14ac:dyDescent="0.25">
      <c r="L160656" s="472"/>
      <c r="M160656" s="472"/>
    </row>
    <row r="160657" spans="12:13" x14ac:dyDescent="0.25">
      <c r="L160657" s="472"/>
      <c r="M160657" s="472"/>
    </row>
    <row r="160729" spans="12:13" x14ac:dyDescent="0.25">
      <c r="L160729" s="472"/>
      <c r="M160729" s="472"/>
    </row>
    <row r="160730" spans="12:13" x14ac:dyDescent="0.25">
      <c r="L160730" s="472"/>
      <c r="M160730" s="472"/>
    </row>
    <row r="160731" spans="12:13" x14ac:dyDescent="0.25">
      <c r="L160731" s="472"/>
      <c r="M160731" s="472"/>
    </row>
    <row r="160803" spans="12:13" x14ac:dyDescent="0.25">
      <c r="L160803" s="472"/>
      <c r="M160803" s="472"/>
    </row>
    <row r="160804" spans="12:13" x14ac:dyDescent="0.25">
      <c r="L160804" s="472"/>
      <c r="M160804" s="472"/>
    </row>
    <row r="160805" spans="12:13" x14ac:dyDescent="0.25">
      <c r="L160805" s="472"/>
      <c r="M160805" s="472"/>
    </row>
    <row r="160877" spans="12:13" x14ac:dyDescent="0.25">
      <c r="L160877" s="472"/>
      <c r="M160877" s="472"/>
    </row>
    <row r="160878" spans="12:13" x14ac:dyDescent="0.25">
      <c r="L160878" s="472"/>
      <c r="M160878" s="472"/>
    </row>
    <row r="160879" spans="12:13" x14ac:dyDescent="0.25">
      <c r="L160879" s="472"/>
      <c r="M160879" s="472"/>
    </row>
    <row r="160951" spans="12:13" x14ac:dyDescent="0.25">
      <c r="L160951" s="472"/>
      <c r="M160951" s="472"/>
    </row>
    <row r="160952" spans="12:13" x14ac:dyDescent="0.25">
      <c r="L160952" s="472"/>
      <c r="M160952" s="472"/>
    </row>
    <row r="160953" spans="12:13" x14ac:dyDescent="0.25">
      <c r="L160953" s="472"/>
      <c r="M160953" s="472"/>
    </row>
    <row r="161025" spans="12:13" x14ac:dyDescent="0.25">
      <c r="L161025" s="472"/>
      <c r="M161025" s="472"/>
    </row>
    <row r="161026" spans="12:13" x14ac:dyDescent="0.25">
      <c r="L161026" s="472"/>
      <c r="M161026" s="472"/>
    </row>
    <row r="161027" spans="12:13" x14ac:dyDescent="0.25">
      <c r="L161027" s="472"/>
      <c r="M161027" s="472"/>
    </row>
    <row r="161099" spans="12:13" x14ac:dyDescent="0.25">
      <c r="L161099" s="472"/>
      <c r="M161099" s="472"/>
    </row>
    <row r="161100" spans="12:13" x14ac:dyDescent="0.25">
      <c r="L161100" s="472"/>
      <c r="M161100" s="472"/>
    </row>
    <row r="161101" spans="12:13" x14ac:dyDescent="0.25">
      <c r="L161101" s="472"/>
      <c r="M161101" s="472"/>
    </row>
    <row r="161173" spans="12:13" x14ac:dyDescent="0.25">
      <c r="L161173" s="472"/>
      <c r="M161173" s="472"/>
    </row>
    <row r="161174" spans="12:13" x14ac:dyDescent="0.25">
      <c r="L161174" s="472"/>
      <c r="M161174" s="472"/>
    </row>
    <row r="161175" spans="12:13" x14ac:dyDescent="0.25">
      <c r="L161175" s="472"/>
      <c r="M161175" s="472"/>
    </row>
    <row r="161247" spans="12:13" x14ac:dyDescent="0.25">
      <c r="L161247" s="472"/>
      <c r="M161247" s="472"/>
    </row>
    <row r="161248" spans="12:13" x14ac:dyDescent="0.25">
      <c r="L161248" s="472"/>
      <c r="M161248" s="472"/>
    </row>
    <row r="161249" spans="12:13" x14ac:dyDescent="0.25">
      <c r="L161249" s="472"/>
      <c r="M161249" s="472"/>
    </row>
    <row r="161321" spans="12:13" x14ac:dyDescent="0.25">
      <c r="L161321" s="472"/>
      <c r="M161321" s="472"/>
    </row>
    <row r="161322" spans="12:13" x14ac:dyDescent="0.25">
      <c r="L161322" s="472"/>
      <c r="M161322" s="472"/>
    </row>
    <row r="161323" spans="12:13" x14ac:dyDescent="0.25">
      <c r="L161323" s="472"/>
      <c r="M161323" s="472"/>
    </row>
    <row r="161395" spans="12:13" x14ac:dyDescent="0.25">
      <c r="L161395" s="472"/>
      <c r="M161395" s="472"/>
    </row>
    <row r="161396" spans="12:13" x14ac:dyDescent="0.25">
      <c r="L161396" s="472"/>
      <c r="M161396" s="472"/>
    </row>
    <row r="161397" spans="12:13" x14ac:dyDescent="0.25">
      <c r="L161397" s="472"/>
      <c r="M161397" s="472"/>
    </row>
    <row r="161469" spans="12:13" x14ac:dyDescent="0.25">
      <c r="L161469" s="472"/>
      <c r="M161469" s="472"/>
    </row>
    <row r="161470" spans="12:13" x14ac:dyDescent="0.25">
      <c r="L161470" s="472"/>
      <c r="M161470" s="472"/>
    </row>
    <row r="161471" spans="12:13" x14ac:dyDescent="0.25">
      <c r="L161471" s="472"/>
      <c r="M161471" s="472"/>
    </row>
    <row r="161543" spans="12:13" x14ac:dyDescent="0.25">
      <c r="L161543" s="472"/>
      <c r="M161543" s="472"/>
    </row>
    <row r="161544" spans="12:13" x14ac:dyDescent="0.25">
      <c r="L161544" s="472"/>
      <c r="M161544" s="472"/>
    </row>
    <row r="161545" spans="12:13" x14ac:dyDescent="0.25">
      <c r="L161545" s="472"/>
      <c r="M161545" s="472"/>
    </row>
    <row r="161617" spans="12:13" x14ac:dyDescent="0.25">
      <c r="L161617" s="472"/>
      <c r="M161617" s="472"/>
    </row>
    <row r="161618" spans="12:13" x14ac:dyDescent="0.25">
      <c r="L161618" s="472"/>
      <c r="M161618" s="472"/>
    </row>
    <row r="161619" spans="12:13" x14ac:dyDescent="0.25">
      <c r="L161619" s="472"/>
      <c r="M161619" s="472"/>
    </row>
    <row r="161691" spans="12:13" x14ac:dyDescent="0.25">
      <c r="L161691" s="472"/>
      <c r="M161691" s="472"/>
    </row>
    <row r="161692" spans="12:13" x14ac:dyDescent="0.25">
      <c r="L161692" s="472"/>
      <c r="M161692" s="472"/>
    </row>
    <row r="161693" spans="12:13" x14ac:dyDescent="0.25">
      <c r="L161693" s="472"/>
      <c r="M161693" s="472"/>
    </row>
    <row r="161765" spans="12:13" x14ac:dyDescent="0.25">
      <c r="L161765" s="472"/>
      <c r="M161765" s="472"/>
    </row>
    <row r="161766" spans="12:13" x14ac:dyDescent="0.25">
      <c r="L161766" s="472"/>
      <c r="M161766" s="472"/>
    </row>
    <row r="161767" spans="12:13" x14ac:dyDescent="0.25">
      <c r="L161767" s="472"/>
      <c r="M161767" s="472"/>
    </row>
    <row r="161839" spans="12:13" x14ac:dyDescent="0.25">
      <c r="L161839" s="472"/>
      <c r="M161839" s="472"/>
    </row>
    <row r="161840" spans="12:13" x14ac:dyDescent="0.25">
      <c r="L161840" s="472"/>
      <c r="M161840" s="472"/>
    </row>
    <row r="161841" spans="12:13" x14ac:dyDescent="0.25">
      <c r="L161841" s="472"/>
      <c r="M161841" s="472"/>
    </row>
    <row r="161913" spans="12:13" x14ac:dyDescent="0.25">
      <c r="L161913" s="472"/>
      <c r="M161913" s="472"/>
    </row>
    <row r="161914" spans="12:13" x14ac:dyDescent="0.25">
      <c r="L161914" s="472"/>
      <c r="M161914" s="472"/>
    </row>
    <row r="161915" spans="12:13" x14ac:dyDescent="0.25">
      <c r="L161915" s="472"/>
      <c r="M161915" s="472"/>
    </row>
    <row r="161987" spans="12:13" x14ac:dyDescent="0.25">
      <c r="L161987" s="472"/>
      <c r="M161987" s="472"/>
    </row>
    <row r="161988" spans="12:13" x14ac:dyDescent="0.25">
      <c r="L161988" s="472"/>
      <c r="M161988" s="472"/>
    </row>
    <row r="161989" spans="12:13" x14ac:dyDescent="0.25">
      <c r="L161989" s="472"/>
      <c r="M161989" s="472"/>
    </row>
    <row r="162061" spans="12:13" x14ac:dyDescent="0.25">
      <c r="L162061" s="472"/>
      <c r="M162061" s="472"/>
    </row>
    <row r="162062" spans="12:13" x14ac:dyDescent="0.25">
      <c r="L162062" s="472"/>
      <c r="M162062" s="472"/>
    </row>
    <row r="162063" spans="12:13" x14ac:dyDescent="0.25">
      <c r="L162063" s="472"/>
      <c r="M162063" s="472"/>
    </row>
    <row r="162135" spans="12:13" x14ac:dyDescent="0.25">
      <c r="L162135" s="472"/>
      <c r="M162135" s="472"/>
    </row>
    <row r="162136" spans="12:13" x14ac:dyDescent="0.25">
      <c r="L162136" s="472"/>
      <c r="M162136" s="472"/>
    </row>
    <row r="162137" spans="12:13" x14ac:dyDescent="0.25">
      <c r="L162137" s="472"/>
      <c r="M162137" s="472"/>
    </row>
    <row r="162209" spans="12:13" x14ac:dyDescent="0.25">
      <c r="L162209" s="472"/>
      <c r="M162209" s="472"/>
    </row>
    <row r="162210" spans="12:13" x14ac:dyDescent="0.25">
      <c r="L162210" s="472"/>
      <c r="M162210" s="472"/>
    </row>
    <row r="162211" spans="12:13" x14ac:dyDescent="0.25">
      <c r="L162211" s="472"/>
      <c r="M162211" s="472"/>
    </row>
    <row r="162283" spans="12:13" x14ac:dyDescent="0.25">
      <c r="L162283" s="472"/>
      <c r="M162283" s="472"/>
    </row>
    <row r="162284" spans="12:13" x14ac:dyDescent="0.25">
      <c r="L162284" s="472"/>
      <c r="M162284" s="472"/>
    </row>
    <row r="162285" spans="12:13" x14ac:dyDescent="0.25">
      <c r="L162285" s="472"/>
      <c r="M162285" s="472"/>
    </row>
    <row r="162357" spans="12:13" x14ac:dyDescent="0.25">
      <c r="L162357" s="472"/>
      <c r="M162357" s="472"/>
    </row>
    <row r="162358" spans="12:13" x14ac:dyDescent="0.25">
      <c r="L162358" s="472"/>
      <c r="M162358" s="472"/>
    </row>
    <row r="162359" spans="12:13" x14ac:dyDescent="0.25">
      <c r="L162359" s="472"/>
      <c r="M162359" s="472"/>
    </row>
    <row r="162431" spans="12:13" x14ac:dyDescent="0.25">
      <c r="L162431" s="472"/>
      <c r="M162431" s="472"/>
    </row>
    <row r="162432" spans="12:13" x14ac:dyDescent="0.25">
      <c r="L162432" s="472"/>
      <c r="M162432" s="472"/>
    </row>
    <row r="162433" spans="12:13" x14ac:dyDescent="0.25">
      <c r="L162433" s="472"/>
      <c r="M162433" s="472"/>
    </row>
    <row r="162505" spans="12:13" x14ac:dyDescent="0.25">
      <c r="L162505" s="472"/>
      <c r="M162505" s="472"/>
    </row>
    <row r="162506" spans="12:13" x14ac:dyDescent="0.25">
      <c r="L162506" s="472"/>
      <c r="M162506" s="472"/>
    </row>
    <row r="162507" spans="12:13" x14ac:dyDescent="0.25">
      <c r="L162507" s="472"/>
      <c r="M162507" s="472"/>
    </row>
    <row r="162579" spans="12:13" x14ac:dyDescent="0.25">
      <c r="L162579" s="472"/>
      <c r="M162579" s="472"/>
    </row>
    <row r="162580" spans="12:13" x14ac:dyDescent="0.25">
      <c r="L162580" s="472"/>
      <c r="M162580" s="472"/>
    </row>
    <row r="162581" spans="12:13" x14ac:dyDescent="0.25">
      <c r="L162581" s="472"/>
      <c r="M162581" s="472"/>
    </row>
    <row r="162653" spans="12:13" x14ac:dyDescent="0.25">
      <c r="L162653" s="472"/>
      <c r="M162653" s="472"/>
    </row>
    <row r="162654" spans="12:13" x14ac:dyDescent="0.25">
      <c r="L162654" s="472"/>
      <c r="M162654" s="472"/>
    </row>
    <row r="162655" spans="12:13" x14ac:dyDescent="0.25">
      <c r="L162655" s="472"/>
      <c r="M162655" s="472"/>
    </row>
    <row r="162727" spans="12:13" x14ac:dyDescent="0.25">
      <c r="L162727" s="472"/>
      <c r="M162727" s="472"/>
    </row>
    <row r="162728" spans="12:13" x14ac:dyDescent="0.25">
      <c r="L162728" s="472"/>
      <c r="M162728" s="472"/>
    </row>
    <row r="162729" spans="12:13" x14ac:dyDescent="0.25">
      <c r="L162729" s="472"/>
      <c r="M162729" s="472"/>
    </row>
    <row r="162801" spans="12:13" x14ac:dyDescent="0.25">
      <c r="L162801" s="472"/>
      <c r="M162801" s="472"/>
    </row>
    <row r="162802" spans="12:13" x14ac:dyDescent="0.25">
      <c r="L162802" s="472"/>
      <c r="M162802" s="472"/>
    </row>
    <row r="162803" spans="12:13" x14ac:dyDescent="0.25">
      <c r="L162803" s="472"/>
      <c r="M162803" s="472"/>
    </row>
    <row r="162875" spans="12:13" x14ac:dyDescent="0.25">
      <c r="L162875" s="472"/>
      <c r="M162875" s="472"/>
    </row>
    <row r="162876" spans="12:13" x14ac:dyDescent="0.25">
      <c r="L162876" s="472"/>
      <c r="M162876" s="472"/>
    </row>
    <row r="162877" spans="12:13" x14ac:dyDescent="0.25">
      <c r="L162877" s="472"/>
      <c r="M162877" s="472"/>
    </row>
    <row r="162949" spans="12:13" x14ac:dyDescent="0.25">
      <c r="L162949" s="472"/>
      <c r="M162949" s="472"/>
    </row>
    <row r="162950" spans="12:13" x14ac:dyDescent="0.25">
      <c r="L162950" s="472"/>
      <c r="M162950" s="472"/>
    </row>
    <row r="162951" spans="12:13" x14ac:dyDescent="0.25">
      <c r="L162951" s="472"/>
      <c r="M162951" s="472"/>
    </row>
    <row r="163023" spans="12:13" x14ac:dyDescent="0.25">
      <c r="L163023" s="472"/>
      <c r="M163023" s="472"/>
    </row>
    <row r="163024" spans="12:13" x14ac:dyDescent="0.25">
      <c r="L163024" s="472"/>
      <c r="M163024" s="472"/>
    </row>
    <row r="163025" spans="12:13" x14ac:dyDescent="0.25">
      <c r="L163025" s="472"/>
      <c r="M163025" s="472"/>
    </row>
    <row r="163097" spans="12:13" x14ac:dyDescent="0.25">
      <c r="L163097" s="472"/>
      <c r="M163097" s="472"/>
    </row>
    <row r="163098" spans="12:13" x14ac:dyDescent="0.25">
      <c r="L163098" s="472"/>
      <c r="M163098" s="472"/>
    </row>
    <row r="163099" spans="12:13" x14ac:dyDescent="0.25">
      <c r="L163099" s="472"/>
      <c r="M163099" s="472"/>
    </row>
    <row r="163171" spans="12:13" x14ac:dyDescent="0.25">
      <c r="L163171" s="472"/>
      <c r="M163171" s="472"/>
    </row>
    <row r="163172" spans="12:13" x14ac:dyDescent="0.25">
      <c r="L163172" s="472"/>
      <c r="M163172" s="472"/>
    </row>
    <row r="163173" spans="12:13" x14ac:dyDescent="0.25">
      <c r="L163173" s="472"/>
      <c r="M163173" s="472"/>
    </row>
    <row r="163245" spans="12:13" x14ac:dyDescent="0.25">
      <c r="L163245" s="472"/>
      <c r="M163245" s="472"/>
    </row>
    <row r="163246" spans="12:13" x14ac:dyDescent="0.25">
      <c r="L163246" s="472"/>
      <c r="M163246" s="472"/>
    </row>
    <row r="163247" spans="12:13" x14ac:dyDescent="0.25">
      <c r="L163247" s="472"/>
      <c r="M163247" s="472"/>
    </row>
    <row r="163319" spans="12:13" x14ac:dyDescent="0.25">
      <c r="L163319" s="472"/>
      <c r="M163319" s="472"/>
    </row>
    <row r="163320" spans="12:13" x14ac:dyDescent="0.25">
      <c r="L163320" s="472"/>
      <c r="M163320" s="472"/>
    </row>
    <row r="163321" spans="12:13" x14ac:dyDescent="0.25">
      <c r="L163321" s="472"/>
      <c r="M163321" s="472"/>
    </row>
    <row r="163393" spans="12:13" x14ac:dyDescent="0.25">
      <c r="L163393" s="472"/>
      <c r="M163393" s="472"/>
    </row>
    <row r="163394" spans="12:13" x14ac:dyDescent="0.25">
      <c r="L163394" s="472"/>
      <c r="M163394" s="472"/>
    </row>
    <row r="163395" spans="12:13" x14ac:dyDescent="0.25">
      <c r="L163395" s="472"/>
      <c r="M163395" s="472"/>
    </row>
    <row r="163467" spans="12:13" x14ac:dyDescent="0.25">
      <c r="L163467" s="472"/>
      <c r="M163467" s="472"/>
    </row>
    <row r="163468" spans="12:13" x14ac:dyDescent="0.25">
      <c r="L163468" s="472"/>
      <c r="M163468" s="472"/>
    </row>
    <row r="163469" spans="12:13" x14ac:dyDescent="0.25">
      <c r="L163469" s="472"/>
      <c r="M163469" s="472"/>
    </row>
    <row r="163541" spans="12:13" x14ac:dyDescent="0.25">
      <c r="L163541" s="472"/>
      <c r="M163541" s="472"/>
    </row>
    <row r="163542" spans="12:13" x14ac:dyDescent="0.25">
      <c r="L163542" s="472"/>
      <c r="M163542" s="472"/>
    </row>
    <row r="163543" spans="12:13" x14ac:dyDescent="0.25">
      <c r="L163543" s="472"/>
      <c r="M163543" s="472"/>
    </row>
    <row r="163615" spans="12:13" x14ac:dyDescent="0.25">
      <c r="L163615" s="472"/>
      <c r="M163615" s="472"/>
    </row>
    <row r="163616" spans="12:13" x14ac:dyDescent="0.25">
      <c r="L163616" s="472"/>
      <c r="M163616" s="472"/>
    </row>
    <row r="163617" spans="12:13" x14ac:dyDescent="0.25">
      <c r="L163617" s="472"/>
      <c r="M163617" s="472"/>
    </row>
    <row r="163689" spans="12:13" x14ac:dyDescent="0.25">
      <c r="L163689" s="472"/>
      <c r="M163689" s="472"/>
    </row>
    <row r="163690" spans="12:13" x14ac:dyDescent="0.25">
      <c r="L163690" s="472"/>
      <c r="M163690" s="472"/>
    </row>
    <row r="163691" spans="12:13" x14ac:dyDescent="0.25">
      <c r="L163691" s="472"/>
      <c r="M163691" s="472"/>
    </row>
    <row r="163763" spans="12:13" x14ac:dyDescent="0.25">
      <c r="L163763" s="472"/>
      <c r="M163763" s="472"/>
    </row>
    <row r="163764" spans="12:13" x14ac:dyDescent="0.25">
      <c r="L163764" s="472"/>
      <c r="M163764" s="472"/>
    </row>
    <row r="163765" spans="12:13" x14ac:dyDescent="0.25">
      <c r="L163765" s="472"/>
      <c r="M163765" s="472"/>
    </row>
    <row r="163837" spans="12:13" x14ac:dyDescent="0.25">
      <c r="L163837" s="472"/>
      <c r="M163837" s="472"/>
    </row>
    <row r="163838" spans="12:13" x14ac:dyDescent="0.25">
      <c r="L163838" s="472"/>
      <c r="M163838" s="472"/>
    </row>
    <row r="163839" spans="12:13" x14ac:dyDescent="0.25">
      <c r="L163839" s="472"/>
      <c r="M163839" s="472"/>
    </row>
    <row r="163911" spans="12:13" x14ac:dyDescent="0.25">
      <c r="L163911" s="472"/>
      <c r="M163911" s="472"/>
    </row>
    <row r="163912" spans="12:13" x14ac:dyDescent="0.25">
      <c r="L163912" s="472"/>
      <c r="M163912" s="472"/>
    </row>
    <row r="163913" spans="12:13" x14ac:dyDescent="0.25">
      <c r="L163913" s="472"/>
      <c r="M163913" s="472"/>
    </row>
    <row r="163985" spans="12:13" x14ac:dyDescent="0.25">
      <c r="L163985" s="472"/>
      <c r="M163985" s="472"/>
    </row>
    <row r="163986" spans="12:13" x14ac:dyDescent="0.25">
      <c r="L163986" s="472"/>
      <c r="M163986" s="472"/>
    </row>
    <row r="163987" spans="12:13" x14ac:dyDescent="0.25">
      <c r="L163987" s="472"/>
      <c r="M163987" s="472"/>
    </row>
    <row r="164059" spans="12:13" x14ac:dyDescent="0.25">
      <c r="L164059" s="472"/>
      <c r="M164059" s="472"/>
    </row>
    <row r="164060" spans="12:13" x14ac:dyDescent="0.25">
      <c r="L164060" s="472"/>
      <c r="M164060" s="472"/>
    </row>
    <row r="164061" spans="12:13" x14ac:dyDescent="0.25">
      <c r="L164061" s="472"/>
      <c r="M164061" s="472"/>
    </row>
    <row r="164133" spans="12:13" x14ac:dyDescent="0.25">
      <c r="L164133" s="472"/>
      <c r="M164133" s="472"/>
    </row>
    <row r="164134" spans="12:13" x14ac:dyDescent="0.25">
      <c r="L164134" s="472"/>
      <c r="M164134" s="472"/>
    </row>
    <row r="164135" spans="12:13" x14ac:dyDescent="0.25">
      <c r="L164135" s="472"/>
      <c r="M164135" s="472"/>
    </row>
    <row r="164207" spans="12:13" x14ac:dyDescent="0.25">
      <c r="L164207" s="472"/>
      <c r="M164207" s="472"/>
    </row>
    <row r="164208" spans="12:13" x14ac:dyDescent="0.25">
      <c r="L164208" s="472"/>
      <c r="M164208" s="472"/>
    </row>
    <row r="164209" spans="12:13" x14ac:dyDescent="0.25">
      <c r="L164209" s="472"/>
      <c r="M164209" s="472"/>
    </row>
    <row r="164281" spans="12:13" x14ac:dyDescent="0.25">
      <c r="L164281" s="472"/>
      <c r="M164281" s="472"/>
    </row>
    <row r="164282" spans="12:13" x14ac:dyDescent="0.25">
      <c r="L164282" s="472"/>
      <c r="M164282" s="472"/>
    </row>
    <row r="164283" spans="12:13" x14ac:dyDescent="0.25">
      <c r="L164283" s="472"/>
      <c r="M164283" s="472"/>
    </row>
    <row r="164355" spans="12:13" x14ac:dyDescent="0.25">
      <c r="L164355" s="472"/>
      <c r="M164355" s="472"/>
    </row>
    <row r="164356" spans="12:13" x14ac:dyDescent="0.25">
      <c r="L164356" s="472"/>
      <c r="M164356" s="472"/>
    </row>
    <row r="164357" spans="12:13" x14ac:dyDescent="0.25">
      <c r="L164357" s="472"/>
      <c r="M164357" s="472"/>
    </row>
    <row r="164429" spans="12:13" x14ac:dyDescent="0.25">
      <c r="L164429" s="472"/>
      <c r="M164429" s="472"/>
    </row>
    <row r="164430" spans="12:13" x14ac:dyDescent="0.25">
      <c r="L164430" s="472"/>
      <c r="M164430" s="472"/>
    </row>
    <row r="164431" spans="12:13" x14ac:dyDescent="0.25">
      <c r="L164431" s="472"/>
      <c r="M164431" s="472"/>
    </row>
    <row r="164503" spans="12:13" x14ac:dyDescent="0.25">
      <c r="L164503" s="472"/>
      <c r="M164503" s="472"/>
    </row>
    <row r="164504" spans="12:13" x14ac:dyDescent="0.25">
      <c r="L164504" s="472"/>
      <c r="M164504" s="472"/>
    </row>
    <row r="164505" spans="12:13" x14ac:dyDescent="0.25">
      <c r="L164505" s="472"/>
      <c r="M164505" s="472"/>
    </row>
    <row r="164577" spans="12:13" x14ac:dyDescent="0.25">
      <c r="L164577" s="472"/>
      <c r="M164577" s="472"/>
    </row>
    <row r="164578" spans="12:13" x14ac:dyDescent="0.25">
      <c r="L164578" s="472"/>
      <c r="M164578" s="472"/>
    </row>
    <row r="164579" spans="12:13" x14ac:dyDescent="0.25">
      <c r="L164579" s="472"/>
      <c r="M164579" s="472"/>
    </row>
    <row r="164651" spans="12:13" x14ac:dyDescent="0.25">
      <c r="L164651" s="472"/>
      <c r="M164651" s="472"/>
    </row>
    <row r="164652" spans="12:13" x14ac:dyDescent="0.25">
      <c r="L164652" s="472"/>
      <c r="M164652" s="472"/>
    </row>
    <row r="164653" spans="12:13" x14ac:dyDescent="0.25">
      <c r="L164653" s="472"/>
      <c r="M164653" s="472"/>
    </row>
    <row r="164725" spans="12:13" x14ac:dyDescent="0.25">
      <c r="L164725" s="472"/>
      <c r="M164725" s="472"/>
    </row>
    <row r="164726" spans="12:13" x14ac:dyDescent="0.25">
      <c r="L164726" s="472"/>
      <c r="M164726" s="472"/>
    </row>
    <row r="164727" spans="12:13" x14ac:dyDescent="0.25">
      <c r="L164727" s="472"/>
      <c r="M164727" s="472"/>
    </row>
    <row r="164799" spans="12:13" x14ac:dyDescent="0.25">
      <c r="L164799" s="472"/>
      <c r="M164799" s="472"/>
    </row>
    <row r="164800" spans="12:13" x14ac:dyDescent="0.25">
      <c r="L164800" s="472"/>
      <c r="M164800" s="472"/>
    </row>
    <row r="164801" spans="12:13" x14ac:dyDescent="0.25">
      <c r="L164801" s="472"/>
      <c r="M164801" s="472"/>
    </row>
    <row r="164873" spans="12:13" x14ac:dyDescent="0.25">
      <c r="L164873" s="472"/>
      <c r="M164873" s="472"/>
    </row>
    <row r="164874" spans="12:13" x14ac:dyDescent="0.25">
      <c r="L164874" s="472"/>
      <c r="M164874" s="472"/>
    </row>
    <row r="164875" spans="12:13" x14ac:dyDescent="0.25">
      <c r="L164875" s="472"/>
      <c r="M164875" s="472"/>
    </row>
    <row r="164947" spans="12:13" x14ac:dyDescent="0.25">
      <c r="L164947" s="472"/>
      <c r="M164947" s="472"/>
    </row>
    <row r="164948" spans="12:13" x14ac:dyDescent="0.25">
      <c r="L164948" s="472"/>
      <c r="M164948" s="472"/>
    </row>
    <row r="164949" spans="12:13" x14ac:dyDescent="0.25">
      <c r="L164949" s="472"/>
      <c r="M164949" s="472"/>
    </row>
    <row r="165021" spans="12:13" x14ac:dyDescent="0.25">
      <c r="L165021" s="472"/>
      <c r="M165021" s="472"/>
    </row>
    <row r="165022" spans="12:13" x14ac:dyDescent="0.25">
      <c r="L165022" s="472"/>
      <c r="M165022" s="472"/>
    </row>
    <row r="165023" spans="12:13" x14ac:dyDescent="0.25">
      <c r="L165023" s="472"/>
      <c r="M165023" s="472"/>
    </row>
    <row r="165095" spans="12:13" x14ac:dyDescent="0.25">
      <c r="L165095" s="472"/>
      <c r="M165095" s="472"/>
    </row>
    <row r="165096" spans="12:13" x14ac:dyDescent="0.25">
      <c r="L165096" s="472"/>
      <c r="M165096" s="472"/>
    </row>
    <row r="165097" spans="12:13" x14ac:dyDescent="0.25">
      <c r="L165097" s="472"/>
      <c r="M165097" s="472"/>
    </row>
    <row r="165169" spans="12:13" x14ac:dyDescent="0.25">
      <c r="L165169" s="472"/>
      <c r="M165169" s="472"/>
    </row>
    <row r="165170" spans="12:13" x14ac:dyDescent="0.25">
      <c r="L165170" s="472"/>
      <c r="M165170" s="472"/>
    </row>
    <row r="165171" spans="12:13" x14ac:dyDescent="0.25">
      <c r="L165171" s="472"/>
      <c r="M165171" s="472"/>
    </row>
    <row r="165243" spans="12:13" x14ac:dyDescent="0.25">
      <c r="L165243" s="472"/>
      <c r="M165243" s="472"/>
    </row>
    <row r="165244" spans="12:13" x14ac:dyDescent="0.25">
      <c r="L165244" s="472"/>
      <c r="M165244" s="472"/>
    </row>
    <row r="165245" spans="12:13" x14ac:dyDescent="0.25">
      <c r="L165245" s="472"/>
      <c r="M165245" s="472"/>
    </row>
    <row r="165317" spans="12:13" x14ac:dyDescent="0.25">
      <c r="L165317" s="472"/>
      <c r="M165317" s="472"/>
    </row>
    <row r="165318" spans="12:13" x14ac:dyDescent="0.25">
      <c r="L165318" s="472"/>
      <c r="M165318" s="472"/>
    </row>
    <row r="165319" spans="12:13" x14ac:dyDescent="0.25">
      <c r="L165319" s="472"/>
      <c r="M165319" s="472"/>
    </row>
    <row r="165391" spans="12:13" x14ac:dyDescent="0.25">
      <c r="L165391" s="472"/>
      <c r="M165391" s="472"/>
    </row>
    <row r="165392" spans="12:13" x14ac:dyDescent="0.25">
      <c r="L165392" s="472"/>
      <c r="M165392" s="472"/>
    </row>
    <row r="165393" spans="12:13" x14ac:dyDescent="0.25">
      <c r="L165393" s="472"/>
      <c r="M165393" s="472"/>
    </row>
    <row r="165465" spans="12:13" x14ac:dyDescent="0.25">
      <c r="L165465" s="472"/>
      <c r="M165465" s="472"/>
    </row>
    <row r="165466" spans="12:13" x14ac:dyDescent="0.25">
      <c r="L165466" s="472"/>
      <c r="M165466" s="472"/>
    </row>
    <row r="165467" spans="12:13" x14ac:dyDescent="0.25">
      <c r="L165467" s="472"/>
      <c r="M165467" s="472"/>
    </row>
    <row r="165539" spans="12:13" x14ac:dyDescent="0.25">
      <c r="L165539" s="472"/>
      <c r="M165539" s="472"/>
    </row>
    <row r="165540" spans="12:13" x14ac:dyDescent="0.25">
      <c r="L165540" s="472"/>
      <c r="M165540" s="472"/>
    </row>
    <row r="165541" spans="12:13" x14ac:dyDescent="0.25">
      <c r="L165541" s="472"/>
      <c r="M165541" s="472"/>
    </row>
    <row r="165613" spans="12:13" x14ac:dyDescent="0.25">
      <c r="L165613" s="472"/>
      <c r="M165613" s="472"/>
    </row>
    <row r="165614" spans="12:13" x14ac:dyDescent="0.25">
      <c r="L165614" s="472"/>
      <c r="M165614" s="472"/>
    </row>
    <row r="165615" spans="12:13" x14ac:dyDescent="0.25">
      <c r="L165615" s="472"/>
      <c r="M165615" s="472"/>
    </row>
    <row r="165687" spans="12:13" x14ac:dyDescent="0.25">
      <c r="L165687" s="472"/>
      <c r="M165687" s="472"/>
    </row>
    <row r="165688" spans="12:13" x14ac:dyDescent="0.25">
      <c r="L165688" s="472"/>
      <c r="M165688" s="472"/>
    </row>
    <row r="165689" spans="12:13" x14ac:dyDescent="0.25">
      <c r="L165689" s="472"/>
      <c r="M165689" s="472"/>
    </row>
    <row r="165761" spans="12:13" x14ac:dyDescent="0.25">
      <c r="L165761" s="472"/>
      <c r="M165761" s="472"/>
    </row>
    <row r="165762" spans="12:13" x14ac:dyDescent="0.25">
      <c r="L165762" s="472"/>
      <c r="M165762" s="472"/>
    </row>
    <row r="165763" spans="12:13" x14ac:dyDescent="0.25">
      <c r="L165763" s="472"/>
      <c r="M165763" s="472"/>
    </row>
    <row r="165835" spans="12:13" x14ac:dyDescent="0.25">
      <c r="L165835" s="472"/>
      <c r="M165835" s="472"/>
    </row>
    <row r="165836" spans="12:13" x14ac:dyDescent="0.25">
      <c r="L165836" s="472"/>
      <c r="M165836" s="472"/>
    </row>
    <row r="165837" spans="12:13" x14ac:dyDescent="0.25">
      <c r="L165837" s="472"/>
      <c r="M165837" s="472"/>
    </row>
    <row r="165909" spans="12:13" x14ac:dyDescent="0.25">
      <c r="L165909" s="472"/>
      <c r="M165909" s="472"/>
    </row>
    <row r="165910" spans="12:13" x14ac:dyDescent="0.25">
      <c r="L165910" s="472"/>
      <c r="M165910" s="472"/>
    </row>
    <row r="165911" spans="12:13" x14ac:dyDescent="0.25">
      <c r="L165911" s="472"/>
      <c r="M165911" s="472"/>
    </row>
    <row r="165983" spans="12:13" x14ac:dyDescent="0.25">
      <c r="L165983" s="472"/>
      <c r="M165983" s="472"/>
    </row>
    <row r="165984" spans="12:13" x14ac:dyDescent="0.25">
      <c r="L165984" s="472"/>
      <c r="M165984" s="472"/>
    </row>
    <row r="165985" spans="12:13" x14ac:dyDescent="0.25">
      <c r="L165985" s="472"/>
      <c r="M165985" s="472"/>
    </row>
    <row r="166057" spans="12:13" x14ac:dyDescent="0.25">
      <c r="L166057" s="472"/>
      <c r="M166057" s="472"/>
    </row>
    <row r="166058" spans="12:13" x14ac:dyDescent="0.25">
      <c r="L166058" s="472"/>
      <c r="M166058" s="472"/>
    </row>
    <row r="166059" spans="12:13" x14ac:dyDescent="0.25">
      <c r="L166059" s="472"/>
      <c r="M166059" s="472"/>
    </row>
    <row r="166131" spans="12:13" x14ac:dyDescent="0.25">
      <c r="L166131" s="472"/>
      <c r="M166131" s="472"/>
    </row>
    <row r="166132" spans="12:13" x14ac:dyDescent="0.25">
      <c r="L166132" s="472"/>
      <c r="M166132" s="472"/>
    </row>
    <row r="166133" spans="12:13" x14ac:dyDescent="0.25">
      <c r="L166133" s="472"/>
      <c r="M166133" s="472"/>
    </row>
    <row r="166205" spans="12:13" x14ac:dyDescent="0.25">
      <c r="L166205" s="472"/>
      <c r="M166205" s="472"/>
    </row>
    <row r="166206" spans="12:13" x14ac:dyDescent="0.25">
      <c r="L166206" s="472"/>
      <c r="M166206" s="472"/>
    </row>
    <row r="166207" spans="12:13" x14ac:dyDescent="0.25">
      <c r="L166207" s="472"/>
      <c r="M166207" s="472"/>
    </row>
    <row r="166279" spans="12:13" x14ac:dyDescent="0.25">
      <c r="L166279" s="472"/>
      <c r="M166279" s="472"/>
    </row>
    <row r="166280" spans="12:13" x14ac:dyDescent="0.25">
      <c r="L166280" s="472"/>
      <c r="M166280" s="472"/>
    </row>
    <row r="166281" spans="12:13" x14ac:dyDescent="0.25">
      <c r="L166281" s="472"/>
      <c r="M166281" s="472"/>
    </row>
    <row r="166353" spans="12:13" x14ac:dyDescent="0.25">
      <c r="L166353" s="472"/>
      <c r="M166353" s="472"/>
    </row>
    <row r="166354" spans="12:13" x14ac:dyDescent="0.25">
      <c r="L166354" s="472"/>
      <c r="M166354" s="472"/>
    </row>
    <row r="166355" spans="12:13" x14ac:dyDescent="0.25">
      <c r="L166355" s="472"/>
      <c r="M166355" s="472"/>
    </row>
    <row r="166427" spans="12:13" x14ac:dyDescent="0.25">
      <c r="L166427" s="472"/>
      <c r="M166427" s="472"/>
    </row>
    <row r="166428" spans="12:13" x14ac:dyDescent="0.25">
      <c r="L166428" s="472"/>
      <c r="M166428" s="472"/>
    </row>
    <row r="166429" spans="12:13" x14ac:dyDescent="0.25">
      <c r="L166429" s="472"/>
      <c r="M166429" s="472"/>
    </row>
    <row r="166501" spans="12:13" x14ac:dyDescent="0.25">
      <c r="L166501" s="472"/>
      <c r="M166501" s="472"/>
    </row>
    <row r="166502" spans="12:13" x14ac:dyDescent="0.25">
      <c r="L166502" s="472"/>
      <c r="M166502" s="472"/>
    </row>
    <row r="166503" spans="12:13" x14ac:dyDescent="0.25">
      <c r="L166503" s="472"/>
      <c r="M166503" s="472"/>
    </row>
    <row r="166575" spans="12:13" x14ac:dyDescent="0.25">
      <c r="L166575" s="472"/>
      <c r="M166575" s="472"/>
    </row>
    <row r="166576" spans="12:13" x14ac:dyDescent="0.25">
      <c r="L166576" s="472"/>
      <c r="M166576" s="472"/>
    </row>
    <row r="166577" spans="12:13" x14ac:dyDescent="0.25">
      <c r="L166577" s="472"/>
      <c r="M166577" s="472"/>
    </row>
    <row r="166649" spans="12:13" x14ac:dyDescent="0.25">
      <c r="L166649" s="472"/>
      <c r="M166649" s="472"/>
    </row>
    <row r="166650" spans="12:13" x14ac:dyDescent="0.25">
      <c r="L166650" s="472"/>
      <c r="M166650" s="472"/>
    </row>
    <row r="166651" spans="12:13" x14ac:dyDescent="0.25">
      <c r="L166651" s="472"/>
      <c r="M166651" s="472"/>
    </row>
    <row r="166723" spans="12:13" x14ac:dyDescent="0.25">
      <c r="L166723" s="472"/>
      <c r="M166723" s="472"/>
    </row>
    <row r="166724" spans="12:13" x14ac:dyDescent="0.25">
      <c r="L166724" s="472"/>
      <c r="M166724" s="472"/>
    </row>
    <row r="166725" spans="12:13" x14ac:dyDescent="0.25">
      <c r="L166725" s="472"/>
      <c r="M166725" s="472"/>
    </row>
    <row r="166797" spans="12:13" x14ac:dyDescent="0.25">
      <c r="L166797" s="472"/>
      <c r="M166797" s="472"/>
    </row>
    <row r="166798" spans="12:13" x14ac:dyDescent="0.25">
      <c r="L166798" s="472"/>
      <c r="M166798" s="472"/>
    </row>
    <row r="166799" spans="12:13" x14ac:dyDescent="0.25">
      <c r="L166799" s="472"/>
      <c r="M166799" s="472"/>
    </row>
    <row r="166871" spans="12:13" x14ac:dyDescent="0.25">
      <c r="L166871" s="472"/>
      <c r="M166871" s="472"/>
    </row>
    <row r="166872" spans="12:13" x14ac:dyDescent="0.25">
      <c r="L166872" s="472"/>
      <c r="M166872" s="472"/>
    </row>
    <row r="166873" spans="12:13" x14ac:dyDescent="0.25">
      <c r="L166873" s="472"/>
      <c r="M166873" s="472"/>
    </row>
    <row r="166945" spans="12:13" x14ac:dyDescent="0.25">
      <c r="L166945" s="472"/>
      <c r="M166945" s="472"/>
    </row>
    <row r="166946" spans="12:13" x14ac:dyDescent="0.25">
      <c r="L166946" s="472"/>
      <c r="M166946" s="472"/>
    </row>
    <row r="166947" spans="12:13" x14ac:dyDescent="0.25">
      <c r="L166947" s="472"/>
      <c r="M166947" s="472"/>
    </row>
    <row r="167019" spans="12:13" x14ac:dyDescent="0.25">
      <c r="L167019" s="472"/>
      <c r="M167019" s="472"/>
    </row>
    <row r="167020" spans="12:13" x14ac:dyDescent="0.25">
      <c r="L167020" s="472"/>
      <c r="M167020" s="472"/>
    </row>
    <row r="167021" spans="12:13" x14ac:dyDescent="0.25">
      <c r="L167021" s="472"/>
      <c r="M167021" s="472"/>
    </row>
    <row r="167093" spans="12:13" x14ac:dyDescent="0.25">
      <c r="L167093" s="472"/>
      <c r="M167093" s="472"/>
    </row>
    <row r="167094" spans="12:13" x14ac:dyDescent="0.25">
      <c r="L167094" s="472"/>
      <c r="M167094" s="472"/>
    </row>
    <row r="167095" spans="12:13" x14ac:dyDescent="0.25">
      <c r="L167095" s="472"/>
      <c r="M167095" s="472"/>
    </row>
    <row r="167167" spans="12:13" x14ac:dyDescent="0.25">
      <c r="L167167" s="472"/>
      <c r="M167167" s="472"/>
    </row>
    <row r="167168" spans="12:13" x14ac:dyDescent="0.25">
      <c r="L167168" s="472"/>
      <c r="M167168" s="472"/>
    </row>
    <row r="167169" spans="12:13" x14ac:dyDescent="0.25">
      <c r="L167169" s="472"/>
      <c r="M167169" s="472"/>
    </row>
    <row r="167241" spans="12:13" x14ac:dyDescent="0.25">
      <c r="L167241" s="472"/>
      <c r="M167241" s="472"/>
    </row>
    <row r="167242" spans="12:13" x14ac:dyDescent="0.25">
      <c r="L167242" s="472"/>
      <c r="M167242" s="472"/>
    </row>
    <row r="167243" spans="12:13" x14ac:dyDescent="0.25">
      <c r="L167243" s="472"/>
      <c r="M167243" s="472"/>
    </row>
    <row r="167315" spans="12:13" x14ac:dyDescent="0.25">
      <c r="L167315" s="472"/>
      <c r="M167315" s="472"/>
    </row>
    <row r="167316" spans="12:13" x14ac:dyDescent="0.25">
      <c r="L167316" s="472"/>
      <c r="M167316" s="472"/>
    </row>
    <row r="167317" spans="12:13" x14ac:dyDescent="0.25">
      <c r="L167317" s="472"/>
      <c r="M167317" s="472"/>
    </row>
    <row r="167389" spans="12:13" x14ac:dyDescent="0.25">
      <c r="L167389" s="472"/>
      <c r="M167389" s="472"/>
    </row>
    <row r="167390" spans="12:13" x14ac:dyDescent="0.25">
      <c r="L167390" s="472"/>
      <c r="M167390" s="472"/>
    </row>
    <row r="167391" spans="12:13" x14ac:dyDescent="0.25">
      <c r="L167391" s="472"/>
      <c r="M167391" s="472"/>
    </row>
    <row r="167463" spans="12:13" x14ac:dyDescent="0.25">
      <c r="L167463" s="472"/>
      <c r="M167463" s="472"/>
    </row>
    <row r="167464" spans="12:13" x14ac:dyDescent="0.25">
      <c r="L167464" s="472"/>
      <c r="M167464" s="472"/>
    </row>
    <row r="167465" spans="12:13" x14ac:dyDescent="0.25">
      <c r="L167465" s="472"/>
      <c r="M167465" s="472"/>
    </row>
    <row r="167537" spans="12:13" x14ac:dyDescent="0.25">
      <c r="L167537" s="472"/>
      <c r="M167537" s="472"/>
    </row>
    <row r="167538" spans="12:13" x14ac:dyDescent="0.25">
      <c r="L167538" s="472"/>
      <c r="M167538" s="472"/>
    </row>
    <row r="167539" spans="12:13" x14ac:dyDescent="0.25">
      <c r="L167539" s="472"/>
      <c r="M167539" s="472"/>
    </row>
    <row r="167611" spans="12:13" x14ac:dyDescent="0.25">
      <c r="L167611" s="472"/>
      <c r="M167611" s="472"/>
    </row>
    <row r="167612" spans="12:13" x14ac:dyDescent="0.25">
      <c r="L167612" s="472"/>
      <c r="M167612" s="472"/>
    </row>
    <row r="167613" spans="12:13" x14ac:dyDescent="0.25">
      <c r="L167613" s="472"/>
      <c r="M167613" s="472"/>
    </row>
    <row r="167685" spans="12:13" x14ac:dyDescent="0.25">
      <c r="L167685" s="472"/>
      <c r="M167685" s="472"/>
    </row>
    <row r="167686" spans="12:13" x14ac:dyDescent="0.25">
      <c r="L167686" s="472"/>
      <c r="M167686" s="472"/>
    </row>
    <row r="167687" spans="12:13" x14ac:dyDescent="0.25">
      <c r="L167687" s="472"/>
      <c r="M167687" s="472"/>
    </row>
    <row r="167759" spans="12:13" x14ac:dyDescent="0.25">
      <c r="L167759" s="472"/>
      <c r="M167759" s="472"/>
    </row>
    <row r="167760" spans="12:13" x14ac:dyDescent="0.25">
      <c r="L167760" s="472"/>
      <c r="M167760" s="472"/>
    </row>
    <row r="167761" spans="12:13" x14ac:dyDescent="0.25">
      <c r="L167761" s="472"/>
      <c r="M167761" s="472"/>
    </row>
    <row r="167833" spans="12:13" x14ac:dyDescent="0.25">
      <c r="L167833" s="472"/>
      <c r="M167833" s="472"/>
    </row>
    <row r="167834" spans="12:13" x14ac:dyDescent="0.25">
      <c r="L167834" s="472"/>
      <c r="M167834" s="472"/>
    </row>
    <row r="167835" spans="12:13" x14ac:dyDescent="0.25">
      <c r="L167835" s="472"/>
      <c r="M167835" s="472"/>
    </row>
    <row r="167907" spans="12:13" x14ac:dyDescent="0.25">
      <c r="L167907" s="472"/>
      <c r="M167907" s="472"/>
    </row>
    <row r="167908" spans="12:13" x14ac:dyDescent="0.25">
      <c r="L167908" s="472"/>
      <c r="M167908" s="472"/>
    </row>
    <row r="167909" spans="12:13" x14ac:dyDescent="0.25">
      <c r="L167909" s="472"/>
      <c r="M167909" s="472"/>
    </row>
    <row r="167981" spans="12:13" x14ac:dyDescent="0.25">
      <c r="L167981" s="472"/>
      <c r="M167981" s="472"/>
    </row>
    <row r="167982" spans="12:13" x14ac:dyDescent="0.25">
      <c r="L167982" s="472"/>
      <c r="M167982" s="472"/>
    </row>
    <row r="167983" spans="12:13" x14ac:dyDescent="0.25">
      <c r="L167983" s="472"/>
      <c r="M167983" s="472"/>
    </row>
    <row r="168055" spans="12:13" x14ac:dyDescent="0.25">
      <c r="L168055" s="472"/>
      <c r="M168055" s="472"/>
    </row>
    <row r="168056" spans="12:13" x14ac:dyDescent="0.25">
      <c r="L168056" s="472"/>
      <c r="M168056" s="472"/>
    </row>
    <row r="168057" spans="12:13" x14ac:dyDescent="0.25">
      <c r="L168057" s="472"/>
      <c r="M168057" s="472"/>
    </row>
    <row r="168129" spans="12:13" x14ac:dyDescent="0.25">
      <c r="L168129" s="472"/>
      <c r="M168129" s="472"/>
    </row>
    <row r="168130" spans="12:13" x14ac:dyDescent="0.25">
      <c r="L168130" s="472"/>
      <c r="M168130" s="472"/>
    </row>
    <row r="168131" spans="12:13" x14ac:dyDescent="0.25">
      <c r="L168131" s="472"/>
      <c r="M168131" s="472"/>
    </row>
    <row r="168203" spans="12:13" x14ac:dyDescent="0.25">
      <c r="L168203" s="472"/>
      <c r="M168203" s="472"/>
    </row>
    <row r="168204" spans="12:13" x14ac:dyDescent="0.25">
      <c r="L168204" s="472"/>
      <c r="M168204" s="472"/>
    </row>
    <row r="168205" spans="12:13" x14ac:dyDescent="0.25">
      <c r="L168205" s="472"/>
      <c r="M168205" s="472"/>
    </row>
    <row r="168277" spans="12:13" x14ac:dyDescent="0.25">
      <c r="L168277" s="472"/>
      <c r="M168277" s="472"/>
    </row>
    <row r="168278" spans="12:13" x14ac:dyDescent="0.25">
      <c r="L168278" s="472"/>
      <c r="M168278" s="472"/>
    </row>
    <row r="168279" spans="12:13" x14ac:dyDescent="0.25">
      <c r="L168279" s="472"/>
      <c r="M168279" s="472"/>
    </row>
    <row r="168351" spans="12:13" x14ac:dyDescent="0.25">
      <c r="L168351" s="472"/>
      <c r="M168351" s="472"/>
    </row>
    <row r="168352" spans="12:13" x14ac:dyDescent="0.25">
      <c r="L168352" s="472"/>
      <c r="M168352" s="472"/>
    </row>
    <row r="168353" spans="12:13" x14ac:dyDescent="0.25">
      <c r="L168353" s="472"/>
      <c r="M168353" s="472"/>
    </row>
    <row r="168425" spans="12:13" x14ac:dyDescent="0.25">
      <c r="L168425" s="472"/>
      <c r="M168425" s="472"/>
    </row>
    <row r="168426" spans="12:13" x14ac:dyDescent="0.25">
      <c r="L168426" s="472"/>
      <c r="M168426" s="472"/>
    </row>
    <row r="168427" spans="12:13" x14ac:dyDescent="0.25">
      <c r="L168427" s="472"/>
      <c r="M168427" s="472"/>
    </row>
    <row r="168499" spans="12:13" x14ac:dyDescent="0.25">
      <c r="L168499" s="472"/>
      <c r="M168499" s="472"/>
    </row>
    <row r="168500" spans="12:13" x14ac:dyDescent="0.25">
      <c r="L168500" s="472"/>
      <c r="M168500" s="472"/>
    </row>
    <row r="168501" spans="12:13" x14ac:dyDescent="0.25">
      <c r="L168501" s="472"/>
      <c r="M168501" s="472"/>
    </row>
    <row r="168573" spans="12:13" x14ac:dyDescent="0.25">
      <c r="L168573" s="472"/>
      <c r="M168573" s="472"/>
    </row>
    <row r="168574" spans="12:13" x14ac:dyDescent="0.25">
      <c r="L168574" s="472"/>
      <c r="M168574" s="472"/>
    </row>
    <row r="168575" spans="12:13" x14ac:dyDescent="0.25">
      <c r="L168575" s="472"/>
      <c r="M168575" s="472"/>
    </row>
    <row r="168647" spans="12:13" x14ac:dyDescent="0.25">
      <c r="L168647" s="472"/>
      <c r="M168647" s="472"/>
    </row>
    <row r="168648" spans="12:13" x14ac:dyDescent="0.25">
      <c r="L168648" s="472"/>
      <c r="M168648" s="472"/>
    </row>
    <row r="168649" spans="12:13" x14ac:dyDescent="0.25">
      <c r="L168649" s="472"/>
      <c r="M168649" s="472"/>
    </row>
    <row r="168721" spans="12:13" x14ac:dyDescent="0.25">
      <c r="L168721" s="472"/>
      <c r="M168721" s="472"/>
    </row>
    <row r="168722" spans="12:13" x14ac:dyDescent="0.25">
      <c r="L168722" s="472"/>
      <c r="M168722" s="472"/>
    </row>
    <row r="168723" spans="12:13" x14ac:dyDescent="0.25">
      <c r="L168723" s="472"/>
      <c r="M168723" s="472"/>
    </row>
    <row r="168795" spans="12:13" x14ac:dyDescent="0.25">
      <c r="L168795" s="472"/>
      <c r="M168795" s="472"/>
    </row>
    <row r="168796" spans="12:13" x14ac:dyDescent="0.25">
      <c r="L168796" s="472"/>
      <c r="M168796" s="472"/>
    </row>
    <row r="168797" spans="12:13" x14ac:dyDescent="0.25">
      <c r="L168797" s="472"/>
      <c r="M168797" s="472"/>
    </row>
    <row r="168869" spans="12:13" x14ac:dyDescent="0.25">
      <c r="L168869" s="472"/>
      <c r="M168869" s="472"/>
    </row>
    <row r="168870" spans="12:13" x14ac:dyDescent="0.25">
      <c r="L168870" s="472"/>
      <c r="M168870" s="472"/>
    </row>
    <row r="168871" spans="12:13" x14ac:dyDescent="0.25">
      <c r="L168871" s="472"/>
      <c r="M168871" s="472"/>
    </row>
    <row r="168943" spans="12:13" x14ac:dyDescent="0.25">
      <c r="L168943" s="472"/>
      <c r="M168943" s="472"/>
    </row>
    <row r="168944" spans="12:13" x14ac:dyDescent="0.25">
      <c r="L168944" s="472"/>
      <c r="M168944" s="472"/>
    </row>
    <row r="168945" spans="12:13" x14ac:dyDescent="0.25">
      <c r="L168945" s="472"/>
      <c r="M168945" s="472"/>
    </row>
    <row r="169017" spans="12:13" x14ac:dyDescent="0.25">
      <c r="L169017" s="472"/>
      <c r="M169017" s="472"/>
    </row>
    <row r="169018" spans="12:13" x14ac:dyDescent="0.25">
      <c r="L169018" s="472"/>
      <c r="M169018" s="472"/>
    </row>
    <row r="169019" spans="12:13" x14ac:dyDescent="0.25">
      <c r="L169019" s="472"/>
      <c r="M169019" s="472"/>
    </row>
    <row r="169091" spans="12:13" x14ac:dyDescent="0.25">
      <c r="L169091" s="472"/>
      <c r="M169091" s="472"/>
    </row>
    <row r="169092" spans="12:13" x14ac:dyDescent="0.25">
      <c r="L169092" s="472"/>
      <c r="M169092" s="472"/>
    </row>
    <row r="169093" spans="12:13" x14ac:dyDescent="0.25">
      <c r="L169093" s="472"/>
      <c r="M169093" s="472"/>
    </row>
    <row r="169165" spans="12:13" x14ac:dyDescent="0.25">
      <c r="L169165" s="472"/>
      <c r="M169165" s="472"/>
    </row>
    <row r="169166" spans="12:13" x14ac:dyDescent="0.25">
      <c r="L169166" s="472"/>
      <c r="M169166" s="472"/>
    </row>
    <row r="169167" spans="12:13" x14ac:dyDescent="0.25">
      <c r="L169167" s="472"/>
      <c r="M169167" s="472"/>
    </row>
    <row r="169239" spans="12:13" x14ac:dyDescent="0.25">
      <c r="L169239" s="472"/>
      <c r="M169239" s="472"/>
    </row>
    <row r="169240" spans="12:13" x14ac:dyDescent="0.25">
      <c r="L169240" s="472"/>
      <c r="M169240" s="472"/>
    </row>
    <row r="169241" spans="12:13" x14ac:dyDescent="0.25">
      <c r="L169241" s="472"/>
      <c r="M169241" s="472"/>
    </row>
    <row r="169313" spans="12:13" x14ac:dyDescent="0.25">
      <c r="L169313" s="472"/>
      <c r="M169313" s="472"/>
    </row>
    <row r="169314" spans="12:13" x14ac:dyDescent="0.25">
      <c r="L169314" s="472"/>
      <c r="M169314" s="472"/>
    </row>
    <row r="169315" spans="12:13" x14ac:dyDescent="0.25">
      <c r="L169315" s="472"/>
      <c r="M169315" s="472"/>
    </row>
    <row r="169387" spans="12:13" x14ac:dyDescent="0.25">
      <c r="L169387" s="472"/>
      <c r="M169387" s="472"/>
    </row>
    <row r="169388" spans="12:13" x14ac:dyDescent="0.25">
      <c r="L169388" s="472"/>
      <c r="M169388" s="472"/>
    </row>
    <row r="169389" spans="12:13" x14ac:dyDescent="0.25">
      <c r="L169389" s="472"/>
      <c r="M169389" s="472"/>
    </row>
    <row r="169461" spans="12:13" x14ac:dyDescent="0.25">
      <c r="L169461" s="472"/>
      <c r="M169461" s="472"/>
    </row>
    <row r="169462" spans="12:13" x14ac:dyDescent="0.25">
      <c r="L169462" s="472"/>
      <c r="M169462" s="472"/>
    </row>
    <row r="169463" spans="12:13" x14ac:dyDescent="0.25">
      <c r="L169463" s="472"/>
      <c r="M169463" s="472"/>
    </row>
    <row r="169535" spans="12:13" x14ac:dyDescent="0.25">
      <c r="L169535" s="472"/>
      <c r="M169535" s="472"/>
    </row>
    <row r="169536" spans="12:13" x14ac:dyDescent="0.25">
      <c r="L169536" s="472"/>
      <c r="M169536" s="472"/>
    </row>
    <row r="169537" spans="12:13" x14ac:dyDescent="0.25">
      <c r="L169537" s="472"/>
      <c r="M169537" s="472"/>
    </row>
    <row r="169609" spans="12:13" x14ac:dyDescent="0.25">
      <c r="L169609" s="472"/>
      <c r="M169609" s="472"/>
    </row>
    <row r="169610" spans="12:13" x14ac:dyDescent="0.25">
      <c r="L169610" s="472"/>
      <c r="M169610" s="472"/>
    </row>
    <row r="169611" spans="12:13" x14ac:dyDescent="0.25">
      <c r="L169611" s="472"/>
      <c r="M169611" s="472"/>
    </row>
    <row r="169683" spans="12:13" x14ac:dyDescent="0.25">
      <c r="L169683" s="472"/>
      <c r="M169683" s="472"/>
    </row>
    <row r="169684" spans="12:13" x14ac:dyDescent="0.25">
      <c r="L169684" s="472"/>
      <c r="M169684" s="472"/>
    </row>
    <row r="169685" spans="12:13" x14ac:dyDescent="0.25">
      <c r="L169685" s="472"/>
      <c r="M169685" s="472"/>
    </row>
    <row r="169757" spans="12:13" x14ac:dyDescent="0.25">
      <c r="L169757" s="472"/>
      <c r="M169757" s="472"/>
    </row>
    <row r="169758" spans="12:13" x14ac:dyDescent="0.25">
      <c r="L169758" s="472"/>
      <c r="M169758" s="472"/>
    </row>
    <row r="169759" spans="12:13" x14ac:dyDescent="0.25">
      <c r="L169759" s="472"/>
      <c r="M169759" s="472"/>
    </row>
    <row r="169831" spans="12:13" x14ac:dyDescent="0.25">
      <c r="L169831" s="472"/>
      <c r="M169831" s="472"/>
    </row>
    <row r="169832" spans="12:13" x14ac:dyDescent="0.25">
      <c r="L169832" s="472"/>
      <c r="M169832" s="472"/>
    </row>
    <row r="169833" spans="12:13" x14ac:dyDescent="0.25">
      <c r="L169833" s="472"/>
      <c r="M169833" s="472"/>
    </row>
    <row r="169905" spans="12:13" x14ac:dyDescent="0.25">
      <c r="L169905" s="472"/>
      <c r="M169905" s="472"/>
    </row>
    <row r="169906" spans="12:13" x14ac:dyDescent="0.25">
      <c r="L169906" s="472"/>
      <c r="M169906" s="472"/>
    </row>
    <row r="169907" spans="12:13" x14ac:dyDescent="0.25">
      <c r="L169907" s="472"/>
      <c r="M169907" s="472"/>
    </row>
    <row r="169979" spans="12:13" x14ac:dyDescent="0.25">
      <c r="L169979" s="472"/>
      <c r="M169979" s="472"/>
    </row>
    <row r="169980" spans="12:13" x14ac:dyDescent="0.25">
      <c r="L169980" s="472"/>
      <c r="M169980" s="472"/>
    </row>
    <row r="169981" spans="12:13" x14ac:dyDescent="0.25">
      <c r="L169981" s="472"/>
      <c r="M169981" s="472"/>
    </row>
    <row r="170053" spans="12:13" x14ac:dyDescent="0.25">
      <c r="L170053" s="472"/>
      <c r="M170053" s="472"/>
    </row>
    <row r="170054" spans="12:13" x14ac:dyDescent="0.25">
      <c r="L170054" s="472"/>
      <c r="M170054" s="472"/>
    </row>
    <row r="170055" spans="12:13" x14ac:dyDescent="0.25">
      <c r="L170055" s="472"/>
      <c r="M170055" s="472"/>
    </row>
    <row r="170127" spans="12:13" x14ac:dyDescent="0.25">
      <c r="L170127" s="472"/>
      <c r="M170127" s="472"/>
    </row>
    <row r="170128" spans="12:13" x14ac:dyDescent="0.25">
      <c r="L170128" s="472"/>
      <c r="M170128" s="472"/>
    </row>
    <row r="170129" spans="12:13" x14ac:dyDescent="0.25">
      <c r="L170129" s="472"/>
      <c r="M170129" s="472"/>
    </row>
    <row r="170201" spans="12:13" x14ac:dyDescent="0.25">
      <c r="L170201" s="472"/>
      <c r="M170201" s="472"/>
    </row>
    <row r="170202" spans="12:13" x14ac:dyDescent="0.25">
      <c r="L170202" s="472"/>
      <c r="M170202" s="472"/>
    </row>
    <row r="170203" spans="12:13" x14ac:dyDescent="0.25">
      <c r="L170203" s="472"/>
      <c r="M170203" s="472"/>
    </row>
    <row r="170275" spans="12:13" x14ac:dyDescent="0.25">
      <c r="L170275" s="472"/>
      <c r="M170275" s="472"/>
    </row>
    <row r="170276" spans="12:13" x14ac:dyDescent="0.25">
      <c r="L170276" s="472"/>
      <c r="M170276" s="472"/>
    </row>
    <row r="170277" spans="12:13" x14ac:dyDescent="0.25">
      <c r="L170277" s="472"/>
      <c r="M170277" s="472"/>
    </row>
    <row r="170349" spans="12:13" x14ac:dyDescent="0.25">
      <c r="L170349" s="472"/>
      <c r="M170349" s="472"/>
    </row>
    <row r="170350" spans="12:13" x14ac:dyDescent="0.25">
      <c r="L170350" s="472"/>
      <c r="M170350" s="472"/>
    </row>
    <row r="170351" spans="12:13" x14ac:dyDescent="0.25">
      <c r="L170351" s="472"/>
      <c r="M170351" s="472"/>
    </row>
    <row r="170423" spans="12:13" x14ac:dyDescent="0.25">
      <c r="L170423" s="472"/>
      <c r="M170423" s="472"/>
    </row>
    <row r="170424" spans="12:13" x14ac:dyDescent="0.25">
      <c r="L170424" s="472"/>
      <c r="M170424" s="472"/>
    </row>
    <row r="170425" spans="12:13" x14ac:dyDescent="0.25">
      <c r="L170425" s="472"/>
      <c r="M170425" s="472"/>
    </row>
    <row r="170497" spans="12:13" x14ac:dyDescent="0.25">
      <c r="L170497" s="472"/>
      <c r="M170497" s="472"/>
    </row>
    <row r="170498" spans="12:13" x14ac:dyDescent="0.25">
      <c r="L170498" s="472"/>
      <c r="M170498" s="472"/>
    </row>
    <row r="170499" spans="12:13" x14ac:dyDescent="0.25">
      <c r="L170499" s="472"/>
      <c r="M170499" s="472"/>
    </row>
    <row r="170571" spans="12:13" x14ac:dyDescent="0.25">
      <c r="L170571" s="472"/>
      <c r="M170571" s="472"/>
    </row>
    <row r="170572" spans="12:13" x14ac:dyDescent="0.25">
      <c r="L170572" s="472"/>
      <c r="M170572" s="472"/>
    </row>
    <row r="170573" spans="12:13" x14ac:dyDescent="0.25">
      <c r="L170573" s="472"/>
      <c r="M170573" s="472"/>
    </row>
    <row r="170645" spans="12:13" x14ac:dyDescent="0.25">
      <c r="L170645" s="472"/>
      <c r="M170645" s="472"/>
    </row>
    <row r="170646" spans="12:13" x14ac:dyDescent="0.25">
      <c r="L170646" s="472"/>
      <c r="M170646" s="472"/>
    </row>
    <row r="170647" spans="12:13" x14ac:dyDescent="0.25">
      <c r="L170647" s="472"/>
      <c r="M170647" s="472"/>
    </row>
    <row r="170719" spans="12:13" x14ac:dyDescent="0.25">
      <c r="L170719" s="472"/>
      <c r="M170719" s="472"/>
    </row>
    <row r="170720" spans="12:13" x14ac:dyDescent="0.25">
      <c r="L170720" s="472"/>
      <c r="M170720" s="472"/>
    </row>
    <row r="170721" spans="12:13" x14ac:dyDescent="0.25">
      <c r="L170721" s="472"/>
      <c r="M170721" s="472"/>
    </row>
    <row r="170793" spans="12:13" x14ac:dyDescent="0.25">
      <c r="L170793" s="472"/>
      <c r="M170793" s="472"/>
    </row>
    <row r="170794" spans="12:13" x14ac:dyDescent="0.25">
      <c r="L170794" s="472"/>
      <c r="M170794" s="472"/>
    </row>
    <row r="170795" spans="12:13" x14ac:dyDescent="0.25">
      <c r="L170795" s="472"/>
      <c r="M170795" s="472"/>
    </row>
    <row r="170867" spans="12:13" x14ac:dyDescent="0.25">
      <c r="L170867" s="472"/>
      <c r="M170867" s="472"/>
    </row>
    <row r="170868" spans="12:13" x14ac:dyDescent="0.25">
      <c r="L170868" s="472"/>
      <c r="M170868" s="472"/>
    </row>
    <row r="170869" spans="12:13" x14ac:dyDescent="0.25">
      <c r="L170869" s="472"/>
      <c r="M170869" s="472"/>
    </row>
    <row r="170941" spans="12:13" x14ac:dyDescent="0.25">
      <c r="L170941" s="472"/>
      <c r="M170941" s="472"/>
    </row>
    <row r="170942" spans="12:13" x14ac:dyDescent="0.25">
      <c r="L170942" s="472"/>
      <c r="M170942" s="472"/>
    </row>
    <row r="170943" spans="12:13" x14ac:dyDescent="0.25">
      <c r="L170943" s="472"/>
      <c r="M170943" s="472"/>
    </row>
    <row r="171015" spans="12:13" x14ac:dyDescent="0.25">
      <c r="L171015" s="472"/>
      <c r="M171015" s="472"/>
    </row>
    <row r="171016" spans="12:13" x14ac:dyDescent="0.25">
      <c r="L171016" s="472"/>
      <c r="M171016" s="472"/>
    </row>
    <row r="171017" spans="12:13" x14ac:dyDescent="0.25">
      <c r="L171017" s="472"/>
      <c r="M171017" s="472"/>
    </row>
    <row r="171089" spans="12:13" x14ac:dyDescent="0.25">
      <c r="L171089" s="472"/>
      <c r="M171089" s="472"/>
    </row>
    <row r="171090" spans="12:13" x14ac:dyDescent="0.25">
      <c r="L171090" s="472"/>
      <c r="M171090" s="472"/>
    </row>
    <row r="171091" spans="12:13" x14ac:dyDescent="0.25">
      <c r="L171091" s="472"/>
      <c r="M171091" s="472"/>
    </row>
    <row r="171163" spans="12:13" x14ac:dyDescent="0.25">
      <c r="L171163" s="472"/>
      <c r="M171163" s="472"/>
    </row>
    <row r="171164" spans="12:13" x14ac:dyDescent="0.25">
      <c r="L171164" s="472"/>
      <c r="M171164" s="472"/>
    </row>
    <row r="171165" spans="12:13" x14ac:dyDescent="0.25">
      <c r="L171165" s="472"/>
      <c r="M171165" s="472"/>
    </row>
    <row r="171237" spans="12:13" x14ac:dyDescent="0.25">
      <c r="L171237" s="472"/>
      <c r="M171237" s="472"/>
    </row>
    <row r="171238" spans="12:13" x14ac:dyDescent="0.25">
      <c r="L171238" s="472"/>
      <c r="M171238" s="472"/>
    </row>
    <row r="171239" spans="12:13" x14ac:dyDescent="0.25">
      <c r="L171239" s="472"/>
      <c r="M171239" s="472"/>
    </row>
    <row r="171311" spans="12:13" x14ac:dyDescent="0.25">
      <c r="L171311" s="472"/>
      <c r="M171311" s="472"/>
    </row>
    <row r="171312" spans="12:13" x14ac:dyDescent="0.25">
      <c r="L171312" s="472"/>
      <c r="M171312" s="472"/>
    </row>
    <row r="171313" spans="12:13" x14ac:dyDescent="0.25">
      <c r="L171313" s="472"/>
      <c r="M171313" s="472"/>
    </row>
    <row r="171385" spans="12:13" x14ac:dyDescent="0.25">
      <c r="L171385" s="472"/>
      <c r="M171385" s="472"/>
    </row>
    <row r="171386" spans="12:13" x14ac:dyDescent="0.25">
      <c r="L171386" s="472"/>
      <c r="M171386" s="472"/>
    </row>
    <row r="171387" spans="12:13" x14ac:dyDescent="0.25">
      <c r="L171387" s="472"/>
      <c r="M171387" s="472"/>
    </row>
    <row r="171459" spans="12:13" x14ac:dyDescent="0.25">
      <c r="L171459" s="472"/>
      <c r="M171459" s="472"/>
    </row>
    <row r="171460" spans="12:13" x14ac:dyDescent="0.25">
      <c r="L171460" s="472"/>
      <c r="M171460" s="472"/>
    </row>
    <row r="171461" spans="12:13" x14ac:dyDescent="0.25">
      <c r="L171461" s="472"/>
      <c r="M171461" s="472"/>
    </row>
    <row r="171533" spans="12:13" x14ac:dyDescent="0.25">
      <c r="L171533" s="472"/>
      <c r="M171533" s="472"/>
    </row>
    <row r="171534" spans="12:13" x14ac:dyDescent="0.25">
      <c r="L171534" s="472"/>
      <c r="M171534" s="472"/>
    </row>
    <row r="171535" spans="12:13" x14ac:dyDescent="0.25">
      <c r="L171535" s="472"/>
      <c r="M171535" s="472"/>
    </row>
    <row r="171607" spans="12:13" x14ac:dyDescent="0.25">
      <c r="L171607" s="472"/>
      <c r="M171607" s="472"/>
    </row>
    <row r="171608" spans="12:13" x14ac:dyDescent="0.25">
      <c r="L171608" s="472"/>
      <c r="M171608" s="472"/>
    </row>
    <row r="171609" spans="12:13" x14ac:dyDescent="0.25">
      <c r="L171609" s="472"/>
      <c r="M171609" s="472"/>
    </row>
    <row r="171681" spans="12:13" x14ac:dyDescent="0.25">
      <c r="L171681" s="472"/>
      <c r="M171681" s="472"/>
    </row>
    <row r="171682" spans="12:13" x14ac:dyDescent="0.25">
      <c r="L171682" s="472"/>
      <c r="M171682" s="472"/>
    </row>
    <row r="171683" spans="12:13" x14ac:dyDescent="0.25">
      <c r="L171683" s="472"/>
      <c r="M171683" s="472"/>
    </row>
    <row r="171755" spans="12:13" x14ac:dyDescent="0.25">
      <c r="L171755" s="472"/>
      <c r="M171755" s="472"/>
    </row>
    <row r="171756" spans="12:13" x14ac:dyDescent="0.25">
      <c r="L171756" s="472"/>
      <c r="M171756" s="472"/>
    </row>
    <row r="171757" spans="12:13" x14ac:dyDescent="0.25">
      <c r="L171757" s="472"/>
      <c r="M171757" s="472"/>
    </row>
    <row r="171829" spans="12:13" x14ac:dyDescent="0.25">
      <c r="L171829" s="472"/>
      <c r="M171829" s="472"/>
    </row>
    <row r="171830" spans="12:13" x14ac:dyDescent="0.25">
      <c r="L171830" s="472"/>
      <c r="M171830" s="472"/>
    </row>
    <row r="171831" spans="12:13" x14ac:dyDescent="0.25">
      <c r="L171831" s="472"/>
      <c r="M171831" s="472"/>
    </row>
    <row r="171903" spans="12:13" x14ac:dyDescent="0.25">
      <c r="L171903" s="472"/>
      <c r="M171903" s="472"/>
    </row>
    <row r="171904" spans="12:13" x14ac:dyDescent="0.25">
      <c r="L171904" s="472"/>
      <c r="M171904" s="472"/>
    </row>
    <row r="171905" spans="12:13" x14ac:dyDescent="0.25">
      <c r="L171905" s="472"/>
      <c r="M171905" s="472"/>
    </row>
    <row r="171977" spans="12:13" x14ac:dyDescent="0.25">
      <c r="L171977" s="472"/>
      <c r="M171977" s="472"/>
    </row>
    <row r="171978" spans="12:13" x14ac:dyDescent="0.25">
      <c r="L171978" s="472"/>
      <c r="M171978" s="472"/>
    </row>
    <row r="171979" spans="12:13" x14ac:dyDescent="0.25">
      <c r="L171979" s="472"/>
      <c r="M171979" s="472"/>
    </row>
    <row r="172051" spans="12:13" x14ac:dyDescent="0.25">
      <c r="L172051" s="472"/>
      <c r="M172051" s="472"/>
    </row>
    <row r="172052" spans="12:13" x14ac:dyDescent="0.25">
      <c r="L172052" s="472"/>
      <c r="M172052" s="472"/>
    </row>
    <row r="172053" spans="12:13" x14ac:dyDescent="0.25">
      <c r="L172053" s="472"/>
      <c r="M172053" s="472"/>
    </row>
    <row r="172125" spans="12:13" x14ac:dyDescent="0.25">
      <c r="L172125" s="472"/>
      <c r="M172125" s="472"/>
    </row>
    <row r="172126" spans="12:13" x14ac:dyDescent="0.25">
      <c r="L172126" s="472"/>
      <c r="M172126" s="472"/>
    </row>
    <row r="172127" spans="12:13" x14ac:dyDescent="0.25">
      <c r="L172127" s="472"/>
      <c r="M172127" s="472"/>
    </row>
    <row r="172199" spans="12:13" x14ac:dyDescent="0.25">
      <c r="L172199" s="472"/>
      <c r="M172199" s="472"/>
    </row>
    <row r="172200" spans="12:13" x14ac:dyDescent="0.25">
      <c r="L172200" s="472"/>
      <c r="M172200" s="472"/>
    </row>
    <row r="172201" spans="12:13" x14ac:dyDescent="0.25">
      <c r="L172201" s="472"/>
      <c r="M172201" s="472"/>
    </row>
    <row r="172273" spans="12:13" x14ac:dyDescent="0.25">
      <c r="L172273" s="472"/>
      <c r="M172273" s="472"/>
    </row>
    <row r="172274" spans="12:13" x14ac:dyDescent="0.25">
      <c r="L172274" s="472"/>
      <c r="M172274" s="472"/>
    </row>
    <row r="172275" spans="12:13" x14ac:dyDescent="0.25">
      <c r="L172275" s="472"/>
      <c r="M172275" s="472"/>
    </row>
    <row r="172347" spans="12:13" x14ac:dyDescent="0.25">
      <c r="L172347" s="472"/>
      <c r="M172347" s="472"/>
    </row>
    <row r="172348" spans="12:13" x14ac:dyDescent="0.25">
      <c r="L172348" s="472"/>
      <c r="M172348" s="472"/>
    </row>
    <row r="172349" spans="12:13" x14ac:dyDescent="0.25">
      <c r="L172349" s="472"/>
      <c r="M172349" s="472"/>
    </row>
    <row r="172421" spans="12:13" x14ac:dyDescent="0.25">
      <c r="L172421" s="472"/>
      <c r="M172421" s="472"/>
    </row>
    <row r="172422" spans="12:13" x14ac:dyDescent="0.25">
      <c r="L172422" s="472"/>
      <c r="M172422" s="472"/>
    </row>
    <row r="172423" spans="12:13" x14ac:dyDescent="0.25">
      <c r="L172423" s="472"/>
      <c r="M172423" s="472"/>
    </row>
    <row r="172495" spans="12:13" x14ac:dyDescent="0.25">
      <c r="L172495" s="472"/>
      <c r="M172495" s="472"/>
    </row>
    <row r="172496" spans="12:13" x14ac:dyDescent="0.25">
      <c r="L172496" s="472"/>
      <c r="M172496" s="472"/>
    </row>
    <row r="172497" spans="12:13" x14ac:dyDescent="0.25">
      <c r="L172497" s="472"/>
      <c r="M172497" s="472"/>
    </row>
    <row r="172569" spans="12:13" x14ac:dyDescent="0.25">
      <c r="L172569" s="472"/>
      <c r="M172569" s="472"/>
    </row>
    <row r="172570" spans="12:13" x14ac:dyDescent="0.25">
      <c r="L172570" s="472"/>
      <c r="M172570" s="472"/>
    </row>
    <row r="172571" spans="12:13" x14ac:dyDescent="0.25">
      <c r="L172571" s="472"/>
      <c r="M172571" s="472"/>
    </row>
    <row r="172643" spans="12:13" x14ac:dyDescent="0.25">
      <c r="L172643" s="472"/>
      <c r="M172643" s="472"/>
    </row>
    <row r="172644" spans="12:13" x14ac:dyDescent="0.25">
      <c r="L172644" s="472"/>
      <c r="M172644" s="472"/>
    </row>
    <row r="172645" spans="12:13" x14ac:dyDescent="0.25">
      <c r="L172645" s="472"/>
      <c r="M172645" s="472"/>
    </row>
    <row r="172717" spans="12:13" x14ac:dyDescent="0.25">
      <c r="L172717" s="472"/>
      <c r="M172717" s="472"/>
    </row>
    <row r="172718" spans="12:13" x14ac:dyDescent="0.25">
      <c r="L172718" s="472"/>
      <c r="M172718" s="472"/>
    </row>
    <row r="172719" spans="12:13" x14ac:dyDescent="0.25">
      <c r="L172719" s="472"/>
      <c r="M172719" s="472"/>
    </row>
    <row r="172791" spans="12:13" x14ac:dyDescent="0.25">
      <c r="L172791" s="472"/>
      <c r="M172791" s="472"/>
    </row>
    <row r="172792" spans="12:13" x14ac:dyDescent="0.25">
      <c r="L172792" s="472"/>
      <c r="M172792" s="472"/>
    </row>
    <row r="172793" spans="12:13" x14ac:dyDescent="0.25">
      <c r="L172793" s="472"/>
      <c r="M172793" s="472"/>
    </row>
    <row r="172865" spans="12:13" x14ac:dyDescent="0.25">
      <c r="L172865" s="472"/>
      <c r="M172865" s="472"/>
    </row>
    <row r="172866" spans="12:13" x14ac:dyDescent="0.25">
      <c r="L172866" s="472"/>
      <c r="M172866" s="472"/>
    </row>
    <row r="172867" spans="12:13" x14ac:dyDescent="0.25">
      <c r="L172867" s="472"/>
      <c r="M172867" s="472"/>
    </row>
    <row r="172939" spans="12:13" x14ac:dyDescent="0.25">
      <c r="L172939" s="472"/>
      <c r="M172939" s="472"/>
    </row>
    <row r="172940" spans="12:13" x14ac:dyDescent="0.25">
      <c r="L172940" s="472"/>
      <c r="M172940" s="472"/>
    </row>
    <row r="172941" spans="12:13" x14ac:dyDescent="0.25">
      <c r="L172941" s="472"/>
      <c r="M172941" s="472"/>
    </row>
    <row r="173013" spans="12:13" x14ac:dyDescent="0.25">
      <c r="L173013" s="472"/>
      <c r="M173013" s="472"/>
    </row>
    <row r="173014" spans="12:13" x14ac:dyDescent="0.25">
      <c r="L173014" s="472"/>
      <c r="M173014" s="472"/>
    </row>
    <row r="173015" spans="12:13" x14ac:dyDescent="0.25">
      <c r="L173015" s="472"/>
      <c r="M173015" s="472"/>
    </row>
    <row r="173087" spans="12:13" x14ac:dyDescent="0.25">
      <c r="L173087" s="472"/>
      <c r="M173087" s="472"/>
    </row>
    <row r="173088" spans="12:13" x14ac:dyDescent="0.25">
      <c r="L173088" s="472"/>
      <c r="M173088" s="472"/>
    </row>
    <row r="173089" spans="12:13" x14ac:dyDescent="0.25">
      <c r="L173089" s="472"/>
      <c r="M173089" s="472"/>
    </row>
    <row r="173161" spans="12:13" x14ac:dyDescent="0.25">
      <c r="L173161" s="472"/>
      <c r="M173161" s="472"/>
    </row>
    <row r="173162" spans="12:13" x14ac:dyDescent="0.25">
      <c r="L173162" s="472"/>
      <c r="M173162" s="472"/>
    </row>
    <row r="173163" spans="12:13" x14ac:dyDescent="0.25">
      <c r="L173163" s="472"/>
      <c r="M173163" s="472"/>
    </row>
    <row r="173235" spans="12:13" x14ac:dyDescent="0.25">
      <c r="L173235" s="472"/>
      <c r="M173235" s="472"/>
    </row>
    <row r="173236" spans="12:13" x14ac:dyDescent="0.25">
      <c r="L173236" s="472"/>
      <c r="M173236" s="472"/>
    </row>
    <row r="173237" spans="12:13" x14ac:dyDescent="0.25">
      <c r="L173237" s="472"/>
      <c r="M173237" s="472"/>
    </row>
    <row r="173309" spans="12:13" x14ac:dyDescent="0.25">
      <c r="L173309" s="472"/>
      <c r="M173309" s="472"/>
    </row>
    <row r="173310" spans="12:13" x14ac:dyDescent="0.25">
      <c r="L173310" s="472"/>
      <c r="M173310" s="472"/>
    </row>
    <row r="173311" spans="12:13" x14ac:dyDescent="0.25">
      <c r="L173311" s="472"/>
      <c r="M173311" s="472"/>
    </row>
    <row r="173383" spans="12:13" x14ac:dyDescent="0.25">
      <c r="L173383" s="472"/>
      <c r="M173383" s="472"/>
    </row>
    <row r="173384" spans="12:13" x14ac:dyDescent="0.25">
      <c r="L173384" s="472"/>
      <c r="M173384" s="472"/>
    </row>
    <row r="173385" spans="12:13" x14ac:dyDescent="0.25">
      <c r="L173385" s="472"/>
      <c r="M173385" s="472"/>
    </row>
    <row r="173457" spans="12:13" x14ac:dyDescent="0.25">
      <c r="L173457" s="472"/>
      <c r="M173457" s="472"/>
    </row>
    <row r="173458" spans="12:13" x14ac:dyDescent="0.25">
      <c r="L173458" s="472"/>
      <c r="M173458" s="472"/>
    </row>
    <row r="173459" spans="12:13" x14ac:dyDescent="0.25">
      <c r="L173459" s="472"/>
      <c r="M173459" s="472"/>
    </row>
    <row r="173531" spans="12:13" x14ac:dyDescent="0.25">
      <c r="L173531" s="472"/>
      <c r="M173531" s="472"/>
    </row>
    <row r="173532" spans="12:13" x14ac:dyDescent="0.25">
      <c r="L173532" s="472"/>
      <c r="M173532" s="472"/>
    </row>
    <row r="173533" spans="12:13" x14ac:dyDescent="0.25">
      <c r="L173533" s="472"/>
      <c r="M173533" s="472"/>
    </row>
    <row r="173605" spans="12:13" x14ac:dyDescent="0.25">
      <c r="L173605" s="472"/>
      <c r="M173605" s="472"/>
    </row>
    <row r="173606" spans="12:13" x14ac:dyDescent="0.25">
      <c r="L173606" s="472"/>
      <c r="M173606" s="472"/>
    </row>
    <row r="173607" spans="12:13" x14ac:dyDescent="0.25">
      <c r="L173607" s="472"/>
      <c r="M173607" s="472"/>
    </row>
    <row r="173679" spans="12:13" x14ac:dyDescent="0.25">
      <c r="L173679" s="472"/>
      <c r="M173679" s="472"/>
    </row>
    <row r="173680" spans="12:13" x14ac:dyDescent="0.25">
      <c r="L173680" s="472"/>
      <c r="M173680" s="472"/>
    </row>
    <row r="173681" spans="12:13" x14ac:dyDescent="0.25">
      <c r="L173681" s="472"/>
      <c r="M173681" s="472"/>
    </row>
    <row r="173753" spans="12:13" x14ac:dyDescent="0.25">
      <c r="L173753" s="472"/>
      <c r="M173753" s="472"/>
    </row>
    <row r="173754" spans="12:13" x14ac:dyDescent="0.25">
      <c r="L173754" s="472"/>
      <c r="M173754" s="472"/>
    </row>
    <row r="173755" spans="12:13" x14ac:dyDescent="0.25">
      <c r="L173755" s="472"/>
      <c r="M173755" s="472"/>
    </row>
    <row r="173827" spans="12:13" x14ac:dyDescent="0.25">
      <c r="L173827" s="472"/>
      <c r="M173827" s="472"/>
    </row>
    <row r="173828" spans="12:13" x14ac:dyDescent="0.25">
      <c r="L173828" s="472"/>
      <c r="M173828" s="472"/>
    </row>
    <row r="173829" spans="12:13" x14ac:dyDescent="0.25">
      <c r="L173829" s="472"/>
      <c r="M173829" s="472"/>
    </row>
    <row r="173901" spans="12:13" x14ac:dyDescent="0.25">
      <c r="L173901" s="472"/>
      <c r="M173901" s="472"/>
    </row>
    <row r="173902" spans="12:13" x14ac:dyDescent="0.25">
      <c r="L173902" s="472"/>
      <c r="M173902" s="472"/>
    </row>
    <row r="173903" spans="12:13" x14ac:dyDescent="0.25">
      <c r="L173903" s="472"/>
      <c r="M173903" s="472"/>
    </row>
    <row r="173975" spans="12:13" x14ac:dyDescent="0.25">
      <c r="L173975" s="472"/>
      <c r="M173975" s="472"/>
    </row>
    <row r="173976" spans="12:13" x14ac:dyDescent="0.25">
      <c r="L173976" s="472"/>
      <c r="M173976" s="472"/>
    </row>
    <row r="173977" spans="12:13" x14ac:dyDescent="0.25">
      <c r="L173977" s="472"/>
      <c r="M173977" s="472"/>
    </row>
    <row r="174049" spans="12:13" x14ac:dyDescent="0.25">
      <c r="L174049" s="472"/>
      <c r="M174049" s="472"/>
    </row>
    <row r="174050" spans="12:13" x14ac:dyDescent="0.25">
      <c r="L174050" s="472"/>
      <c r="M174050" s="472"/>
    </row>
    <row r="174051" spans="12:13" x14ac:dyDescent="0.25">
      <c r="L174051" s="472"/>
      <c r="M174051" s="472"/>
    </row>
    <row r="174123" spans="12:13" x14ac:dyDescent="0.25">
      <c r="L174123" s="472"/>
      <c r="M174123" s="472"/>
    </row>
    <row r="174124" spans="12:13" x14ac:dyDescent="0.25">
      <c r="L174124" s="472"/>
      <c r="M174124" s="472"/>
    </row>
    <row r="174125" spans="12:13" x14ac:dyDescent="0.25">
      <c r="L174125" s="472"/>
      <c r="M174125" s="472"/>
    </row>
    <row r="174197" spans="12:13" x14ac:dyDescent="0.25">
      <c r="L174197" s="472"/>
      <c r="M174197" s="472"/>
    </row>
    <row r="174198" spans="12:13" x14ac:dyDescent="0.25">
      <c r="L174198" s="472"/>
      <c r="M174198" s="472"/>
    </row>
    <row r="174199" spans="12:13" x14ac:dyDescent="0.25">
      <c r="L174199" s="472"/>
      <c r="M174199" s="472"/>
    </row>
    <row r="174271" spans="12:13" x14ac:dyDescent="0.25">
      <c r="L174271" s="472"/>
      <c r="M174271" s="472"/>
    </row>
    <row r="174272" spans="12:13" x14ac:dyDescent="0.25">
      <c r="L174272" s="472"/>
      <c r="M174272" s="472"/>
    </row>
    <row r="174273" spans="12:13" x14ac:dyDescent="0.25">
      <c r="L174273" s="472"/>
      <c r="M174273" s="472"/>
    </row>
    <row r="174345" spans="12:13" x14ac:dyDescent="0.25">
      <c r="L174345" s="472"/>
      <c r="M174345" s="472"/>
    </row>
    <row r="174346" spans="12:13" x14ac:dyDescent="0.25">
      <c r="L174346" s="472"/>
      <c r="M174346" s="472"/>
    </row>
    <row r="174347" spans="12:13" x14ac:dyDescent="0.25">
      <c r="L174347" s="472"/>
      <c r="M174347" s="472"/>
    </row>
    <row r="174419" spans="12:13" x14ac:dyDescent="0.25">
      <c r="L174419" s="472"/>
      <c r="M174419" s="472"/>
    </row>
    <row r="174420" spans="12:13" x14ac:dyDescent="0.25">
      <c r="L174420" s="472"/>
      <c r="M174420" s="472"/>
    </row>
    <row r="174421" spans="12:13" x14ac:dyDescent="0.25">
      <c r="L174421" s="472"/>
      <c r="M174421" s="472"/>
    </row>
    <row r="174493" spans="12:13" x14ac:dyDescent="0.25">
      <c r="L174493" s="472"/>
      <c r="M174493" s="472"/>
    </row>
    <row r="174494" spans="12:13" x14ac:dyDescent="0.25">
      <c r="L174494" s="472"/>
      <c r="M174494" s="472"/>
    </row>
    <row r="174495" spans="12:13" x14ac:dyDescent="0.25">
      <c r="L174495" s="472"/>
      <c r="M174495" s="472"/>
    </row>
    <row r="174567" spans="12:13" x14ac:dyDescent="0.25">
      <c r="L174567" s="472"/>
      <c r="M174567" s="472"/>
    </row>
    <row r="174568" spans="12:13" x14ac:dyDescent="0.25">
      <c r="L174568" s="472"/>
      <c r="M174568" s="472"/>
    </row>
    <row r="174569" spans="12:13" x14ac:dyDescent="0.25">
      <c r="L174569" s="472"/>
      <c r="M174569" s="472"/>
    </row>
    <row r="174641" spans="12:13" x14ac:dyDescent="0.25">
      <c r="L174641" s="472"/>
      <c r="M174641" s="472"/>
    </row>
    <row r="174642" spans="12:13" x14ac:dyDescent="0.25">
      <c r="L174642" s="472"/>
      <c r="M174642" s="472"/>
    </row>
    <row r="174643" spans="12:13" x14ac:dyDescent="0.25">
      <c r="L174643" s="472"/>
      <c r="M174643" s="472"/>
    </row>
    <row r="174715" spans="12:13" x14ac:dyDescent="0.25">
      <c r="L174715" s="472"/>
      <c r="M174715" s="472"/>
    </row>
    <row r="174716" spans="12:13" x14ac:dyDescent="0.25">
      <c r="L174716" s="472"/>
      <c r="M174716" s="472"/>
    </row>
    <row r="174717" spans="12:13" x14ac:dyDescent="0.25">
      <c r="L174717" s="472"/>
      <c r="M174717" s="472"/>
    </row>
    <row r="174789" spans="12:13" x14ac:dyDescent="0.25">
      <c r="L174789" s="472"/>
      <c r="M174789" s="472"/>
    </row>
    <row r="174790" spans="12:13" x14ac:dyDescent="0.25">
      <c r="L174790" s="472"/>
      <c r="M174790" s="472"/>
    </row>
    <row r="174791" spans="12:13" x14ac:dyDescent="0.25">
      <c r="L174791" s="472"/>
      <c r="M174791" s="472"/>
    </row>
    <row r="174863" spans="12:13" x14ac:dyDescent="0.25">
      <c r="L174863" s="472"/>
      <c r="M174863" s="472"/>
    </row>
    <row r="174864" spans="12:13" x14ac:dyDescent="0.25">
      <c r="L174864" s="472"/>
      <c r="M174864" s="472"/>
    </row>
    <row r="174865" spans="12:13" x14ac:dyDescent="0.25">
      <c r="L174865" s="472"/>
      <c r="M174865" s="472"/>
    </row>
    <row r="174937" spans="12:13" x14ac:dyDescent="0.25">
      <c r="L174937" s="472"/>
      <c r="M174937" s="472"/>
    </row>
    <row r="174938" spans="12:13" x14ac:dyDescent="0.25">
      <c r="L174938" s="472"/>
      <c r="M174938" s="472"/>
    </row>
    <row r="174939" spans="12:13" x14ac:dyDescent="0.25">
      <c r="L174939" s="472"/>
      <c r="M174939" s="472"/>
    </row>
    <row r="175011" spans="12:13" x14ac:dyDescent="0.25">
      <c r="L175011" s="472"/>
      <c r="M175011" s="472"/>
    </row>
    <row r="175012" spans="12:13" x14ac:dyDescent="0.25">
      <c r="L175012" s="472"/>
      <c r="M175012" s="472"/>
    </row>
    <row r="175013" spans="12:13" x14ac:dyDescent="0.25">
      <c r="L175013" s="472"/>
      <c r="M175013" s="472"/>
    </row>
    <row r="175085" spans="12:13" x14ac:dyDescent="0.25">
      <c r="L175085" s="472"/>
      <c r="M175085" s="472"/>
    </row>
    <row r="175086" spans="12:13" x14ac:dyDescent="0.25">
      <c r="L175086" s="472"/>
      <c r="M175086" s="472"/>
    </row>
    <row r="175087" spans="12:13" x14ac:dyDescent="0.25">
      <c r="L175087" s="472"/>
      <c r="M175087" s="472"/>
    </row>
    <row r="175159" spans="12:13" x14ac:dyDescent="0.25">
      <c r="L175159" s="472"/>
      <c r="M175159" s="472"/>
    </row>
    <row r="175160" spans="12:13" x14ac:dyDescent="0.25">
      <c r="L175160" s="472"/>
      <c r="M175160" s="472"/>
    </row>
    <row r="175161" spans="12:13" x14ac:dyDescent="0.25">
      <c r="L175161" s="472"/>
      <c r="M175161" s="472"/>
    </row>
    <row r="175233" spans="12:13" x14ac:dyDescent="0.25">
      <c r="L175233" s="472"/>
      <c r="M175233" s="472"/>
    </row>
    <row r="175234" spans="12:13" x14ac:dyDescent="0.25">
      <c r="L175234" s="472"/>
      <c r="M175234" s="472"/>
    </row>
    <row r="175235" spans="12:13" x14ac:dyDescent="0.25">
      <c r="L175235" s="472"/>
      <c r="M175235" s="472"/>
    </row>
    <row r="175307" spans="12:13" x14ac:dyDescent="0.25">
      <c r="L175307" s="472"/>
      <c r="M175307" s="472"/>
    </row>
    <row r="175308" spans="12:13" x14ac:dyDescent="0.25">
      <c r="L175308" s="472"/>
      <c r="M175308" s="472"/>
    </row>
    <row r="175309" spans="12:13" x14ac:dyDescent="0.25">
      <c r="L175309" s="472"/>
      <c r="M175309" s="472"/>
    </row>
    <row r="175381" spans="12:13" x14ac:dyDescent="0.25">
      <c r="L175381" s="472"/>
      <c r="M175381" s="472"/>
    </row>
    <row r="175382" spans="12:13" x14ac:dyDescent="0.25">
      <c r="L175382" s="472"/>
      <c r="M175382" s="472"/>
    </row>
    <row r="175383" spans="12:13" x14ac:dyDescent="0.25">
      <c r="L175383" s="472"/>
      <c r="M175383" s="472"/>
    </row>
    <row r="175455" spans="12:13" x14ac:dyDescent="0.25">
      <c r="L175455" s="472"/>
      <c r="M175455" s="472"/>
    </row>
    <row r="175456" spans="12:13" x14ac:dyDescent="0.25">
      <c r="L175456" s="472"/>
      <c r="M175456" s="472"/>
    </row>
    <row r="175457" spans="12:13" x14ac:dyDescent="0.25">
      <c r="L175457" s="472"/>
      <c r="M175457" s="472"/>
    </row>
    <row r="175529" spans="12:13" x14ac:dyDescent="0.25">
      <c r="L175529" s="472"/>
      <c r="M175529" s="472"/>
    </row>
    <row r="175530" spans="12:13" x14ac:dyDescent="0.25">
      <c r="L175530" s="472"/>
      <c r="M175530" s="472"/>
    </row>
    <row r="175531" spans="12:13" x14ac:dyDescent="0.25">
      <c r="L175531" s="472"/>
      <c r="M175531" s="472"/>
    </row>
    <row r="175603" spans="12:13" x14ac:dyDescent="0.25">
      <c r="L175603" s="472"/>
      <c r="M175603" s="472"/>
    </row>
    <row r="175604" spans="12:13" x14ac:dyDescent="0.25">
      <c r="L175604" s="472"/>
      <c r="M175604" s="472"/>
    </row>
    <row r="175605" spans="12:13" x14ac:dyDescent="0.25">
      <c r="L175605" s="472"/>
      <c r="M175605" s="472"/>
    </row>
    <row r="175677" spans="12:13" x14ac:dyDescent="0.25">
      <c r="L175677" s="472"/>
      <c r="M175677" s="472"/>
    </row>
    <row r="175678" spans="12:13" x14ac:dyDescent="0.25">
      <c r="L175678" s="472"/>
      <c r="M175678" s="472"/>
    </row>
    <row r="175679" spans="12:13" x14ac:dyDescent="0.25">
      <c r="L175679" s="472"/>
      <c r="M175679" s="472"/>
    </row>
    <row r="175751" spans="12:13" x14ac:dyDescent="0.25">
      <c r="L175751" s="472"/>
      <c r="M175751" s="472"/>
    </row>
    <row r="175752" spans="12:13" x14ac:dyDescent="0.25">
      <c r="L175752" s="472"/>
      <c r="M175752" s="472"/>
    </row>
    <row r="175753" spans="12:13" x14ac:dyDescent="0.25">
      <c r="L175753" s="472"/>
      <c r="M175753" s="472"/>
    </row>
    <row r="175825" spans="12:13" x14ac:dyDescent="0.25">
      <c r="L175825" s="472"/>
      <c r="M175825" s="472"/>
    </row>
    <row r="175826" spans="12:13" x14ac:dyDescent="0.25">
      <c r="L175826" s="472"/>
      <c r="M175826" s="472"/>
    </row>
    <row r="175827" spans="12:13" x14ac:dyDescent="0.25">
      <c r="L175827" s="472"/>
      <c r="M175827" s="472"/>
    </row>
    <row r="175899" spans="12:13" x14ac:dyDescent="0.25">
      <c r="L175899" s="472"/>
      <c r="M175899" s="472"/>
    </row>
    <row r="175900" spans="12:13" x14ac:dyDescent="0.25">
      <c r="L175900" s="472"/>
      <c r="M175900" s="472"/>
    </row>
    <row r="175901" spans="12:13" x14ac:dyDescent="0.25">
      <c r="L175901" s="472"/>
      <c r="M175901" s="472"/>
    </row>
    <row r="175973" spans="12:13" x14ac:dyDescent="0.25">
      <c r="L175973" s="472"/>
      <c r="M175973" s="472"/>
    </row>
    <row r="175974" spans="12:13" x14ac:dyDescent="0.25">
      <c r="L175974" s="472"/>
      <c r="M175974" s="472"/>
    </row>
    <row r="175975" spans="12:13" x14ac:dyDescent="0.25">
      <c r="L175975" s="472"/>
      <c r="M175975" s="472"/>
    </row>
    <row r="176047" spans="12:13" x14ac:dyDescent="0.25">
      <c r="L176047" s="472"/>
      <c r="M176047" s="472"/>
    </row>
    <row r="176048" spans="12:13" x14ac:dyDescent="0.25">
      <c r="L176048" s="472"/>
      <c r="M176048" s="472"/>
    </row>
    <row r="176049" spans="12:13" x14ac:dyDescent="0.25">
      <c r="L176049" s="472"/>
      <c r="M176049" s="472"/>
    </row>
    <row r="176121" spans="12:13" x14ac:dyDescent="0.25">
      <c r="L176121" s="472"/>
      <c r="M176121" s="472"/>
    </row>
    <row r="176122" spans="12:13" x14ac:dyDescent="0.25">
      <c r="L176122" s="472"/>
      <c r="M176122" s="472"/>
    </row>
    <row r="176123" spans="12:13" x14ac:dyDescent="0.25">
      <c r="L176123" s="472"/>
      <c r="M176123" s="472"/>
    </row>
    <row r="176195" spans="12:13" x14ac:dyDescent="0.25">
      <c r="L176195" s="472"/>
      <c r="M176195" s="472"/>
    </row>
    <row r="176196" spans="12:13" x14ac:dyDescent="0.25">
      <c r="L176196" s="472"/>
      <c r="M176196" s="472"/>
    </row>
    <row r="176197" spans="12:13" x14ac:dyDescent="0.25">
      <c r="L176197" s="472"/>
      <c r="M176197" s="472"/>
    </row>
    <row r="176269" spans="12:13" x14ac:dyDescent="0.25">
      <c r="L176269" s="472"/>
      <c r="M176269" s="472"/>
    </row>
    <row r="176270" spans="12:13" x14ac:dyDescent="0.25">
      <c r="L176270" s="472"/>
      <c r="M176270" s="472"/>
    </row>
    <row r="176271" spans="12:13" x14ac:dyDescent="0.25">
      <c r="L176271" s="472"/>
      <c r="M176271" s="472"/>
    </row>
    <row r="176343" spans="12:13" x14ac:dyDescent="0.25">
      <c r="L176343" s="472"/>
      <c r="M176343" s="472"/>
    </row>
    <row r="176344" spans="12:13" x14ac:dyDescent="0.25">
      <c r="L176344" s="472"/>
      <c r="M176344" s="472"/>
    </row>
    <row r="176345" spans="12:13" x14ac:dyDescent="0.25">
      <c r="L176345" s="472"/>
      <c r="M176345" s="472"/>
    </row>
    <row r="176417" spans="12:13" x14ac:dyDescent="0.25">
      <c r="L176417" s="472"/>
      <c r="M176417" s="472"/>
    </row>
    <row r="176418" spans="12:13" x14ac:dyDescent="0.25">
      <c r="L176418" s="472"/>
      <c r="M176418" s="472"/>
    </row>
    <row r="176419" spans="12:13" x14ac:dyDescent="0.25">
      <c r="L176419" s="472"/>
      <c r="M176419" s="472"/>
    </row>
    <row r="176491" spans="12:13" x14ac:dyDescent="0.25">
      <c r="L176491" s="472"/>
      <c r="M176491" s="472"/>
    </row>
    <row r="176492" spans="12:13" x14ac:dyDescent="0.25">
      <c r="L176492" s="472"/>
      <c r="M176492" s="472"/>
    </row>
    <row r="176493" spans="12:13" x14ac:dyDescent="0.25">
      <c r="L176493" s="472"/>
      <c r="M176493" s="472"/>
    </row>
    <row r="176565" spans="12:13" x14ac:dyDescent="0.25">
      <c r="L176565" s="472"/>
      <c r="M176565" s="472"/>
    </row>
    <row r="176566" spans="12:13" x14ac:dyDescent="0.25">
      <c r="L176566" s="472"/>
      <c r="M176566" s="472"/>
    </row>
    <row r="176567" spans="12:13" x14ac:dyDescent="0.25">
      <c r="L176567" s="472"/>
      <c r="M176567" s="472"/>
    </row>
    <row r="176639" spans="12:13" x14ac:dyDescent="0.25">
      <c r="L176639" s="472"/>
      <c r="M176639" s="472"/>
    </row>
    <row r="176640" spans="12:13" x14ac:dyDescent="0.25">
      <c r="L176640" s="472"/>
      <c r="M176640" s="472"/>
    </row>
    <row r="176641" spans="12:13" x14ac:dyDescent="0.25">
      <c r="L176641" s="472"/>
      <c r="M176641" s="472"/>
    </row>
    <row r="176713" spans="12:13" x14ac:dyDescent="0.25">
      <c r="L176713" s="472"/>
      <c r="M176713" s="472"/>
    </row>
    <row r="176714" spans="12:13" x14ac:dyDescent="0.25">
      <c r="L176714" s="472"/>
      <c r="M176714" s="472"/>
    </row>
    <row r="176715" spans="12:13" x14ac:dyDescent="0.25">
      <c r="L176715" s="472"/>
      <c r="M176715" s="472"/>
    </row>
    <row r="176787" spans="12:13" x14ac:dyDescent="0.25">
      <c r="L176787" s="472"/>
      <c r="M176787" s="472"/>
    </row>
    <row r="176788" spans="12:13" x14ac:dyDescent="0.25">
      <c r="L176788" s="472"/>
      <c r="M176788" s="472"/>
    </row>
    <row r="176789" spans="12:13" x14ac:dyDescent="0.25">
      <c r="L176789" s="472"/>
      <c r="M176789" s="472"/>
    </row>
    <row r="176861" spans="12:13" x14ac:dyDescent="0.25">
      <c r="L176861" s="472"/>
      <c r="M176861" s="472"/>
    </row>
    <row r="176862" spans="12:13" x14ac:dyDescent="0.25">
      <c r="L176862" s="472"/>
      <c r="M176862" s="472"/>
    </row>
    <row r="176863" spans="12:13" x14ac:dyDescent="0.25">
      <c r="L176863" s="472"/>
      <c r="M176863" s="472"/>
    </row>
    <row r="176935" spans="12:13" x14ac:dyDescent="0.25">
      <c r="L176935" s="472"/>
      <c r="M176935" s="472"/>
    </row>
    <row r="176936" spans="12:13" x14ac:dyDescent="0.25">
      <c r="L176936" s="472"/>
      <c r="M176936" s="472"/>
    </row>
    <row r="176937" spans="12:13" x14ac:dyDescent="0.25">
      <c r="L176937" s="472"/>
      <c r="M176937" s="472"/>
    </row>
    <row r="177009" spans="12:13" x14ac:dyDescent="0.25">
      <c r="L177009" s="472"/>
      <c r="M177009" s="472"/>
    </row>
    <row r="177010" spans="12:13" x14ac:dyDescent="0.25">
      <c r="L177010" s="472"/>
      <c r="M177010" s="472"/>
    </row>
    <row r="177011" spans="12:13" x14ac:dyDescent="0.25">
      <c r="L177011" s="472"/>
      <c r="M177011" s="472"/>
    </row>
    <row r="177083" spans="12:13" x14ac:dyDescent="0.25">
      <c r="L177083" s="472"/>
      <c r="M177083" s="472"/>
    </row>
    <row r="177084" spans="12:13" x14ac:dyDescent="0.25">
      <c r="L177084" s="472"/>
      <c r="M177084" s="472"/>
    </row>
    <row r="177085" spans="12:13" x14ac:dyDescent="0.25">
      <c r="L177085" s="472"/>
      <c r="M177085" s="472"/>
    </row>
    <row r="177157" spans="12:13" x14ac:dyDescent="0.25">
      <c r="L177157" s="472"/>
      <c r="M177157" s="472"/>
    </row>
    <row r="177158" spans="12:13" x14ac:dyDescent="0.25">
      <c r="L177158" s="472"/>
      <c r="M177158" s="472"/>
    </row>
    <row r="177159" spans="12:13" x14ac:dyDescent="0.25">
      <c r="L177159" s="472"/>
      <c r="M177159" s="472"/>
    </row>
    <row r="177231" spans="12:13" x14ac:dyDescent="0.25">
      <c r="L177231" s="472"/>
      <c r="M177231" s="472"/>
    </row>
    <row r="177232" spans="12:13" x14ac:dyDescent="0.25">
      <c r="L177232" s="472"/>
      <c r="M177232" s="472"/>
    </row>
    <row r="177233" spans="12:13" x14ac:dyDescent="0.25">
      <c r="L177233" s="472"/>
      <c r="M177233" s="472"/>
    </row>
    <row r="177305" spans="12:13" x14ac:dyDescent="0.25">
      <c r="L177305" s="472"/>
      <c r="M177305" s="472"/>
    </row>
    <row r="177306" spans="12:13" x14ac:dyDescent="0.25">
      <c r="L177306" s="472"/>
      <c r="M177306" s="472"/>
    </row>
    <row r="177307" spans="12:13" x14ac:dyDescent="0.25">
      <c r="L177307" s="472"/>
      <c r="M177307" s="472"/>
    </row>
    <row r="177379" spans="12:13" x14ac:dyDescent="0.25">
      <c r="L177379" s="472"/>
      <c r="M177379" s="472"/>
    </row>
    <row r="177380" spans="12:13" x14ac:dyDescent="0.25">
      <c r="L177380" s="472"/>
      <c r="M177380" s="472"/>
    </row>
    <row r="177381" spans="12:13" x14ac:dyDescent="0.25">
      <c r="L177381" s="472"/>
      <c r="M177381" s="472"/>
    </row>
    <row r="177453" spans="12:13" x14ac:dyDescent="0.25">
      <c r="L177453" s="472"/>
      <c r="M177453" s="472"/>
    </row>
    <row r="177454" spans="12:13" x14ac:dyDescent="0.25">
      <c r="L177454" s="472"/>
      <c r="M177454" s="472"/>
    </row>
    <row r="177455" spans="12:13" x14ac:dyDescent="0.25">
      <c r="L177455" s="472"/>
      <c r="M177455" s="472"/>
    </row>
    <row r="177527" spans="12:13" x14ac:dyDescent="0.25">
      <c r="L177527" s="472"/>
      <c r="M177527" s="472"/>
    </row>
    <row r="177528" spans="12:13" x14ac:dyDescent="0.25">
      <c r="L177528" s="472"/>
      <c r="M177528" s="472"/>
    </row>
    <row r="177529" spans="12:13" x14ac:dyDescent="0.25">
      <c r="L177529" s="472"/>
      <c r="M177529" s="472"/>
    </row>
    <row r="177601" spans="12:13" x14ac:dyDescent="0.25">
      <c r="L177601" s="472"/>
      <c r="M177601" s="472"/>
    </row>
    <row r="177602" spans="12:13" x14ac:dyDescent="0.25">
      <c r="L177602" s="472"/>
      <c r="M177602" s="472"/>
    </row>
    <row r="177603" spans="12:13" x14ac:dyDescent="0.25">
      <c r="L177603" s="472"/>
      <c r="M177603" s="472"/>
    </row>
    <row r="177675" spans="12:13" x14ac:dyDescent="0.25">
      <c r="L177675" s="472"/>
      <c r="M177675" s="472"/>
    </row>
    <row r="177676" spans="12:13" x14ac:dyDescent="0.25">
      <c r="L177676" s="472"/>
      <c r="M177676" s="472"/>
    </row>
    <row r="177677" spans="12:13" x14ac:dyDescent="0.25">
      <c r="L177677" s="472"/>
      <c r="M177677" s="472"/>
    </row>
    <row r="177749" spans="12:13" x14ac:dyDescent="0.25">
      <c r="L177749" s="472"/>
      <c r="M177749" s="472"/>
    </row>
    <row r="177750" spans="12:13" x14ac:dyDescent="0.25">
      <c r="L177750" s="472"/>
      <c r="M177750" s="472"/>
    </row>
    <row r="177751" spans="12:13" x14ac:dyDescent="0.25">
      <c r="L177751" s="472"/>
      <c r="M177751" s="472"/>
    </row>
    <row r="177823" spans="12:13" x14ac:dyDescent="0.25">
      <c r="L177823" s="472"/>
      <c r="M177823" s="472"/>
    </row>
    <row r="177824" spans="12:13" x14ac:dyDescent="0.25">
      <c r="L177824" s="472"/>
      <c r="M177824" s="472"/>
    </row>
    <row r="177825" spans="12:13" x14ac:dyDescent="0.25">
      <c r="L177825" s="472"/>
      <c r="M177825" s="472"/>
    </row>
    <row r="177897" spans="12:13" x14ac:dyDescent="0.25">
      <c r="L177897" s="472"/>
      <c r="M177897" s="472"/>
    </row>
    <row r="177898" spans="12:13" x14ac:dyDescent="0.25">
      <c r="L177898" s="472"/>
      <c r="M177898" s="472"/>
    </row>
    <row r="177899" spans="12:13" x14ac:dyDescent="0.25">
      <c r="L177899" s="472"/>
      <c r="M177899" s="472"/>
    </row>
    <row r="177971" spans="12:13" x14ac:dyDescent="0.25">
      <c r="L177971" s="472"/>
      <c r="M177971" s="472"/>
    </row>
    <row r="177972" spans="12:13" x14ac:dyDescent="0.25">
      <c r="L177972" s="472"/>
      <c r="M177972" s="472"/>
    </row>
    <row r="177973" spans="12:13" x14ac:dyDescent="0.25">
      <c r="L177973" s="472"/>
      <c r="M177973" s="472"/>
    </row>
    <row r="178045" spans="12:13" x14ac:dyDescent="0.25">
      <c r="L178045" s="472"/>
      <c r="M178045" s="472"/>
    </row>
    <row r="178046" spans="12:13" x14ac:dyDescent="0.25">
      <c r="L178046" s="472"/>
      <c r="M178046" s="472"/>
    </row>
    <row r="178047" spans="12:13" x14ac:dyDescent="0.25">
      <c r="L178047" s="472"/>
      <c r="M178047" s="472"/>
    </row>
    <row r="178119" spans="12:13" x14ac:dyDescent="0.25">
      <c r="L178119" s="472"/>
      <c r="M178119" s="472"/>
    </row>
    <row r="178120" spans="12:13" x14ac:dyDescent="0.25">
      <c r="L178120" s="472"/>
      <c r="M178120" s="472"/>
    </row>
    <row r="178121" spans="12:13" x14ac:dyDescent="0.25">
      <c r="L178121" s="472"/>
      <c r="M178121" s="472"/>
    </row>
    <row r="178193" spans="12:13" x14ac:dyDescent="0.25">
      <c r="L178193" s="472"/>
      <c r="M178193" s="472"/>
    </row>
    <row r="178194" spans="12:13" x14ac:dyDescent="0.25">
      <c r="L178194" s="472"/>
      <c r="M178194" s="472"/>
    </row>
    <row r="178195" spans="12:13" x14ac:dyDescent="0.25">
      <c r="L178195" s="472"/>
      <c r="M178195" s="472"/>
    </row>
    <row r="178267" spans="12:13" x14ac:dyDescent="0.25">
      <c r="L178267" s="472"/>
      <c r="M178267" s="472"/>
    </row>
    <row r="178268" spans="12:13" x14ac:dyDescent="0.25">
      <c r="L178268" s="472"/>
      <c r="M178268" s="472"/>
    </row>
    <row r="178269" spans="12:13" x14ac:dyDescent="0.25">
      <c r="L178269" s="472"/>
      <c r="M178269" s="472"/>
    </row>
    <row r="178341" spans="12:13" x14ac:dyDescent="0.25">
      <c r="L178341" s="472"/>
      <c r="M178341" s="472"/>
    </row>
    <row r="178342" spans="12:13" x14ac:dyDescent="0.25">
      <c r="L178342" s="472"/>
      <c r="M178342" s="472"/>
    </row>
    <row r="178343" spans="12:13" x14ac:dyDescent="0.25">
      <c r="L178343" s="472"/>
      <c r="M178343" s="472"/>
    </row>
    <row r="178415" spans="12:13" x14ac:dyDescent="0.25">
      <c r="L178415" s="472"/>
      <c r="M178415" s="472"/>
    </row>
    <row r="178416" spans="12:13" x14ac:dyDescent="0.25">
      <c r="L178416" s="472"/>
      <c r="M178416" s="472"/>
    </row>
    <row r="178417" spans="12:13" x14ac:dyDescent="0.25">
      <c r="L178417" s="472"/>
      <c r="M178417" s="472"/>
    </row>
    <row r="178489" spans="12:13" x14ac:dyDescent="0.25">
      <c r="L178489" s="472"/>
      <c r="M178489" s="472"/>
    </row>
    <row r="178490" spans="12:13" x14ac:dyDescent="0.25">
      <c r="L178490" s="472"/>
      <c r="M178490" s="472"/>
    </row>
    <row r="178491" spans="12:13" x14ac:dyDescent="0.25">
      <c r="L178491" s="472"/>
      <c r="M178491" s="472"/>
    </row>
    <row r="178563" spans="12:13" x14ac:dyDescent="0.25">
      <c r="L178563" s="472"/>
      <c r="M178563" s="472"/>
    </row>
    <row r="178564" spans="12:13" x14ac:dyDescent="0.25">
      <c r="L178564" s="472"/>
      <c r="M178564" s="472"/>
    </row>
    <row r="178565" spans="12:13" x14ac:dyDescent="0.25">
      <c r="L178565" s="472"/>
      <c r="M178565" s="472"/>
    </row>
    <row r="178637" spans="12:13" x14ac:dyDescent="0.25">
      <c r="L178637" s="472"/>
      <c r="M178637" s="472"/>
    </row>
    <row r="178638" spans="12:13" x14ac:dyDescent="0.25">
      <c r="L178638" s="472"/>
      <c r="M178638" s="472"/>
    </row>
    <row r="178639" spans="12:13" x14ac:dyDescent="0.25">
      <c r="L178639" s="472"/>
      <c r="M178639" s="472"/>
    </row>
    <row r="178711" spans="12:13" x14ac:dyDescent="0.25">
      <c r="L178711" s="472"/>
      <c r="M178711" s="472"/>
    </row>
    <row r="178712" spans="12:13" x14ac:dyDescent="0.25">
      <c r="L178712" s="472"/>
      <c r="M178712" s="472"/>
    </row>
    <row r="178713" spans="12:13" x14ac:dyDescent="0.25">
      <c r="L178713" s="472"/>
      <c r="M178713" s="472"/>
    </row>
    <row r="178785" spans="12:13" x14ac:dyDescent="0.25">
      <c r="L178785" s="472"/>
      <c r="M178785" s="472"/>
    </row>
    <row r="178786" spans="12:13" x14ac:dyDescent="0.25">
      <c r="L178786" s="472"/>
      <c r="M178786" s="472"/>
    </row>
    <row r="178787" spans="12:13" x14ac:dyDescent="0.25">
      <c r="L178787" s="472"/>
      <c r="M178787" s="472"/>
    </row>
    <row r="178859" spans="12:13" x14ac:dyDescent="0.25">
      <c r="L178859" s="472"/>
      <c r="M178859" s="472"/>
    </row>
    <row r="178860" spans="12:13" x14ac:dyDescent="0.25">
      <c r="L178860" s="472"/>
      <c r="M178860" s="472"/>
    </row>
    <row r="178861" spans="12:13" x14ac:dyDescent="0.25">
      <c r="L178861" s="472"/>
      <c r="M178861" s="472"/>
    </row>
    <row r="178933" spans="12:13" x14ac:dyDescent="0.25">
      <c r="L178933" s="472"/>
      <c r="M178933" s="472"/>
    </row>
    <row r="178934" spans="12:13" x14ac:dyDescent="0.25">
      <c r="L178934" s="472"/>
      <c r="M178934" s="472"/>
    </row>
    <row r="178935" spans="12:13" x14ac:dyDescent="0.25">
      <c r="L178935" s="472"/>
      <c r="M178935" s="472"/>
    </row>
    <row r="179007" spans="12:13" x14ac:dyDescent="0.25">
      <c r="L179007" s="472"/>
      <c r="M179007" s="472"/>
    </row>
    <row r="179008" spans="12:13" x14ac:dyDescent="0.25">
      <c r="L179008" s="472"/>
      <c r="M179008" s="472"/>
    </row>
    <row r="179009" spans="12:13" x14ac:dyDescent="0.25">
      <c r="L179009" s="472"/>
      <c r="M179009" s="472"/>
    </row>
    <row r="179081" spans="12:13" x14ac:dyDescent="0.25">
      <c r="L179081" s="472"/>
      <c r="M179081" s="472"/>
    </row>
    <row r="179082" spans="12:13" x14ac:dyDescent="0.25">
      <c r="L179082" s="472"/>
      <c r="M179082" s="472"/>
    </row>
    <row r="179083" spans="12:13" x14ac:dyDescent="0.25">
      <c r="L179083" s="472"/>
      <c r="M179083" s="472"/>
    </row>
    <row r="179155" spans="12:13" x14ac:dyDescent="0.25">
      <c r="L179155" s="472"/>
      <c r="M179155" s="472"/>
    </row>
    <row r="179156" spans="12:13" x14ac:dyDescent="0.25">
      <c r="L179156" s="472"/>
      <c r="M179156" s="472"/>
    </row>
    <row r="179157" spans="12:13" x14ac:dyDescent="0.25">
      <c r="L179157" s="472"/>
      <c r="M179157" s="472"/>
    </row>
    <row r="179229" spans="12:13" x14ac:dyDescent="0.25">
      <c r="L179229" s="472"/>
      <c r="M179229" s="472"/>
    </row>
    <row r="179230" spans="12:13" x14ac:dyDescent="0.25">
      <c r="L179230" s="472"/>
      <c r="M179230" s="472"/>
    </row>
    <row r="179231" spans="12:13" x14ac:dyDescent="0.25">
      <c r="L179231" s="472"/>
      <c r="M179231" s="472"/>
    </row>
    <row r="179303" spans="12:13" x14ac:dyDescent="0.25">
      <c r="L179303" s="472"/>
      <c r="M179303" s="472"/>
    </row>
    <row r="179304" spans="12:13" x14ac:dyDescent="0.25">
      <c r="L179304" s="472"/>
      <c r="M179304" s="472"/>
    </row>
    <row r="179305" spans="12:13" x14ac:dyDescent="0.25">
      <c r="L179305" s="472"/>
      <c r="M179305" s="472"/>
    </row>
    <row r="179377" spans="12:13" x14ac:dyDescent="0.25">
      <c r="L179377" s="472"/>
      <c r="M179377" s="472"/>
    </row>
    <row r="179378" spans="12:13" x14ac:dyDescent="0.25">
      <c r="L179378" s="472"/>
      <c r="M179378" s="472"/>
    </row>
    <row r="179379" spans="12:13" x14ac:dyDescent="0.25">
      <c r="L179379" s="472"/>
      <c r="M179379" s="472"/>
    </row>
    <row r="179451" spans="12:13" x14ac:dyDescent="0.25">
      <c r="L179451" s="472"/>
      <c r="M179451" s="472"/>
    </row>
    <row r="179452" spans="12:13" x14ac:dyDescent="0.25">
      <c r="L179452" s="472"/>
      <c r="M179452" s="472"/>
    </row>
    <row r="179453" spans="12:13" x14ac:dyDescent="0.25">
      <c r="L179453" s="472"/>
      <c r="M179453" s="472"/>
    </row>
    <row r="179525" spans="12:13" x14ac:dyDescent="0.25">
      <c r="L179525" s="472"/>
      <c r="M179525" s="472"/>
    </row>
    <row r="179526" spans="12:13" x14ac:dyDescent="0.25">
      <c r="L179526" s="472"/>
      <c r="M179526" s="472"/>
    </row>
    <row r="179527" spans="12:13" x14ac:dyDescent="0.25">
      <c r="L179527" s="472"/>
      <c r="M179527" s="472"/>
    </row>
    <row r="179599" spans="12:13" x14ac:dyDescent="0.25">
      <c r="L179599" s="472"/>
      <c r="M179599" s="472"/>
    </row>
    <row r="179600" spans="12:13" x14ac:dyDescent="0.25">
      <c r="L179600" s="472"/>
      <c r="M179600" s="472"/>
    </row>
    <row r="179601" spans="12:13" x14ac:dyDescent="0.25">
      <c r="L179601" s="472"/>
      <c r="M179601" s="472"/>
    </row>
    <row r="179673" spans="12:13" x14ac:dyDescent="0.25">
      <c r="L179673" s="472"/>
      <c r="M179673" s="472"/>
    </row>
    <row r="179674" spans="12:13" x14ac:dyDescent="0.25">
      <c r="L179674" s="472"/>
      <c r="M179674" s="472"/>
    </row>
    <row r="179675" spans="12:13" x14ac:dyDescent="0.25">
      <c r="L179675" s="472"/>
      <c r="M179675" s="472"/>
    </row>
    <row r="179747" spans="12:13" x14ac:dyDescent="0.25">
      <c r="L179747" s="472"/>
      <c r="M179747" s="472"/>
    </row>
    <row r="179748" spans="12:13" x14ac:dyDescent="0.25">
      <c r="L179748" s="472"/>
      <c r="M179748" s="472"/>
    </row>
    <row r="179749" spans="12:13" x14ac:dyDescent="0.25">
      <c r="L179749" s="472"/>
      <c r="M179749" s="472"/>
    </row>
    <row r="179821" spans="12:13" x14ac:dyDescent="0.25">
      <c r="L179821" s="472"/>
      <c r="M179821" s="472"/>
    </row>
    <row r="179822" spans="12:13" x14ac:dyDescent="0.25">
      <c r="L179822" s="472"/>
      <c r="M179822" s="472"/>
    </row>
    <row r="179823" spans="12:13" x14ac:dyDescent="0.25">
      <c r="L179823" s="472"/>
      <c r="M179823" s="472"/>
    </row>
    <row r="179895" spans="12:13" x14ac:dyDescent="0.25">
      <c r="L179895" s="472"/>
      <c r="M179895" s="472"/>
    </row>
    <row r="179896" spans="12:13" x14ac:dyDescent="0.25">
      <c r="L179896" s="472"/>
      <c r="M179896" s="472"/>
    </row>
    <row r="179897" spans="12:13" x14ac:dyDescent="0.25">
      <c r="L179897" s="472"/>
      <c r="M179897" s="472"/>
    </row>
    <row r="179969" spans="12:13" x14ac:dyDescent="0.25">
      <c r="L179969" s="472"/>
      <c r="M179969" s="472"/>
    </row>
    <row r="179970" spans="12:13" x14ac:dyDescent="0.25">
      <c r="L179970" s="472"/>
      <c r="M179970" s="472"/>
    </row>
    <row r="179971" spans="12:13" x14ac:dyDescent="0.25">
      <c r="L179971" s="472"/>
      <c r="M179971" s="472"/>
    </row>
    <row r="180043" spans="12:13" x14ac:dyDescent="0.25">
      <c r="L180043" s="472"/>
      <c r="M180043" s="472"/>
    </row>
    <row r="180044" spans="12:13" x14ac:dyDescent="0.25">
      <c r="L180044" s="472"/>
      <c r="M180044" s="472"/>
    </row>
    <row r="180045" spans="12:13" x14ac:dyDescent="0.25">
      <c r="L180045" s="472"/>
      <c r="M180045" s="472"/>
    </row>
    <row r="180117" spans="12:13" x14ac:dyDescent="0.25">
      <c r="L180117" s="472"/>
      <c r="M180117" s="472"/>
    </row>
    <row r="180118" spans="12:13" x14ac:dyDescent="0.25">
      <c r="L180118" s="472"/>
      <c r="M180118" s="472"/>
    </row>
    <row r="180119" spans="12:13" x14ac:dyDescent="0.25">
      <c r="L180119" s="472"/>
      <c r="M180119" s="472"/>
    </row>
    <row r="180191" spans="12:13" x14ac:dyDescent="0.25">
      <c r="L180191" s="472"/>
      <c r="M180191" s="472"/>
    </row>
    <row r="180192" spans="12:13" x14ac:dyDescent="0.25">
      <c r="L180192" s="472"/>
      <c r="M180192" s="472"/>
    </row>
    <row r="180193" spans="12:13" x14ac:dyDescent="0.25">
      <c r="L180193" s="472"/>
      <c r="M180193" s="472"/>
    </row>
    <row r="180265" spans="12:13" x14ac:dyDescent="0.25">
      <c r="L180265" s="472"/>
      <c r="M180265" s="472"/>
    </row>
    <row r="180266" spans="12:13" x14ac:dyDescent="0.25">
      <c r="L180266" s="472"/>
      <c r="M180266" s="472"/>
    </row>
    <row r="180267" spans="12:13" x14ac:dyDescent="0.25">
      <c r="L180267" s="472"/>
      <c r="M180267" s="472"/>
    </row>
    <row r="180339" spans="12:13" x14ac:dyDescent="0.25">
      <c r="L180339" s="472"/>
      <c r="M180339" s="472"/>
    </row>
    <row r="180340" spans="12:13" x14ac:dyDescent="0.25">
      <c r="L180340" s="472"/>
      <c r="M180340" s="472"/>
    </row>
    <row r="180341" spans="12:13" x14ac:dyDescent="0.25">
      <c r="L180341" s="472"/>
      <c r="M180341" s="472"/>
    </row>
    <row r="180413" spans="12:13" x14ac:dyDescent="0.25">
      <c r="L180413" s="472"/>
      <c r="M180413" s="472"/>
    </row>
    <row r="180414" spans="12:13" x14ac:dyDescent="0.25">
      <c r="L180414" s="472"/>
      <c r="M180414" s="472"/>
    </row>
    <row r="180415" spans="12:13" x14ac:dyDescent="0.25">
      <c r="L180415" s="472"/>
      <c r="M180415" s="472"/>
    </row>
    <row r="180487" spans="12:13" x14ac:dyDescent="0.25">
      <c r="L180487" s="472"/>
      <c r="M180487" s="472"/>
    </row>
    <row r="180488" spans="12:13" x14ac:dyDescent="0.25">
      <c r="L180488" s="472"/>
      <c r="M180488" s="472"/>
    </row>
    <row r="180489" spans="12:13" x14ac:dyDescent="0.25">
      <c r="L180489" s="472"/>
      <c r="M180489" s="472"/>
    </row>
    <row r="180561" spans="12:13" x14ac:dyDescent="0.25">
      <c r="L180561" s="472"/>
      <c r="M180561" s="472"/>
    </row>
    <row r="180562" spans="12:13" x14ac:dyDescent="0.25">
      <c r="L180562" s="472"/>
      <c r="M180562" s="472"/>
    </row>
    <row r="180563" spans="12:13" x14ac:dyDescent="0.25">
      <c r="L180563" s="472"/>
      <c r="M180563" s="472"/>
    </row>
    <row r="180635" spans="12:13" x14ac:dyDescent="0.25">
      <c r="L180635" s="472"/>
      <c r="M180635" s="472"/>
    </row>
    <row r="180636" spans="12:13" x14ac:dyDescent="0.25">
      <c r="L180636" s="472"/>
      <c r="M180636" s="472"/>
    </row>
    <row r="180637" spans="12:13" x14ac:dyDescent="0.25">
      <c r="L180637" s="472"/>
      <c r="M180637" s="472"/>
    </row>
    <row r="180709" spans="12:13" x14ac:dyDescent="0.25">
      <c r="L180709" s="472"/>
      <c r="M180709" s="472"/>
    </row>
    <row r="180710" spans="12:13" x14ac:dyDescent="0.25">
      <c r="L180710" s="472"/>
      <c r="M180710" s="472"/>
    </row>
    <row r="180711" spans="12:13" x14ac:dyDescent="0.25">
      <c r="L180711" s="472"/>
      <c r="M180711" s="472"/>
    </row>
    <row r="180783" spans="12:13" x14ac:dyDescent="0.25">
      <c r="L180783" s="472"/>
      <c r="M180783" s="472"/>
    </row>
    <row r="180784" spans="12:13" x14ac:dyDescent="0.25">
      <c r="L180784" s="472"/>
      <c r="M180784" s="472"/>
    </row>
    <row r="180785" spans="12:13" x14ac:dyDescent="0.25">
      <c r="L180785" s="472"/>
      <c r="M180785" s="472"/>
    </row>
    <row r="180857" spans="12:13" x14ac:dyDescent="0.25">
      <c r="L180857" s="472"/>
      <c r="M180857" s="472"/>
    </row>
    <row r="180858" spans="12:13" x14ac:dyDescent="0.25">
      <c r="L180858" s="472"/>
      <c r="M180858" s="472"/>
    </row>
    <row r="180859" spans="12:13" x14ac:dyDescent="0.25">
      <c r="L180859" s="472"/>
      <c r="M180859" s="472"/>
    </row>
    <row r="180931" spans="12:13" x14ac:dyDescent="0.25">
      <c r="L180931" s="472"/>
      <c r="M180931" s="472"/>
    </row>
    <row r="180932" spans="12:13" x14ac:dyDescent="0.25">
      <c r="L180932" s="472"/>
      <c r="M180932" s="472"/>
    </row>
    <row r="180933" spans="12:13" x14ac:dyDescent="0.25">
      <c r="L180933" s="472"/>
      <c r="M180933" s="472"/>
    </row>
    <row r="181005" spans="12:13" x14ac:dyDescent="0.25">
      <c r="L181005" s="472"/>
      <c r="M181005" s="472"/>
    </row>
    <row r="181006" spans="12:13" x14ac:dyDescent="0.25">
      <c r="L181006" s="472"/>
      <c r="M181006" s="472"/>
    </row>
    <row r="181007" spans="12:13" x14ac:dyDescent="0.25">
      <c r="L181007" s="472"/>
      <c r="M181007" s="472"/>
    </row>
    <row r="181079" spans="12:13" x14ac:dyDescent="0.25">
      <c r="L181079" s="472"/>
      <c r="M181079" s="472"/>
    </row>
    <row r="181080" spans="12:13" x14ac:dyDescent="0.25">
      <c r="L181080" s="472"/>
      <c r="M181080" s="472"/>
    </row>
    <row r="181081" spans="12:13" x14ac:dyDescent="0.25">
      <c r="L181081" s="472"/>
      <c r="M181081" s="472"/>
    </row>
    <row r="181153" spans="12:13" x14ac:dyDescent="0.25">
      <c r="L181153" s="472"/>
      <c r="M181153" s="472"/>
    </row>
    <row r="181154" spans="12:13" x14ac:dyDescent="0.25">
      <c r="L181154" s="472"/>
      <c r="M181154" s="472"/>
    </row>
    <row r="181155" spans="12:13" x14ac:dyDescent="0.25">
      <c r="L181155" s="472"/>
      <c r="M181155" s="472"/>
    </row>
    <row r="181227" spans="12:13" x14ac:dyDescent="0.25">
      <c r="L181227" s="472"/>
      <c r="M181227" s="472"/>
    </row>
    <row r="181228" spans="12:13" x14ac:dyDescent="0.25">
      <c r="L181228" s="472"/>
      <c r="M181228" s="472"/>
    </row>
    <row r="181229" spans="12:13" x14ac:dyDescent="0.25">
      <c r="L181229" s="472"/>
      <c r="M181229" s="472"/>
    </row>
    <row r="181301" spans="12:13" x14ac:dyDescent="0.25">
      <c r="L181301" s="472"/>
      <c r="M181301" s="472"/>
    </row>
    <row r="181302" spans="12:13" x14ac:dyDescent="0.25">
      <c r="L181302" s="472"/>
      <c r="M181302" s="472"/>
    </row>
    <row r="181303" spans="12:13" x14ac:dyDescent="0.25">
      <c r="L181303" s="472"/>
      <c r="M181303" s="472"/>
    </row>
    <row r="181375" spans="12:13" x14ac:dyDescent="0.25">
      <c r="L181375" s="472"/>
      <c r="M181375" s="472"/>
    </row>
    <row r="181376" spans="12:13" x14ac:dyDescent="0.25">
      <c r="L181376" s="472"/>
      <c r="M181376" s="472"/>
    </row>
    <row r="181377" spans="12:13" x14ac:dyDescent="0.25">
      <c r="L181377" s="472"/>
      <c r="M181377" s="472"/>
    </row>
    <row r="181449" spans="12:13" x14ac:dyDescent="0.25">
      <c r="L181449" s="472"/>
      <c r="M181449" s="472"/>
    </row>
    <row r="181450" spans="12:13" x14ac:dyDescent="0.25">
      <c r="L181450" s="472"/>
      <c r="M181450" s="472"/>
    </row>
    <row r="181451" spans="12:13" x14ac:dyDescent="0.25">
      <c r="L181451" s="472"/>
      <c r="M181451" s="472"/>
    </row>
    <row r="181523" spans="12:13" x14ac:dyDescent="0.25">
      <c r="L181523" s="472"/>
      <c r="M181523" s="472"/>
    </row>
    <row r="181524" spans="12:13" x14ac:dyDescent="0.25">
      <c r="L181524" s="472"/>
      <c r="M181524" s="472"/>
    </row>
    <row r="181525" spans="12:13" x14ac:dyDescent="0.25">
      <c r="L181525" s="472"/>
      <c r="M181525" s="472"/>
    </row>
    <row r="181597" spans="12:13" x14ac:dyDescent="0.25">
      <c r="L181597" s="472"/>
      <c r="M181597" s="472"/>
    </row>
    <row r="181598" spans="12:13" x14ac:dyDescent="0.25">
      <c r="L181598" s="472"/>
      <c r="M181598" s="472"/>
    </row>
    <row r="181599" spans="12:13" x14ac:dyDescent="0.25">
      <c r="L181599" s="472"/>
      <c r="M181599" s="472"/>
    </row>
    <row r="181671" spans="12:13" x14ac:dyDescent="0.25">
      <c r="L181671" s="472"/>
      <c r="M181671" s="472"/>
    </row>
    <row r="181672" spans="12:13" x14ac:dyDescent="0.25">
      <c r="L181672" s="472"/>
      <c r="M181672" s="472"/>
    </row>
    <row r="181673" spans="12:13" x14ac:dyDescent="0.25">
      <c r="L181673" s="472"/>
      <c r="M181673" s="472"/>
    </row>
    <row r="181745" spans="12:13" x14ac:dyDescent="0.25">
      <c r="L181745" s="472"/>
      <c r="M181745" s="472"/>
    </row>
    <row r="181746" spans="12:13" x14ac:dyDescent="0.25">
      <c r="L181746" s="472"/>
      <c r="M181746" s="472"/>
    </row>
    <row r="181747" spans="12:13" x14ac:dyDescent="0.25">
      <c r="L181747" s="472"/>
      <c r="M181747" s="472"/>
    </row>
    <row r="181819" spans="12:13" x14ac:dyDescent="0.25">
      <c r="L181819" s="472"/>
      <c r="M181819" s="472"/>
    </row>
    <row r="181820" spans="12:13" x14ac:dyDescent="0.25">
      <c r="L181820" s="472"/>
      <c r="M181820" s="472"/>
    </row>
    <row r="181821" spans="12:13" x14ac:dyDescent="0.25">
      <c r="L181821" s="472"/>
      <c r="M181821" s="472"/>
    </row>
    <row r="181893" spans="12:13" x14ac:dyDescent="0.25">
      <c r="L181893" s="472"/>
      <c r="M181893" s="472"/>
    </row>
    <row r="181894" spans="12:13" x14ac:dyDescent="0.25">
      <c r="L181894" s="472"/>
      <c r="M181894" s="472"/>
    </row>
    <row r="181895" spans="12:13" x14ac:dyDescent="0.25">
      <c r="L181895" s="472"/>
      <c r="M181895" s="472"/>
    </row>
    <row r="181967" spans="12:13" x14ac:dyDescent="0.25">
      <c r="L181967" s="472"/>
      <c r="M181967" s="472"/>
    </row>
    <row r="181968" spans="12:13" x14ac:dyDescent="0.25">
      <c r="L181968" s="472"/>
      <c r="M181968" s="472"/>
    </row>
    <row r="181969" spans="12:13" x14ac:dyDescent="0.25">
      <c r="L181969" s="472"/>
      <c r="M181969" s="472"/>
    </row>
    <row r="182041" spans="12:13" x14ac:dyDescent="0.25">
      <c r="L182041" s="472"/>
      <c r="M182041" s="472"/>
    </row>
    <row r="182042" spans="12:13" x14ac:dyDescent="0.25">
      <c r="L182042" s="472"/>
      <c r="M182042" s="472"/>
    </row>
    <row r="182043" spans="12:13" x14ac:dyDescent="0.25">
      <c r="L182043" s="472"/>
      <c r="M182043" s="472"/>
    </row>
    <row r="182115" spans="12:13" x14ac:dyDescent="0.25">
      <c r="L182115" s="472"/>
      <c r="M182115" s="472"/>
    </row>
    <row r="182116" spans="12:13" x14ac:dyDescent="0.25">
      <c r="L182116" s="472"/>
      <c r="M182116" s="472"/>
    </row>
    <row r="182117" spans="12:13" x14ac:dyDescent="0.25">
      <c r="L182117" s="472"/>
      <c r="M182117" s="472"/>
    </row>
    <row r="182189" spans="12:13" x14ac:dyDescent="0.25">
      <c r="L182189" s="472"/>
      <c r="M182189" s="472"/>
    </row>
    <row r="182190" spans="12:13" x14ac:dyDescent="0.25">
      <c r="L182190" s="472"/>
      <c r="M182190" s="472"/>
    </row>
    <row r="182191" spans="12:13" x14ac:dyDescent="0.25">
      <c r="L182191" s="472"/>
      <c r="M182191" s="472"/>
    </row>
    <row r="182263" spans="12:13" x14ac:dyDescent="0.25">
      <c r="L182263" s="472"/>
      <c r="M182263" s="472"/>
    </row>
    <row r="182264" spans="12:13" x14ac:dyDescent="0.25">
      <c r="L182264" s="472"/>
      <c r="M182264" s="472"/>
    </row>
    <row r="182265" spans="12:13" x14ac:dyDescent="0.25">
      <c r="L182265" s="472"/>
      <c r="M182265" s="472"/>
    </row>
    <row r="182337" spans="12:13" x14ac:dyDescent="0.25">
      <c r="L182337" s="472"/>
      <c r="M182337" s="472"/>
    </row>
    <row r="182338" spans="12:13" x14ac:dyDescent="0.25">
      <c r="L182338" s="472"/>
      <c r="M182338" s="472"/>
    </row>
    <row r="182339" spans="12:13" x14ac:dyDescent="0.25">
      <c r="L182339" s="472"/>
      <c r="M182339" s="472"/>
    </row>
    <row r="182411" spans="12:13" x14ac:dyDescent="0.25">
      <c r="L182411" s="472"/>
      <c r="M182411" s="472"/>
    </row>
    <row r="182412" spans="12:13" x14ac:dyDescent="0.25">
      <c r="L182412" s="472"/>
      <c r="M182412" s="472"/>
    </row>
    <row r="182413" spans="12:13" x14ac:dyDescent="0.25">
      <c r="L182413" s="472"/>
      <c r="M182413" s="472"/>
    </row>
    <row r="182485" spans="12:13" x14ac:dyDescent="0.25">
      <c r="L182485" s="472"/>
      <c r="M182485" s="472"/>
    </row>
    <row r="182486" spans="12:13" x14ac:dyDescent="0.25">
      <c r="L182486" s="472"/>
      <c r="M182486" s="472"/>
    </row>
    <row r="182487" spans="12:13" x14ac:dyDescent="0.25">
      <c r="L182487" s="472"/>
      <c r="M182487" s="472"/>
    </row>
    <row r="182559" spans="12:13" x14ac:dyDescent="0.25">
      <c r="L182559" s="472"/>
      <c r="M182559" s="472"/>
    </row>
    <row r="182560" spans="12:13" x14ac:dyDescent="0.25">
      <c r="L182560" s="472"/>
      <c r="M182560" s="472"/>
    </row>
    <row r="182561" spans="12:13" x14ac:dyDescent="0.25">
      <c r="L182561" s="472"/>
      <c r="M182561" s="472"/>
    </row>
    <row r="182633" spans="12:13" x14ac:dyDescent="0.25">
      <c r="L182633" s="472"/>
      <c r="M182633" s="472"/>
    </row>
    <row r="182634" spans="12:13" x14ac:dyDescent="0.25">
      <c r="L182634" s="472"/>
      <c r="M182634" s="472"/>
    </row>
    <row r="182635" spans="12:13" x14ac:dyDescent="0.25">
      <c r="L182635" s="472"/>
      <c r="M182635" s="472"/>
    </row>
    <row r="182707" spans="12:13" x14ac:dyDescent="0.25">
      <c r="L182707" s="472"/>
      <c r="M182707" s="472"/>
    </row>
    <row r="182708" spans="12:13" x14ac:dyDescent="0.25">
      <c r="L182708" s="472"/>
      <c r="M182708" s="472"/>
    </row>
    <row r="182709" spans="12:13" x14ac:dyDescent="0.25">
      <c r="L182709" s="472"/>
      <c r="M182709" s="472"/>
    </row>
    <row r="182781" spans="12:13" x14ac:dyDescent="0.25">
      <c r="L182781" s="472"/>
      <c r="M182781" s="472"/>
    </row>
    <row r="182782" spans="12:13" x14ac:dyDescent="0.25">
      <c r="L182782" s="472"/>
      <c r="M182782" s="472"/>
    </row>
    <row r="182783" spans="12:13" x14ac:dyDescent="0.25">
      <c r="L182783" s="472"/>
      <c r="M182783" s="472"/>
    </row>
    <row r="182855" spans="12:13" x14ac:dyDescent="0.25">
      <c r="L182855" s="472"/>
      <c r="M182855" s="472"/>
    </row>
    <row r="182856" spans="12:13" x14ac:dyDescent="0.25">
      <c r="L182856" s="472"/>
      <c r="M182856" s="472"/>
    </row>
    <row r="182857" spans="12:13" x14ac:dyDescent="0.25">
      <c r="L182857" s="472"/>
      <c r="M182857" s="472"/>
    </row>
    <row r="182929" spans="12:13" x14ac:dyDescent="0.25">
      <c r="L182929" s="472"/>
      <c r="M182929" s="472"/>
    </row>
    <row r="182930" spans="12:13" x14ac:dyDescent="0.25">
      <c r="L182930" s="472"/>
      <c r="M182930" s="472"/>
    </row>
    <row r="182931" spans="12:13" x14ac:dyDescent="0.25">
      <c r="L182931" s="472"/>
      <c r="M182931" s="472"/>
    </row>
    <row r="183003" spans="12:13" x14ac:dyDescent="0.25">
      <c r="L183003" s="472"/>
      <c r="M183003" s="472"/>
    </row>
    <row r="183004" spans="12:13" x14ac:dyDescent="0.25">
      <c r="L183004" s="472"/>
      <c r="M183004" s="472"/>
    </row>
    <row r="183005" spans="12:13" x14ac:dyDescent="0.25">
      <c r="L183005" s="472"/>
      <c r="M183005" s="472"/>
    </row>
    <row r="183077" spans="12:13" x14ac:dyDescent="0.25">
      <c r="L183077" s="472"/>
      <c r="M183077" s="472"/>
    </row>
    <row r="183078" spans="12:13" x14ac:dyDescent="0.25">
      <c r="L183078" s="472"/>
      <c r="M183078" s="472"/>
    </row>
    <row r="183079" spans="12:13" x14ac:dyDescent="0.25">
      <c r="L183079" s="472"/>
      <c r="M183079" s="472"/>
    </row>
    <row r="183151" spans="12:13" x14ac:dyDescent="0.25">
      <c r="L183151" s="472"/>
      <c r="M183151" s="472"/>
    </row>
    <row r="183152" spans="12:13" x14ac:dyDescent="0.25">
      <c r="L183152" s="472"/>
      <c r="M183152" s="472"/>
    </row>
    <row r="183153" spans="12:13" x14ac:dyDescent="0.25">
      <c r="L183153" s="472"/>
      <c r="M183153" s="472"/>
    </row>
    <row r="183225" spans="12:13" x14ac:dyDescent="0.25">
      <c r="L183225" s="472"/>
      <c r="M183225" s="472"/>
    </row>
    <row r="183226" spans="12:13" x14ac:dyDescent="0.25">
      <c r="L183226" s="472"/>
      <c r="M183226" s="472"/>
    </row>
    <row r="183227" spans="12:13" x14ac:dyDescent="0.25">
      <c r="L183227" s="472"/>
      <c r="M183227" s="472"/>
    </row>
    <row r="183299" spans="12:13" x14ac:dyDescent="0.25">
      <c r="L183299" s="472"/>
      <c r="M183299" s="472"/>
    </row>
    <row r="183300" spans="12:13" x14ac:dyDescent="0.25">
      <c r="L183300" s="472"/>
      <c r="M183300" s="472"/>
    </row>
    <row r="183301" spans="12:13" x14ac:dyDescent="0.25">
      <c r="L183301" s="472"/>
      <c r="M183301" s="472"/>
    </row>
    <row r="183373" spans="12:13" x14ac:dyDescent="0.25">
      <c r="L183373" s="472"/>
      <c r="M183373" s="472"/>
    </row>
    <row r="183374" spans="12:13" x14ac:dyDescent="0.25">
      <c r="L183374" s="472"/>
      <c r="M183374" s="472"/>
    </row>
    <row r="183375" spans="12:13" x14ac:dyDescent="0.25">
      <c r="L183375" s="472"/>
      <c r="M183375" s="472"/>
    </row>
    <row r="183447" spans="12:13" x14ac:dyDescent="0.25">
      <c r="L183447" s="472"/>
      <c r="M183447" s="472"/>
    </row>
    <row r="183448" spans="12:13" x14ac:dyDescent="0.25">
      <c r="L183448" s="472"/>
      <c r="M183448" s="472"/>
    </row>
    <row r="183449" spans="12:13" x14ac:dyDescent="0.25">
      <c r="L183449" s="472"/>
      <c r="M183449" s="472"/>
    </row>
    <row r="183521" spans="12:13" x14ac:dyDescent="0.25">
      <c r="L183521" s="472"/>
      <c r="M183521" s="472"/>
    </row>
    <row r="183522" spans="12:13" x14ac:dyDescent="0.25">
      <c r="L183522" s="472"/>
      <c r="M183522" s="472"/>
    </row>
    <row r="183523" spans="12:13" x14ac:dyDescent="0.25">
      <c r="L183523" s="472"/>
      <c r="M183523" s="472"/>
    </row>
    <row r="183595" spans="12:13" x14ac:dyDescent="0.25">
      <c r="L183595" s="472"/>
      <c r="M183595" s="472"/>
    </row>
    <row r="183596" spans="12:13" x14ac:dyDescent="0.25">
      <c r="L183596" s="472"/>
      <c r="M183596" s="472"/>
    </row>
    <row r="183597" spans="12:13" x14ac:dyDescent="0.25">
      <c r="L183597" s="472"/>
      <c r="M183597" s="472"/>
    </row>
    <row r="183669" spans="12:13" x14ac:dyDescent="0.25">
      <c r="L183669" s="472"/>
      <c r="M183669" s="472"/>
    </row>
    <row r="183670" spans="12:13" x14ac:dyDescent="0.25">
      <c r="L183670" s="472"/>
      <c r="M183670" s="472"/>
    </row>
    <row r="183671" spans="12:13" x14ac:dyDescent="0.25">
      <c r="L183671" s="472"/>
      <c r="M183671" s="472"/>
    </row>
    <row r="183743" spans="12:13" x14ac:dyDescent="0.25">
      <c r="L183743" s="472"/>
      <c r="M183743" s="472"/>
    </row>
    <row r="183744" spans="12:13" x14ac:dyDescent="0.25">
      <c r="L183744" s="472"/>
      <c r="M183744" s="472"/>
    </row>
    <row r="183745" spans="12:13" x14ac:dyDescent="0.25">
      <c r="L183745" s="472"/>
      <c r="M183745" s="472"/>
    </row>
    <row r="183817" spans="12:13" x14ac:dyDescent="0.25">
      <c r="L183817" s="472"/>
      <c r="M183817" s="472"/>
    </row>
    <row r="183818" spans="12:13" x14ac:dyDescent="0.25">
      <c r="L183818" s="472"/>
      <c r="M183818" s="472"/>
    </row>
    <row r="183819" spans="12:13" x14ac:dyDescent="0.25">
      <c r="L183819" s="472"/>
      <c r="M183819" s="472"/>
    </row>
    <row r="183891" spans="12:13" x14ac:dyDescent="0.25">
      <c r="L183891" s="472"/>
      <c r="M183891" s="472"/>
    </row>
    <row r="183892" spans="12:13" x14ac:dyDescent="0.25">
      <c r="L183892" s="472"/>
      <c r="M183892" s="472"/>
    </row>
    <row r="183893" spans="12:13" x14ac:dyDescent="0.25">
      <c r="L183893" s="472"/>
      <c r="M183893" s="472"/>
    </row>
    <row r="183965" spans="12:13" x14ac:dyDescent="0.25">
      <c r="L183965" s="472"/>
      <c r="M183965" s="472"/>
    </row>
    <row r="183966" spans="12:13" x14ac:dyDescent="0.25">
      <c r="L183966" s="472"/>
      <c r="M183966" s="472"/>
    </row>
    <row r="183967" spans="12:13" x14ac:dyDescent="0.25">
      <c r="L183967" s="472"/>
      <c r="M183967" s="472"/>
    </row>
    <row r="184039" spans="12:13" x14ac:dyDescent="0.25">
      <c r="L184039" s="472"/>
      <c r="M184039" s="472"/>
    </row>
    <row r="184040" spans="12:13" x14ac:dyDescent="0.25">
      <c r="L184040" s="472"/>
      <c r="M184040" s="472"/>
    </row>
    <row r="184041" spans="12:13" x14ac:dyDescent="0.25">
      <c r="L184041" s="472"/>
      <c r="M184041" s="472"/>
    </row>
    <row r="184113" spans="12:13" x14ac:dyDescent="0.25">
      <c r="L184113" s="472"/>
      <c r="M184113" s="472"/>
    </row>
    <row r="184114" spans="12:13" x14ac:dyDescent="0.25">
      <c r="L184114" s="472"/>
      <c r="M184114" s="472"/>
    </row>
    <row r="184115" spans="12:13" x14ac:dyDescent="0.25">
      <c r="L184115" s="472"/>
      <c r="M184115" s="472"/>
    </row>
    <row r="184187" spans="12:13" x14ac:dyDescent="0.25">
      <c r="L184187" s="472"/>
      <c r="M184187" s="472"/>
    </row>
    <row r="184188" spans="12:13" x14ac:dyDescent="0.25">
      <c r="L184188" s="472"/>
      <c r="M184188" s="472"/>
    </row>
    <row r="184189" spans="12:13" x14ac:dyDescent="0.25">
      <c r="L184189" s="472"/>
      <c r="M184189" s="472"/>
    </row>
    <row r="184261" spans="12:13" x14ac:dyDescent="0.25">
      <c r="L184261" s="472"/>
      <c r="M184261" s="472"/>
    </row>
    <row r="184262" spans="12:13" x14ac:dyDescent="0.25">
      <c r="L184262" s="472"/>
      <c r="M184262" s="472"/>
    </row>
    <row r="184263" spans="12:13" x14ac:dyDescent="0.25">
      <c r="L184263" s="472"/>
      <c r="M184263" s="472"/>
    </row>
    <row r="184335" spans="12:13" x14ac:dyDescent="0.25">
      <c r="L184335" s="472"/>
      <c r="M184335" s="472"/>
    </row>
    <row r="184336" spans="12:13" x14ac:dyDescent="0.25">
      <c r="L184336" s="472"/>
      <c r="M184336" s="472"/>
    </row>
    <row r="184337" spans="12:13" x14ac:dyDescent="0.25">
      <c r="L184337" s="472"/>
      <c r="M184337" s="472"/>
    </row>
    <row r="184409" spans="12:13" x14ac:dyDescent="0.25">
      <c r="L184409" s="472"/>
      <c r="M184409" s="472"/>
    </row>
    <row r="184410" spans="12:13" x14ac:dyDescent="0.25">
      <c r="L184410" s="472"/>
      <c r="M184410" s="472"/>
    </row>
    <row r="184411" spans="12:13" x14ac:dyDescent="0.25">
      <c r="L184411" s="472"/>
      <c r="M184411" s="472"/>
    </row>
    <row r="184483" spans="12:13" x14ac:dyDescent="0.25">
      <c r="L184483" s="472"/>
      <c r="M184483" s="472"/>
    </row>
    <row r="184484" spans="12:13" x14ac:dyDescent="0.25">
      <c r="L184484" s="472"/>
      <c r="M184484" s="472"/>
    </row>
    <row r="184485" spans="12:13" x14ac:dyDescent="0.25">
      <c r="L184485" s="472"/>
      <c r="M184485" s="472"/>
    </row>
    <row r="184557" spans="12:13" x14ac:dyDescent="0.25">
      <c r="L184557" s="472"/>
      <c r="M184557" s="472"/>
    </row>
    <row r="184558" spans="12:13" x14ac:dyDescent="0.25">
      <c r="L184558" s="472"/>
      <c r="M184558" s="472"/>
    </row>
    <row r="184559" spans="12:13" x14ac:dyDescent="0.25">
      <c r="L184559" s="472"/>
      <c r="M184559" s="472"/>
    </row>
    <row r="184631" spans="12:13" x14ac:dyDescent="0.25">
      <c r="L184631" s="472"/>
      <c r="M184631" s="472"/>
    </row>
    <row r="184632" spans="12:13" x14ac:dyDescent="0.25">
      <c r="L184632" s="472"/>
      <c r="M184632" s="472"/>
    </row>
    <row r="184633" spans="12:13" x14ac:dyDescent="0.25">
      <c r="L184633" s="472"/>
      <c r="M184633" s="472"/>
    </row>
    <row r="184705" spans="12:13" x14ac:dyDescent="0.25">
      <c r="L184705" s="472"/>
      <c r="M184705" s="472"/>
    </row>
    <row r="184706" spans="12:13" x14ac:dyDescent="0.25">
      <c r="L184706" s="472"/>
      <c r="M184706" s="472"/>
    </row>
    <row r="184707" spans="12:13" x14ac:dyDescent="0.25">
      <c r="L184707" s="472"/>
      <c r="M184707" s="472"/>
    </row>
    <row r="184779" spans="12:13" x14ac:dyDescent="0.25">
      <c r="L184779" s="472"/>
      <c r="M184779" s="472"/>
    </row>
    <row r="184780" spans="12:13" x14ac:dyDescent="0.25">
      <c r="L184780" s="472"/>
      <c r="M184780" s="472"/>
    </row>
    <row r="184781" spans="12:13" x14ac:dyDescent="0.25">
      <c r="L184781" s="472"/>
      <c r="M184781" s="472"/>
    </row>
    <row r="184853" spans="12:13" x14ac:dyDescent="0.25">
      <c r="L184853" s="472"/>
      <c r="M184853" s="472"/>
    </row>
    <row r="184854" spans="12:13" x14ac:dyDescent="0.25">
      <c r="L184854" s="472"/>
      <c r="M184854" s="472"/>
    </row>
    <row r="184855" spans="12:13" x14ac:dyDescent="0.25">
      <c r="L184855" s="472"/>
      <c r="M184855" s="472"/>
    </row>
    <row r="184927" spans="12:13" x14ac:dyDescent="0.25">
      <c r="L184927" s="472"/>
      <c r="M184927" s="472"/>
    </row>
    <row r="184928" spans="12:13" x14ac:dyDescent="0.25">
      <c r="L184928" s="472"/>
      <c r="M184928" s="472"/>
    </row>
    <row r="184929" spans="12:13" x14ac:dyDescent="0.25">
      <c r="L184929" s="472"/>
      <c r="M184929" s="472"/>
    </row>
    <row r="185001" spans="12:13" x14ac:dyDescent="0.25">
      <c r="L185001" s="472"/>
      <c r="M185001" s="472"/>
    </row>
    <row r="185002" spans="12:13" x14ac:dyDescent="0.25">
      <c r="L185002" s="472"/>
      <c r="M185002" s="472"/>
    </row>
    <row r="185003" spans="12:13" x14ac:dyDescent="0.25">
      <c r="L185003" s="472"/>
      <c r="M185003" s="472"/>
    </row>
    <row r="185075" spans="12:13" x14ac:dyDescent="0.25">
      <c r="L185075" s="472"/>
      <c r="M185075" s="472"/>
    </row>
    <row r="185076" spans="12:13" x14ac:dyDescent="0.25">
      <c r="L185076" s="472"/>
      <c r="M185076" s="472"/>
    </row>
    <row r="185077" spans="12:13" x14ac:dyDescent="0.25">
      <c r="L185077" s="472"/>
      <c r="M185077" s="472"/>
    </row>
    <row r="185149" spans="12:13" x14ac:dyDescent="0.25">
      <c r="L185149" s="472"/>
      <c r="M185149" s="472"/>
    </row>
    <row r="185150" spans="12:13" x14ac:dyDescent="0.25">
      <c r="L185150" s="472"/>
      <c r="M185150" s="472"/>
    </row>
    <row r="185151" spans="12:13" x14ac:dyDescent="0.25">
      <c r="L185151" s="472"/>
      <c r="M185151" s="472"/>
    </row>
    <row r="185223" spans="12:13" x14ac:dyDescent="0.25">
      <c r="L185223" s="472"/>
      <c r="M185223" s="472"/>
    </row>
    <row r="185224" spans="12:13" x14ac:dyDescent="0.25">
      <c r="L185224" s="472"/>
      <c r="M185224" s="472"/>
    </row>
    <row r="185225" spans="12:13" x14ac:dyDescent="0.25">
      <c r="L185225" s="472"/>
      <c r="M185225" s="472"/>
    </row>
    <row r="185297" spans="12:13" x14ac:dyDescent="0.25">
      <c r="L185297" s="472"/>
      <c r="M185297" s="472"/>
    </row>
    <row r="185298" spans="12:13" x14ac:dyDescent="0.25">
      <c r="L185298" s="472"/>
      <c r="M185298" s="472"/>
    </row>
    <row r="185299" spans="12:13" x14ac:dyDescent="0.25">
      <c r="L185299" s="472"/>
      <c r="M185299" s="472"/>
    </row>
    <row r="185371" spans="12:13" x14ac:dyDescent="0.25">
      <c r="L185371" s="472"/>
      <c r="M185371" s="472"/>
    </row>
    <row r="185372" spans="12:13" x14ac:dyDescent="0.25">
      <c r="L185372" s="472"/>
      <c r="M185372" s="472"/>
    </row>
    <row r="185373" spans="12:13" x14ac:dyDescent="0.25">
      <c r="L185373" s="472"/>
      <c r="M185373" s="472"/>
    </row>
    <row r="185445" spans="12:13" x14ac:dyDescent="0.25">
      <c r="L185445" s="472"/>
      <c r="M185445" s="472"/>
    </row>
    <row r="185446" spans="12:13" x14ac:dyDescent="0.25">
      <c r="L185446" s="472"/>
      <c r="M185446" s="472"/>
    </row>
    <row r="185447" spans="12:13" x14ac:dyDescent="0.25">
      <c r="L185447" s="472"/>
      <c r="M185447" s="472"/>
    </row>
    <row r="185519" spans="12:13" x14ac:dyDescent="0.25">
      <c r="L185519" s="472"/>
      <c r="M185519" s="472"/>
    </row>
    <row r="185520" spans="12:13" x14ac:dyDescent="0.25">
      <c r="L185520" s="472"/>
      <c r="M185520" s="472"/>
    </row>
    <row r="185521" spans="12:13" x14ac:dyDescent="0.25">
      <c r="L185521" s="472"/>
      <c r="M185521" s="472"/>
    </row>
    <row r="185593" spans="12:13" x14ac:dyDescent="0.25">
      <c r="L185593" s="472"/>
      <c r="M185593" s="472"/>
    </row>
    <row r="185594" spans="12:13" x14ac:dyDescent="0.25">
      <c r="L185594" s="472"/>
      <c r="M185594" s="472"/>
    </row>
    <row r="185595" spans="12:13" x14ac:dyDescent="0.25">
      <c r="L185595" s="472"/>
      <c r="M185595" s="472"/>
    </row>
    <row r="185667" spans="12:13" x14ac:dyDescent="0.25">
      <c r="L185667" s="472"/>
      <c r="M185667" s="472"/>
    </row>
    <row r="185668" spans="12:13" x14ac:dyDescent="0.25">
      <c r="L185668" s="472"/>
      <c r="M185668" s="472"/>
    </row>
    <row r="185669" spans="12:13" x14ac:dyDescent="0.25">
      <c r="L185669" s="472"/>
      <c r="M185669" s="472"/>
    </row>
    <row r="185741" spans="12:13" x14ac:dyDescent="0.25">
      <c r="L185741" s="472"/>
      <c r="M185741" s="472"/>
    </row>
    <row r="185742" spans="12:13" x14ac:dyDescent="0.25">
      <c r="L185742" s="472"/>
      <c r="M185742" s="472"/>
    </row>
    <row r="185743" spans="12:13" x14ac:dyDescent="0.25">
      <c r="L185743" s="472"/>
      <c r="M185743" s="472"/>
    </row>
    <row r="185815" spans="12:13" x14ac:dyDescent="0.25">
      <c r="L185815" s="472"/>
      <c r="M185815" s="472"/>
    </row>
    <row r="185816" spans="12:13" x14ac:dyDescent="0.25">
      <c r="L185816" s="472"/>
      <c r="M185816" s="472"/>
    </row>
    <row r="185817" spans="12:13" x14ac:dyDescent="0.25">
      <c r="L185817" s="472"/>
      <c r="M185817" s="472"/>
    </row>
    <row r="185889" spans="12:13" x14ac:dyDescent="0.25">
      <c r="L185889" s="472"/>
      <c r="M185889" s="472"/>
    </row>
    <row r="185890" spans="12:13" x14ac:dyDescent="0.25">
      <c r="L185890" s="472"/>
      <c r="M185890" s="472"/>
    </row>
    <row r="185891" spans="12:13" x14ac:dyDescent="0.25">
      <c r="L185891" s="472"/>
      <c r="M185891" s="472"/>
    </row>
    <row r="185963" spans="12:13" x14ac:dyDescent="0.25">
      <c r="L185963" s="472"/>
      <c r="M185963" s="472"/>
    </row>
    <row r="185964" spans="12:13" x14ac:dyDescent="0.25">
      <c r="L185964" s="472"/>
      <c r="M185964" s="472"/>
    </row>
    <row r="185965" spans="12:13" x14ac:dyDescent="0.25">
      <c r="L185965" s="472"/>
      <c r="M185965" s="472"/>
    </row>
    <row r="186037" spans="12:13" x14ac:dyDescent="0.25">
      <c r="L186037" s="472"/>
      <c r="M186037" s="472"/>
    </row>
    <row r="186038" spans="12:13" x14ac:dyDescent="0.25">
      <c r="L186038" s="472"/>
      <c r="M186038" s="472"/>
    </row>
    <row r="186039" spans="12:13" x14ac:dyDescent="0.25">
      <c r="L186039" s="472"/>
      <c r="M186039" s="472"/>
    </row>
    <row r="186111" spans="12:13" x14ac:dyDescent="0.25">
      <c r="L186111" s="472"/>
      <c r="M186111" s="472"/>
    </row>
    <row r="186112" spans="12:13" x14ac:dyDescent="0.25">
      <c r="L186112" s="472"/>
      <c r="M186112" s="472"/>
    </row>
    <row r="186113" spans="12:13" x14ac:dyDescent="0.25">
      <c r="L186113" s="472"/>
      <c r="M186113" s="472"/>
    </row>
    <row r="186185" spans="12:13" x14ac:dyDescent="0.25">
      <c r="L186185" s="472"/>
      <c r="M186185" s="472"/>
    </row>
    <row r="186186" spans="12:13" x14ac:dyDescent="0.25">
      <c r="L186186" s="472"/>
      <c r="M186186" s="472"/>
    </row>
    <row r="186187" spans="12:13" x14ac:dyDescent="0.25">
      <c r="L186187" s="472"/>
      <c r="M186187" s="472"/>
    </row>
    <row r="186259" spans="12:13" x14ac:dyDescent="0.25">
      <c r="L186259" s="472"/>
      <c r="M186259" s="472"/>
    </row>
    <row r="186260" spans="12:13" x14ac:dyDescent="0.25">
      <c r="L186260" s="472"/>
      <c r="M186260" s="472"/>
    </row>
    <row r="186261" spans="12:13" x14ac:dyDescent="0.25">
      <c r="L186261" s="472"/>
      <c r="M186261" s="472"/>
    </row>
    <row r="186333" spans="12:13" x14ac:dyDescent="0.25">
      <c r="L186333" s="472"/>
      <c r="M186333" s="472"/>
    </row>
    <row r="186334" spans="12:13" x14ac:dyDescent="0.25">
      <c r="L186334" s="472"/>
      <c r="M186334" s="472"/>
    </row>
    <row r="186335" spans="12:13" x14ac:dyDescent="0.25">
      <c r="L186335" s="472"/>
      <c r="M186335" s="472"/>
    </row>
    <row r="186407" spans="12:13" x14ac:dyDescent="0.25">
      <c r="L186407" s="472"/>
      <c r="M186407" s="472"/>
    </row>
    <row r="186408" spans="12:13" x14ac:dyDescent="0.25">
      <c r="L186408" s="472"/>
      <c r="M186408" s="472"/>
    </row>
    <row r="186409" spans="12:13" x14ac:dyDescent="0.25">
      <c r="L186409" s="472"/>
      <c r="M186409" s="472"/>
    </row>
    <row r="186481" spans="12:13" x14ac:dyDescent="0.25">
      <c r="L186481" s="472"/>
      <c r="M186481" s="472"/>
    </row>
    <row r="186482" spans="12:13" x14ac:dyDescent="0.25">
      <c r="L186482" s="472"/>
      <c r="M186482" s="472"/>
    </row>
    <row r="186483" spans="12:13" x14ac:dyDescent="0.25">
      <c r="L186483" s="472"/>
      <c r="M186483" s="472"/>
    </row>
    <row r="186555" spans="12:13" x14ac:dyDescent="0.25">
      <c r="L186555" s="472"/>
      <c r="M186555" s="472"/>
    </row>
    <row r="186556" spans="12:13" x14ac:dyDescent="0.25">
      <c r="L186556" s="472"/>
      <c r="M186556" s="472"/>
    </row>
    <row r="186557" spans="12:13" x14ac:dyDescent="0.25">
      <c r="L186557" s="472"/>
      <c r="M186557" s="472"/>
    </row>
    <row r="186629" spans="12:13" x14ac:dyDescent="0.25">
      <c r="L186629" s="472"/>
      <c r="M186629" s="472"/>
    </row>
    <row r="186630" spans="12:13" x14ac:dyDescent="0.25">
      <c r="L186630" s="472"/>
      <c r="M186630" s="472"/>
    </row>
    <row r="186631" spans="12:13" x14ac:dyDescent="0.25">
      <c r="L186631" s="472"/>
      <c r="M186631" s="472"/>
    </row>
    <row r="186703" spans="12:13" x14ac:dyDescent="0.25">
      <c r="L186703" s="472"/>
      <c r="M186703" s="472"/>
    </row>
    <row r="186704" spans="12:13" x14ac:dyDescent="0.25">
      <c r="L186704" s="472"/>
      <c r="M186704" s="472"/>
    </row>
    <row r="186705" spans="12:13" x14ac:dyDescent="0.25">
      <c r="L186705" s="472"/>
      <c r="M186705" s="472"/>
    </row>
    <row r="186777" spans="12:13" x14ac:dyDescent="0.25">
      <c r="L186777" s="472"/>
      <c r="M186777" s="472"/>
    </row>
    <row r="186778" spans="12:13" x14ac:dyDescent="0.25">
      <c r="L186778" s="472"/>
      <c r="M186778" s="472"/>
    </row>
    <row r="186779" spans="12:13" x14ac:dyDescent="0.25">
      <c r="L186779" s="472"/>
      <c r="M186779" s="472"/>
    </row>
    <row r="186851" spans="12:13" x14ac:dyDescent="0.25">
      <c r="L186851" s="472"/>
      <c r="M186851" s="472"/>
    </row>
    <row r="186852" spans="12:13" x14ac:dyDescent="0.25">
      <c r="L186852" s="472"/>
      <c r="M186852" s="472"/>
    </row>
    <row r="186853" spans="12:13" x14ac:dyDescent="0.25">
      <c r="L186853" s="472"/>
      <c r="M186853" s="472"/>
    </row>
    <row r="186925" spans="12:13" x14ac:dyDescent="0.25">
      <c r="L186925" s="472"/>
      <c r="M186925" s="472"/>
    </row>
    <row r="186926" spans="12:13" x14ac:dyDescent="0.25">
      <c r="L186926" s="472"/>
      <c r="M186926" s="472"/>
    </row>
    <row r="186927" spans="12:13" x14ac:dyDescent="0.25">
      <c r="L186927" s="472"/>
      <c r="M186927" s="472"/>
    </row>
    <row r="186999" spans="12:13" x14ac:dyDescent="0.25">
      <c r="L186999" s="472"/>
      <c r="M186999" s="472"/>
    </row>
    <row r="187000" spans="12:13" x14ac:dyDescent="0.25">
      <c r="L187000" s="472"/>
      <c r="M187000" s="472"/>
    </row>
    <row r="187001" spans="12:13" x14ac:dyDescent="0.25">
      <c r="L187001" s="472"/>
      <c r="M187001" s="472"/>
    </row>
    <row r="187073" spans="12:13" x14ac:dyDescent="0.25">
      <c r="L187073" s="472"/>
      <c r="M187073" s="472"/>
    </row>
    <row r="187074" spans="12:13" x14ac:dyDescent="0.25">
      <c r="L187074" s="472"/>
      <c r="M187074" s="472"/>
    </row>
    <row r="187075" spans="12:13" x14ac:dyDescent="0.25">
      <c r="L187075" s="472"/>
      <c r="M187075" s="472"/>
    </row>
    <row r="187147" spans="12:13" x14ac:dyDescent="0.25">
      <c r="L187147" s="472"/>
      <c r="M187147" s="472"/>
    </row>
    <row r="187148" spans="12:13" x14ac:dyDescent="0.25">
      <c r="L187148" s="472"/>
      <c r="M187148" s="472"/>
    </row>
    <row r="187149" spans="12:13" x14ac:dyDescent="0.25">
      <c r="L187149" s="472"/>
      <c r="M187149" s="472"/>
    </row>
    <row r="187221" spans="12:13" x14ac:dyDescent="0.25">
      <c r="L187221" s="472"/>
      <c r="M187221" s="472"/>
    </row>
    <row r="187222" spans="12:13" x14ac:dyDescent="0.25">
      <c r="L187222" s="472"/>
      <c r="M187222" s="472"/>
    </row>
    <row r="187223" spans="12:13" x14ac:dyDescent="0.25">
      <c r="L187223" s="472"/>
      <c r="M187223" s="472"/>
    </row>
    <row r="187295" spans="12:13" x14ac:dyDescent="0.25">
      <c r="L187295" s="472"/>
      <c r="M187295" s="472"/>
    </row>
    <row r="187296" spans="12:13" x14ac:dyDescent="0.25">
      <c r="L187296" s="472"/>
      <c r="M187296" s="472"/>
    </row>
    <row r="187297" spans="12:13" x14ac:dyDescent="0.25">
      <c r="L187297" s="472"/>
      <c r="M187297" s="472"/>
    </row>
    <row r="187369" spans="12:13" x14ac:dyDescent="0.25">
      <c r="L187369" s="472"/>
      <c r="M187369" s="472"/>
    </row>
    <row r="187370" spans="12:13" x14ac:dyDescent="0.25">
      <c r="L187370" s="472"/>
      <c r="M187370" s="472"/>
    </row>
    <row r="187371" spans="12:13" x14ac:dyDescent="0.25">
      <c r="L187371" s="472"/>
      <c r="M187371" s="472"/>
    </row>
    <row r="187443" spans="12:13" x14ac:dyDescent="0.25">
      <c r="L187443" s="472"/>
      <c r="M187443" s="472"/>
    </row>
    <row r="187444" spans="12:13" x14ac:dyDescent="0.25">
      <c r="L187444" s="472"/>
      <c r="M187444" s="472"/>
    </row>
    <row r="187445" spans="12:13" x14ac:dyDescent="0.25">
      <c r="L187445" s="472"/>
      <c r="M187445" s="472"/>
    </row>
    <row r="187517" spans="12:13" x14ac:dyDescent="0.25">
      <c r="L187517" s="472"/>
      <c r="M187517" s="472"/>
    </row>
    <row r="187518" spans="12:13" x14ac:dyDescent="0.25">
      <c r="L187518" s="472"/>
      <c r="M187518" s="472"/>
    </row>
    <row r="187519" spans="12:13" x14ac:dyDescent="0.25">
      <c r="L187519" s="472"/>
      <c r="M187519" s="472"/>
    </row>
    <row r="187591" spans="12:13" x14ac:dyDescent="0.25">
      <c r="L187591" s="472"/>
      <c r="M187591" s="472"/>
    </row>
    <row r="187592" spans="12:13" x14ac:dyDescent="0.25">
      <c r="L187592" s="472"/>
      <c r="M187592" s="472"/>
    </row>
    <row r="187593" spans="12:13" x14ac:dyDescent="0.25">
      <c r="L187593" s="472"/>
      <c r="M187593" s="472"/>
    </row>
    <row r="187665" spans="12:13" x14ac:dyDescent="0.25">
      <c r="L187665" s="472"/>
      <c r="M187665" s="472"/>
    </row>
    <row r="187666" spans="12:13" x14ac:dyDescent="0.25">
      <c r="L187666" s="472"/>
      <c r="M187666" s="472"/>
    </row>
    <row r="187667" spans="12:13" x14ac:dyDescent="0.25">
      <c r="L187667" s="472"/>
      <c r="M187667" s="472"/>
    </row>
    <row r="187739" spans="12:13" x14ac:dyDescent="0.25">
      <c r="L187739" s="472"/>
      <c r="M187739" s="472"/>
    </row>
    <row r="187740" spans="12:13" x14ac:dyDescent="0.25">
      <c r="L187740" s="472"/>
      <c r="M187740" s="472"/>
    </row>
    <row r="187741" spans="12:13" x14ac:dyDescent="0.25">
      <c r="L187741" s="472"/>
      <c r="M187741" s="472"/>
    </row>
    <row r="187813" spans="12:13" x14ac:dyDescent="0.25">
      <c r="L187813" s="472"/>
      <c r="M187813" s="472"/>
    </row>
    <row r="187814" spans="12:13" x14ac:dyDescent="0.25">
      <c r="L187814" s="472"/>
      <c r="M187814" s="472"/>
    </row>
    <row r="187815" spans="12:13" x14ac:dyDescent="0.25">
      <c r="L187815" s="472"/>
      <c r="M187815" s="472"/>
    </row>
    <row r="187887" spans="12:13" x14ac:dyDescent="0.25">
      <c r="L187887" s="472"/>
      <c r="M187887" s="472"/>
    </row>
    <row r="187888" spans="12:13" x14ac:dyDescent="0.25">
      <c r="L187888" s="472"/>
      <c r="M187888" s="472"/>
    </row>
    <row r="187889" spans="12:13" x14ac:dyDescent="0.25">
      <c r="L187889" s="472"/>
      <c r="M187889" s="472"/>
    </row>
    <row r="187961" spans="12:13" x14ac:dyDescent="0.25">
      <c r="L187961" s="472"/>
      <c r="M187961" s="472"/>
    </row>
    <row r="187962" spans="12:13" x14ac:dyDescent="0.25">
      <c r="L187962" s="472"/>
      <c r="M187962" s="472"/>
    </row>
    <row r="187963" spans="12:13" x14ac:dyDescent="0.25">
      <c r="L187963" s="472"/>
      <c r="M187963" s="472"/>
    </row>
    <row r="188035" spans="12:13" x14ac:dyDescent="0.25">
      <c r="L188035" s="472"/>
      <c r="M188035" s="472"/>
    </row>
    <row r="188036" spans="12:13" x14ac:dyDescent="0.25">
      <c r="L188036" s="472"/>
      <c r="M188036" s="472"/>
    </row>
    <row r="188037" spans="12:13" x14ac:dyDescent="0.25">
      <c r="L188037" s="472"/>
      <c r="M188037" s="472"/>
    </row>
    <row r="188109" spans="12:13" x14ac:dyDescent="0.25">
      <c r="L188109" s="472"/>
      <c r="M188109" s="472"/>
    </row>
    <row r="188110" spans="12:13" x14ac:dyDescent="0.25">
      <c r="L188110" s="472"/>
      <c r="M188110" s="472"/>
    </row>
    <row r="188111" spans="12:13" x14ac:dyDescent="0.25">
      <c r="L188111" s="472"/>
      <c r="M188111" s="472"/>
    </row>
    <row r="188183" spans="12:13" x14ac:dyDescent="0.25">
      <c r="L188183" s="472"/>
      <c r="M188183" s="472"/>
    </row>
    <row r="188184" spans="12:13" x14ac:dyDescent="0.25">
      <c r="L188184" s="472"/>
      <c r="M188184" s="472"/>
    </row>
    <row r="188185" spans="12:13" x14ac:dyDescent="0.25">
      <c r="L188185" s="472"/>
      <c r="M188185" s="472"/>
    </row>
    <row r="188257" spans="12:13" x14ac:dyDescent="0.25">
      <c r="L188257" s="472"/>
      <c r="M188257" s="472"/>
    </row>
    <row r="188258" spans="12:13" x14ac:dyDescent="0.25">
      <c r="L188258" s="472"/>
      <c r="M188258" s="472"/>
    </row>
    <row r="188259" spans="12:13" x14ac:dyDescent="0.25">
      <c r="L188259" s="472"/>
      <c r="M188259" s="472"/>
    </row>
    <row r="188331" spans="12:13" x14ac:dyDescent="0.25">
      <c r="L188331" s="472"/>
      <c r="M188331" s="472"/>
    </row>
    <row r="188332" spans="12:13" x14ac:dyDescent="0.25">
      <c r="L188332" s="472"/>
      <c r="M188332" s="472"/>
    </row>
    <row r="188333" spans="12:13" x14ac:dyDescent="0.25">
      <c r="L188333" s="472"/>
      <c r="M188333" s="472"/>
    </row>
    <row r="188405" spans="12:13" x14ac:dyDescent="0.25">
      <c r="L188405" s="472"/>
      <c r="M188405" s="472"/>
    </row>
    <row r="188406" spans="12:13" x14ac:dyDescent="0.25">
      <c r="L188406" s="472"/>
      <c r="M188406" s="472"/>
    </row>
    <row r="188407" spans="12:13" x14ac:dyDescent="0.25">
      <c r="L188407" s="472"/>
      <c r="M188407" s="472"/>
    </row>
    <row r="188479" spans="12:13" x14ac:dyDescent="0.25">
      <c r="L188479" s="472"/>
      <c r="M188479" s="472"/>
    </row>
    <row r="188480" spans="12:13" x14ac:dyDescent="0.25">
      <c r="L188480" s="472"/>
      <c r="M188480" s="472"/>
    </row>
    <row r="188481" spans="12:13" x14ac:dyDescent="0.25">
      <c r="L188481" s="472"/>
      <c r="M188481" s="472"/>
    </row>
    <row r="188553" spans="12:13" x14ac:dyDescent="0.25">
      <c r="L188553" s="472"/>
      <c r="M188553" s="472"/>
    </row>
    <row r="188554" spans="12:13" x14ac:dyDescent="0.25">
      <c r="L188554" s="472"/>
      <c r="M188554" s="472"/>
    </row>
    <row r="188555" spans="12:13" x14ac:dyDescent="0.25">
      <c r="L188555" s="472"/>
      <c r="M188555" s="472"/>
    </row>
    <row r="188627" spans="12:13" x14ac:dyDescent="0.25">
      <c r="L188627" s="472"/>
      <c r="M188627" s="472"/>
    </row>
    <row r="188628" spans="12:13" x14ac:dyDescent="0.25">
      <c r="L188628" s="472"/>
      <c r="M188628" s="472"/>
    </row>
    <row r="188629" spans="12:13" x14ac:dyDescent="0.25">
      <c r="L188629" s="472"/>
      <c r="M188629" s="472"/>
    </row>
    <row r="188701" spans="12:13" x14ac:dyDescent="0.25">
      <c r="L188701" s="472"/>
      <c r="M188701" s="472"/>
    </row>
    <row r="188702" spans="12:13" x14ac:dyDescent="0.25">
      <c r="L188702" s="472"/>
      <c r="M188702" s="472"/>
    </row>
    <row r="188703" spans="12:13" x14ac:dyDescent="0.25">
      <c r="L188703" s="472"/>
      <c r="M188703" s="472"/>
    </row>
    <row r="188775" spans="12:13" x14ac:dyDescent="0.25">
      <c r="L188775" s="472"/>
      <c r="M188775" s="472"/>
    </row>
    <row r="188776" spans="12:13" x14ac:dyDescent="0.25">
      <c r="L188776" s="472"/>
      <c r="M188776" s="472"/>
    </row>
    <row r="188777" spans="12:13" x14ac:dyDescent="0.25">
      <c r="L188777" s="472"/>
      <c r="M188777" s="472"/>
    </row>
    <row r="188849" spans="12:13" x14ac:dyDescent="0.25">
      <c r="L188849" s="472"/>
      <c r="M188849" s="472"/>
    </row>
    <row r="188850" spans="12:13" x14ac:dyDescent="0.25">
      <c r="L188850" s="472"/>
      <c r="M188850" s="472"/>
    </row>
    <row r="188851" spans="12:13" x14ac:dyDescent="0.25">
      <c r="L188851" s="472"/>
      <c r="M188851" s="472"/>
    </row>
    <row r="188923" spans="12:13" x14ac:dyDescent="0.25">
      <c r="L188923" s="472"/>
      <c r="M188923" s="472"/>
    </row>
    <row r="188924" spans="12:13" x14ac:dyDescent="0.25">
      <c r="L188924" s="472"/>
      <c r="M188924" s="472"/>
    </row>
    <row r="188925" spans="12:13" x14ac:dyDescent="0.25">
      <c r="L188925" s="472"/>
      <c r="M188925" s="472"/>
    </row>
    <row r="188997" spans="12:13" x14ac:dyDescent="0.25">
      <c r="L188997" s="472"/>
      <c r="M188997" s="472"/>
    </row>
    <row r="188998" spans="12:13" x14ac:dyDescent="0.25">
      <c r="L188998" s="472"/>
      <c r="M188998" s="472"/>
    </row>
    <row r="188999" spans="12:13" x14ac:dyDescent="0.25">
      <c r="L188999" s="472"/>
      <c r="M188999" s="472"/>
    </row>
    <row r="189071" spans="12:13" x14ac:dyDescent="0.25">
      <c r="L189071" s="472"/>
      <c r="M189071" s="472"/>
    </row>
    <row r="189072" spans="12:13" x14ac:dyDescent="0.25">
      <c r="L189072" s="472"/>
      <c r="M189072" s="472"/>
    </row>
    <row r="189073" spans="12:13" x14ac:dyDescent="0.25">
      <c r="L189073" s="472"/>
      <c r="M189073" s="472"/>
    </row>
    <row r="189145" spans="12:13" x14ac:dyDescent="0.25">
      <c r="L189145" s="472"/>
      <c r="M189145" s="472"/>
    </row>
    <row r="189146" spans="12:13" x14ac:dyDescent="0.25">
      <c r="L189146" s="472"/>
      <c r="M189146" s="472"/>
    </row>
    <row r="189147" spans="12:13" x14ac:dyDescent="0.25">
      <c r="L189147" s="472"/>
      <c r="M189147" s="472"/>
    </row>
    <row r="189219" spans="12:13" x14ac:dyDescent="0.25">
      <c r="L189219" s="472"/>
      <c r="M189219" s="472"/>
    </row>
    <row r="189220" spans="12:13" x14ac:dyDescent="0.25">
      <c r="L189220" s="472"/>
      <c r="M189220" s="472"/>
    </row>
    <row r="189221" spans="12:13" x14ac:dyDescent="0.25">
      <c r="L189221" s="472"/>
      <c r="M189221" s="472"/>
    </row>
    <row r="189293" spans="12:13" x14ac:dyDescent="0.25">
      <c r="L189293" s="472"/>
      <c r="M189293" s="472"/>
    </row>
    <row r="189294" spans="12:13" x14ac:dyDescent="0.25">
      <c r="L189294" s="472"/>
      <c r="M189294" s="472"/>
    </row>
    <row r="189295" spans="12:13" x14ac:dyDescent="0.25">
      <c r="L189295" s="472"/>
      <c r="M189295" s="472"/>
    </row>
    <row r="189367" spans="12:13" x14ac:dyDescent="0.25">
      <c r="L189367" s="472"/>
      <c r="M189367" s="472"/>
    </row>
    <row r="189368" spans="12:13" x14ac:dyDescent="0.25">
      <c r="L189368" s="472"/>
      <c r="M189368" s="472"/>
    </row>
    <row r="189369" spans="12:13" x14ac:dyDescent="0.25">
      <c r="L189369" s="472"/>
      <c r="M189369" s="472"/>
    </row>
    <row r="189441" spans="12:13" x14ac:dyDescent="0.25">
      <c r="L189441" s="472"/>
      <c r="M189441" s="472"/>
    </row>
    <row r="189442" spans="12:13" x14ac:dyDescent="0.25">
      <c r="L189442" s="472"/>
      <c r="M189442" s="472"/>
    </row>
    <row r="189443" spans="12:13" x14ac:dyDescent="0.25">
      <c r="L189443" s="472"/>
      <c r="M189443" s="472"/>
    </row>
    <row r="189515" spans="12:13" x14ac:dyDescent="0.25">
      <c r="L189515" s="472"/>
      <c r="M189515" s="472"/>
    </row>
    <row r="189516" spans="12:13" x14ac:dyDescent="0.25">
      <c r="L189516" s="472"/>
      <c r="M189516" s="472"/>
    </row>
    <row r="189517" spans="12:13" x14ac:dyDescent="0.25">
      <c r="L189517" s="472"/>
      <c r="M189517" s="472"/>
    </row>
    <row r="189589" spans="12:13" x14ac:dyDescent="0.25">
      <c r="L189589" s="472"/>
      <c r="M189589" s="472"/>
    </row>
    <row r="189590" spans="12:13" x14ac:dyDescent="0.25">
      <c r="L189590" s="472"/>
      <c r="M189590" s="472"/>
    </row>
    <row r="189591" spans="12:13" x14ac:dyDescent="0.25">
      <c r="L189591" s="472"/>
      <c r="M189591" s="472"/>
    </row>
    <row r="189663" spans="12:13" x14ac:dyDescent="0.25">
      <c r="L189663" s="472"/>
      <c r="M189663" s="472"/>
    </row>
    <row r="189664" spans="12:13" x14ac:dyDescent="0.25">
      <c r="L189664" s="472"/>
      <c r="M189664" s="472"/>
    </row>
    <row r="189665" spans="12:13" x14ac:dyDescent="0.25">
      <c r="L189665" s="472"/>
      <c r="M189665" s="472"/>
    </row>
    <row r="189737" spans="12:13" x14ac:dyDescent="0.25">
      <c r="L189737" s="472"/>
      <c r="M189737" s="472"/>
    </row>
    <row r="189738" spans="12:13" x14ac:dyDescent="0.25">
      <c r="L189738" s="472"/>
      <c r="M189738" s="472"/>
    </row>
    <row r="189739" spans="12:13" x14ac:dyDescent="0.25">
      <c r="L189739" s="472"/>
      <c r="M189739" s="472"/>
    </row>
    <row r="189811" spans="12:13" x14ac:dyDescent="0.25">
      <c r="L189811" s="472"/>
      <c r="M189811" s="472"/>
    </row>
    <row r="189812" spans="12:13" x14ac:dyDescent="0.25">
      <c r="L189812" s="472"/>
      <c r="M189812" s="472"/>
    </row>
    <row r="189813" spans="12:13" x14ac:dyDescent="0.25">
      <c r="L189813" s="472"/>
      <c r="M189813" s="472"/>
    </row>
    <row r="189885" spans="12:13" x14ac:dyDescent="0.25">
      <c r="L189885" s="472"/>
      <c r="M189885" s="472"/>
    </row>
    <row r="189886" spans="12:13" x14ac:dyDescent="0.25">
      <c r="L189886" s="472"/>
      <c r="M189886" s="472"/>
    </row>
    <row r="189887" spans="12:13" x14ac:dyDescent="0.25">
      <c r="L189887" s="472"/>
      <c r="M189887" s="472"/>
    </row>
    <row r="189959" spans="12:13" x14ac:dyDescent="0.25">
      <c r="L189959" s="472"/>
      <c r="M189959" s="472"/>
    </row>
    <row r="189960" spans="12:13" x14ac:dyDescent="0.25">
      <c r="L189960" s="472"/>
      <c r="M189960" s="472"/>
    </row>
    <row r="189961" spans="12:13" x14ac:dyDescent="0.25">
      <c r="L189961" s="472"/>
      <c r="M189961" s="472"/>
    </row>
    <row r="190033" spans="12:13" x14ac:dyDescent="0.25">
      <c r="L190033" s="472"/>
      <c r="M190033" s="472"/>
    </row>
    <row r="190034" spans="12:13" x14ac:dyDescent="0.25">
      <c r="L190034" s="472"/>
      <c r="M190034" s="472"/>
    </row>
    <row r="190035" spans="12:13" x14ac:dyDescent="0.25">
      <c r="L190035" s="472"/>
      <c r="M190035" s="472"/>
    </row>
    <row r="190107" spans="12:13" x14ac:dyDescent="0.25">
      <c r="L190107" s="472"/>
      <c r="M190107" s="472"/>
    </row>
    <row r="190108" spans="12:13" x14ac:dyDescent="0.25">
      <c r="L190108" s="472"/>
      <c r="M190108" s="472"/>
    </row>
    <row r="190109" spans="12:13" x14ac:dyDescent="0.25">
      <c r="L190109" s="472"/>
      <c r="M190109" s="472"/>
    </row>
    <row r="190181" spans="12:13" x14ac:dyDescent="0.25">
      <c r="L190181" s="472"/>
      <c r="M190181" s="472"/>
    </row>
    <row r="190182" spans="12:13" x14ac:dyDescent="0.25">
      <c r="L190182" s="472"/>
      <c r="M190182" s="472"/>
    </row>
    <row r="190183" spans="12:13" x14ac:dyDescent="0.25">
      <c r="L190183" s="472"/>
      <c r="M190183" s="472"/>
    </row>
    <row r="190255" spans="12:13" x14ac:dyDescent="0.25">
      <c r="L190255" s="472"/>
      <c r="M190255" s="472"/>
    </row>
    <row r="190256" spans="12:13" x14ac:dyDescent="0.25">
      <c r="L190256" s="472"/>
      <c r="M190256" s="472"/>
    </row>
    <row r="190257" spans="12:13" x14ac:dyDescent="0.25">
      <c r="L190257" s="472"/>
      <c r="M190257" s="472"/>
    </row>
    <row r="190329" spans="12:13" x14ac:dyDescent="0.25">
      <c r="L190329" s="472"/>
      <c r="M190329" s="472"/>
    </row>
    <row r="190330" spans="12:13" x14ac:dyDescent="0.25">
      <c r="L190330" s="472"/>
      <c r="M190330" s="472"/>
    </row>
    <row r="190331" spans="12:13" x14ac:dyDescent="0.25">
      <c r="L190331" s="472"/>
      <c r="M190331" s="472"/>
    </row>
    <row r="190403" spans="12:13" x14ac:dyDescent="0.25">
      <c r="L190403" s="472"/>
      <c r="M190403" s="472"/>
    </row>
    <row r="190404" spans="12:13" x14ac:dyDescent="0.25">
      <c r="L190404" s="472"/>
      <c r="M190404" s="472"/>
    </row>
    <row r="190405" spans="12:13" x14ac:dyDescent="0.25">
      <c r="L190405" s="472"/>
      <c r="M190405" s="472"/>
    </row>
    <row r="190477" spans="12:13" x14ac:dyDescent="0.25">
      <c r="L190477" s="472"/>
      <c r="M190477" s="472"/>
    </row>
    <row r="190478" spans="12:13" x14ac:dyDescent="0.25">
      <c r="L190478" s="472"/>
      <c r="M190478" s="472"/>
    </row>
    <row r="190479" spans="12:13" x14ac:dyDescent="0.25">
      <c r="L190479" s="472"/>
      <c r="M190479" s="472"/>
    </row>
    <row r="190551" spans="12:13" x14ac:dyDescent="0.25">
      <c r="L190551" s="472"/>
      <c r="M190551" s="472"/>
    </row>
    <row r="190552" spans="12:13" x14ac:dyDescent="0.25">
      <c r="L190552" s="472"/>
      <c r="M190552" s="472"/>
    </row>
    <row r="190553" spans="12:13" x14ac:dyDescent="0.25">
      <c r="L190553" s="472"/>
      <c r="M190553" s="472"/>
    </row>
    <row r="190625" spans="12:13" x14ac:dyDescent="0.25">
      <c r="L190625" s="472"/>
      <c r="M190625" s="472"/>
    </row>
    <row r="190626" spans="12:13" x14ac:dyDescent="0.25">
      <c r="L190626" s="472"/>
      <c r="M190626" s="472"/>
    </row>
    <row r="190627" spans="12:13" x14ac:dyDescent="0.25">
      <c r="L190627" s="472"/>
      <c r="M190627" s="472"/>
    </row>
    <row r="190699" spans="12:13" x14ac:dyDescent="0.25">
      <c r="L190699" s="472"/>
      <c r="M190699" s="472"/>
    </row>
    <row r="190700" spans="12:13" x14ac:dyDescent="0.25">
      <c r="L190700" s="472"/>
      <c r="M190700" s="472"/>
    </row>
    <row r="190701" spans="12:13" x14ac:dyDescent="0.25">
      <c r="L190701" s="472"/>
      <c r="M190701" s="472"/>
    </row>
    <row r="190773" spans="12:13" x14ac:dyDescent="0.25">
      <c r="L190773" s="472"/>
      <c r="M190773" s="472"/>
    </row>
    <row r="190774" spans="12:13" x14ac:dyDescent="0.25">
      <c r="L190774" s="472"/>
      <c r="M190774" s="472"/>
    </row>
    <row r="190775" spans="12:13" x14ac:dyDescent="0.25">
      <c r="L190775" s="472"/>
      <c r="M190775" s="472"/>
    </row>
    <row r="190847" spans="12:13" x14ac:dyDescent="0.25">
      <c r="L190847" s="472"/>
      <c r="M190847" s="472"/>
    </row>
    <row r="190848" spans="12:13" x14ac:dyDescent="0.25">
      <c r="L190848" s="472"/>
      <c r="M190848" s="472"/>
    </row>
    <row r="190849" spans="12:13" x14ac:dyDescent="0.25">
      <c r="L190849" s="472"/>
      <c r="M190849" s="472"/>
    </row>
    <row r="190921" spans="12:13" x14ac:dyDescent="0.25">
      <c r="L190921" s="472"/>
      <c r="M190921" s="472"/>
    </row>
    <row r="190922" spans="12:13" x14ac:dyDescent="0.25">
      <c r="L190922" s="472"/>
      <c r="M190922" s="472"/>
    </row>
    <row r="190923" spans="12:13" x14ac:dyDescent="0.25">
      <c r="L190923" s="472"/>
      <c r="M190923" s="472"/>
    </row>
    <row r="190995" spans="12:13" x14ac:dyDescent="0.25">
      <c r="L190995" s="472"/>
      <c r="M190995" s="472"/>
    </row>
    <row r="190996" spans="12:13" x14ac:dyDescent="0.25">
      <c r="L190996" s="472"/>
      <c r="M190996" s="472"/>
    </row>
    <row r="190997" spans="12:13" x14ac:dyDescent="0.25">
      <c r="L190997" s="472"/>
      <c r="M190997" s="472"/>
    </row>
    <row r="191069" spans="12:13" x14ac:dyDescent="0.25">
      <c r="L191069" s="472"/>
      <c r="M191069" s="472"/>
    </row>
    <row r="191070" spans="12:13" x14ac:dyDescent="0.25">
      <c r="L191070" s="472"/>
      <c r="M191070" s="472"/>
    </row>
    <row r="191071" spans="12:13" x14ac:dyDescent="0.25">
      <c r="L191071" s="472"/>
      <c r="M191071" s="472"/>
    </row>
    <row r="191143" spans="12:13" x14ac:dyDescent="0.25">
      <c r="L191143" s="472"/>
      <c r="M191143" s="472"/>
    </row>
    <row r="191144" spans="12:13" x14ac:dyDescent="0.25">
      <c r="L191144" s="472"/>
      <c r="M191144" s="472"/>
    </row>
    <row r="191145" spans="12:13" x14ac:dyDescent="0.25">
      <c r="L191145" s="472"/>
      <c r="M191145" s="472"/>
    </row>
    <row r="191217" spans="12:13" x14ac:dyDescent="0.25">
      <c r="L191217" s="472"/>
      <c r="M191217" s="472"/>
    </row>
    <row r="191218" spans="12:13" x14ac:dyDescent="0.25">
      <c r="L191218" s="472"/>
      <c r="M191218" s="472"/>
    </row>
    <row r="191219" spans="12:13" x14ac:dyDescent="0.25">
      <c r="L191219" s="472"/>
      <c r="M191219" s="472"/>
    </row>
    <row r="191291" spans="12:13" x14ac:dyDescent="0.25">
      <c r="L191291" s="472"/>
      <c r="M191291" s="472"/>
    </row>
    <row r="191292" spans="12:13" x14ac:dyDescent="0.25">
      <c r="L191292" s="472"/>
      <c r="M191292" s="472"/>
    </row>
    <row r="191293" spans="12:13" x14ac:dyDescent="0.25">
      <c r="L191293" s="472"/>
      <c r="M191293" s="472"/>
    </row>
    <row r="191365" spans="12:13" x14ac:dyDescent="0.25">
      <c r="L191365" s="472"/>
      <c r="M191365" s="472"/>
    </row>
    <row r="191366" spans="12:13" x14ac:dyDescent="0.25">
      <c r="L191366" s="472"/>
      <c r="M191366" s="472"/>
    </row>
    <row r="191367" spans="12:13" x14ac:dyDescent="0.25">
      <c r="L191367" s="472"/>
      <c r="M191367" s="472"/>
    </row>
    <row r="191439" spans="12:13" x14ac:dyDescent="0.25">
      <c r="L191439" s="472"/>
      <c r="M191439" s="472"/>
    </row>
    <row r="191440" spans="12:13" x14ac:dyDescent="0.25">
      <c r="L191440" s="472"/>
      <c r="M191440" s="472"/>
    </row>
    <row r="191441" spans="12:13" x14ac:dyDescent="0.25">
      <c r="L191441" s="472"/>
      <c r="M191441" s="472"/>
    </row>
    <row r="191513" spans="12:13" x14ac:dyDescent="0.25">
      <c r="L191513" s="472"/>
      <c r="M191513" s="472"/>
    </row>
    <row r="191514" spans="12:13" x14ac:dyDescent="0.25">
      <c r="L191514" s="472"/>
      <c r="M191514" s="472"/>
    </row>
    <row r="191515" spans="12:13" x14ac:dyDescent="0.25">
      <c r="L191515" s="472"/>
      <c r="M191515" s="472"/>
    </row>
    <row r="191587" spans="12:13" x14ac:dyDescent="0.25">
      <c r="L191587" s="472"/>
      <c r="M191587" s="472"/>
    </row>
    <row r="191588" spans="12:13" x14ac:dyDescent="0.25">
      <c r="L191588" s="472"/>
      <c r="M191588" s="472"/>
    </row>
    <row r="191589" spans="12:13" x14ac:dyDescent="0.25">
      <c r="L191589" s="472"/>
      <c r="M191589" s="472"/>
    </row>
    <row r="191661" spans="12:13" x14ac:dyDescent="0.25">
      <c r="L191661" s="472"/>
      <c r="M191661" s="472"/>
    </row>
    <row r="191662" spans="12:13" x14ac:dyDescent="0.25">
      <c r="L191662" s="472"/>
      <c r="M191662" s="472"/>
    </row>
    <row r="191663" spans="12:13" x14ac:dyDescent="0.25">
      <c r="L191663" s="472"/>
      <c r="M191663" s="472"/>
    </row>
    <row r="191735" spans="12:13" x14ac:dyDescent="0.25">
      <c r="L191735" s="472"/>
      <c r="M191735" s="472"/>
    </row>
    <row r="191736" spans="12:13" x14ac:dyDescent="0.25">
      <c r="L191736" s="472"/>
      <c r="M191736" s="472"/>
    </row>
    <row r="191737" spans="12:13" x14ac:dyDescent="0.25">
      <c r="L191737" s="472"/>
      <c r="M191737" s="472"/>
    </row>
    <row r="191809" spans="12:13" x14ac:dyDescent="0.25">
      <c r="L191809" s="472"/>
      <c r="M191809" s="472"/>
    </row>
    <row r="191810" spans="12:13" x14ac:dyDescent="0.25">
      <c r="L191810" s="472"/>
      <c r="M191810" s="472"/>
    </row>
    <row r="191811" spans="12:13" x14ac:dyDescent="0.25">
      <c r="L191811" s="472"/>
      <c r="M191811" s="472"/>
    </row>
    <row r="191883" spans="12:13" x14ac:dyDescent="0.25">
      <c r="L191883" s="472"/>
      <c r="M191883" s="472"/>
    </row>
    <row r="191884" spans="12:13" x14ac:dyDescent="0.25">
      <c r="L191884" s="472"/>
      <c r="M191884" s="472"/>
    </row>
    <row r="191885" spans="12:13" x14ac:dyDescent="0.25">
      <c r="L191885" s="472"/>
      <c r="M191885" s="472"/>
    </row>
    <row r="191957" spans="12:13" x14ac:dyDescent="0.25">
      <c r="L191957" s="472"/>
      <c r="M191957" s="472"/>
    </row>
    <row r="191958" spans="12:13" x14ac:dyDescent="0.25">
      <c r="L191958" s="472"/>
      <c r="M191958" s="472"/>
    </row>
    <row r="191959" spans="12:13" x14ac:dyDescent="0.25">
      <c r="L191959" s="472"/>
      <c r="M191959" s="472"/>
    </row>
    <row r="192031" spans="12:13" x14ac:dyDescent="0.25">
      <c r="L192031" s="472"/>
      <c r="M192031" s="472"/>
    </row>
    <row r="192032" spans="12:13" x14ac:dyDescent="0.25">
      <c r="L192032" s="472"/>
      <c r="M192032" s="472"/>
    </row>
    <row r="192033" spans="12:13" x14ac:dyDescent="0.25">
      <c r="L192033" s="472"/>
      <c r="M192033" s="472"/>
    </row>
    <row r="192105" spans="12:13" x14ac:dyDescent="0.25">
      <c r="L192105" s="472"/>
      <c r="M192105" s="472"/>
    </row>
    <row r="192106" spans="12:13" x14ac:dyDescent="0.25">
      <c r="L192106" s="472"/>
      <c r="M192106" s="472"/>
    </row>
    <row r="192107" spans="12:13" x14ac:dyDescent="0.25">
      <c r="L192107" s="472"/>
      <c r="M192107" s="472"/>
    </row>
    <row r="192179" spans="12:13" x14ac:dyDescent="0.25">
      <c r="L192179" s="472"/>
      <c r="M192179" s="472"/>
    </row>
    <row r="192180" spans="12:13" x14ac:dyDescent="0.25">
      <c r="L192180" s="472"/>
      <c r="M192180" s="472"/>
    </row>
    <row r="192181" spans="12:13" x14ac:dyDescent="0.25">
      <c r="L192181" s="472"/>
      <c r="M192181" s="472"/>
    </row>
    <row r="192253" spans="12:13" x14ac:dyDescent="0.25">
      <c r="L192253" s="472"/>
      <c r="M192253" s="472"/>
    </row>
    <row r="192254" spans="12:13" x14ac:dyDescent="0.25">
      <c r="L192254" s="472"/>
      <c r="M192254" s="472"/>
    </row>
    <row r="192255" spans="12:13" x14ac:dyDescent="0.25">
      <c r="L192255" s="472"/>
      <c r="M192255" s="472"/>
    </row>
    <row r="192327" spans="12:13" x14ac:dyDescent="0.25">
      <c r="L192327" s="472"/>
      <c r="M192327" s="472"/>
    </row>
    <row r="192328" spans="12:13" x14ac:dyDescent="0.25">
      <c r="L192328" s="472"/>
      <c r="M192328" s="472"/>
    </row>
    <row r="192329" spans="12:13" x14ac:dyDescent="0.25">
      <c r="L192329" s="472"/>
      <c r="M192329" s="472"/>
    </row>
    <row r="192401" spans="12:13" x14ac:dyDescent="0.25">
      <c r="L192401" s="472"/>
      <c r="M192401" s="472"/>
    </row>
    <row r="192402" spans="12:13" x14ac:dyDescent="0.25">
      <c r="L192402" s="472"/>
      <c r="M192402" s="472"/>
    </row>
    <row r="192403" spans="12:13" x14ac:dyDescent="0.25">
      <c r="L192403" s="472"/>
      <c r="M192403" s="472"/>
    </row>
    <row r="192475" spans="12:13" x14ac:dyDescent="0.25">
      <c r="L192475" s="472"/>
      <c r="M192475" s="472"/>
    </row>
    <row r="192476" spans="12:13" x14ac:dyDescent="0.25">
      <c r="L192476" s="472"/>
      <c r="M192476" s="472"/>
    </row>
    <row r="192477" spans="12:13" x14ac:dyDescent="0.25">
      <c r="L192477" s="472"/>
      <c r="M192477" s="472"/>
    </row>
    <row r="192549" spans="12:13" x14ac:dyDescent="0.25">
      <c r="L192549" s="472"/>
      <c r="M192549" s="472"/>
    </row>
    <row r="192550" spans="12:13" x14ac:dyDescent="0.25">
      <c r="L192550" s="472"/>
      <c r="M192550" s="472"/>
    </row>
    <row r="192551" spans="12:13" x14ac:dyDescent="0.25">
      <c r="L192551" s="472"/>
      <c r="M192551" s="472"/>
    </row>
    <row r="192623" spans="12:13" x14ac:dyDescent="0.25">
      <c r="L192623" s="472"/>
      <c r="M192623" s="472"/>
    </row>
    <row r="192624" spans="12:13" x14ac:dyDescent="0.25">
      <c r="L192624" s="472"/>
      <c r="M192624" s="472"/>
    </row>
    <row r="192625" spans="12:13" x14ac:dyDescent="0.25">
      <c r="L192625" s="472"/>
      <c r="M192625" s="472"/>
    </row>
    <row r="192697" spans="12:13" x14ac:dyDescent="0.25">
      <c r="L192697" s="472"/>
      <c r="M192697" s="472"/>
    </row>
    <row r="192698" spans="12:13" x14ac:dyDescent="0.25">
      <c r="L192698" s="472"/>
      <c r="M192698" s="472"/>
    </row>
    <row r="192699" spans="12:13" x14ac:dyDescent="0.25">
      <c r="L192699" s="472"/>
      <c r="M192699" s="472"/>
    </row>
    <row r="192771" spans="12:13" x14ac:dyDescent="0.25">
      <c r="L192771" s="472"/>
      <c r="M192771" s="472"/>
    </row>
    <row r="192772" spans="12:13" x14ac:dyDescent="0.25">
      <c r="L192772" s="472"/>
      <c r="M192772" s="472"/>
    </row>
    <row r="192773" spans="12:13" x14ac:dyDescent="0.25">
      <c r="L192773" s="472"/>
      <c r="M192773" s="472"/>
    </row>
    <row r="192845" spans="12:13" x14ac:dyDescent="0.25">
      <c r="L192845" s="472"/>
      <c r="M192845" s="472"/>
    </row>
    <row r="192846" spans="12:13" x14ac:dyDescent="0.25">
      <c r="L192846" s="472"/>
      <c r="M192846" s="472"/>
    </row>
    <row r="192847" spans="12:13" x14ac:dyDescent="0.25">
      <c r="L192847" s="472"/>
      <c r="M192847" s="472"/>
    </row>
    <row r="192919" spans="12:13" x14ac:dyDescent="0.25">
      <c r="L192919" s="472"/>
      <c r="M192919" s="472"/>
    </row>
    <row r="192920" spans="12:13" x14ac:dyDescent="0.25">
      <c r="L192920" s="472"/>
      <c r="M192920" s="472"/>
    </row>
    <row r="192921" spans="12:13" x14ac:dyDescent="0.25">
      <c r="L192921" s="472"/>
      <c r="M192921" s="472"/>
    </row>
    <row r="192993" spans="12:13" x14ac:dyDescent="0.25">
      <c r="L192993" s="472"/>
      <c r="M192993" s="472"/>
    </row>
    <row r="192994" spans="12:13" x14ac:dyDescent="0.25">
      <c r="L192994" s="472"/>
      <c r="M192994" s="472"/>
    </row>
    <row r="192995" spans="12:13" x14ac:dyDescent="0.25">
      <c r="L192995" s="472"/>
      <c r="M192995" s="472"/>
    </row>
    <row r="193067" spans="12:13" x14ac:dyDescent="0.25">
      <c r="L193067" s="472"/>
      <c r="M193067" s="472"/>
    </row>
    <row r="193068" spans="12:13" x14ac:dyDescent="0.25">
      <c r="L193068" s="472"/>
      <c r="M193068" s="472"/>
    </row>
    <row r="193069" spans="12:13" x14ac:dyDescent="0.25">
      <c r="L193069" s="472"/>
      <c r="M193069" s="472"/>
    </row>
    <row r="193141" spans="12:13" x14ac:dyDescent="0.25">
      <c r="L193141" s="472"/>
      <c r="M193141" s="472"/>
    </row>
    <row r="193142" spans="12:13" x14ac:dyDescent="0.25">
      <c r="L193142" s="472"/>
      <c r="M193142" s="472"/>
    </row>
    <row r="193143" spans="12:13" x14ac:dyDescent="0.25">
      <c r="L193143" s="472"/>
      <c r="M193143" s="472"/>
    </row>
    <row r="193215" spans="12:13" x14ac:dyDescent="0.25">
      <c r="L193215" s="472"/>
      <c r="M193215" s="472"/>
    </row>
    <row r="193216" spans="12:13" x14ac:dyDescent="0.25">
      <c r="L193216" s="472"/>
      <c r="M193216" s="472"/>
    </row>
    <row r="193217" spans="12:13" x14ac:dyDescent="0.25">
      <c r="L193217" s="472"/>
      <c r="M193217" s="472"/>
    </row>
    <row r="193289" spans="12:13" x14ac:dyDescent="0.25">
      <c r="L193289" s="472"/>
      <c r="M193289" s="472"/>
    </row>
    <row r="193290" spans="12:13" x14ac:dyDescent="0.25">
      <c r="L193290" s="472"/>
      <c r="M193290" s="472"/>
    </row>
    <row r="193291" spans="12:13" x14ac:dyDescent="0.25">
      <c r="L193291" s="472"/>
      <c r="M193291" s="472"/>
    </row>
    <row r="193363" spans="12:13" x14ac:dyDescent="0.25">
      <c r="L193363" s="472"/>
      <c r="M193363" s="472"/>
    </row>
    <row r="193364" spans="12:13" x14ac:dyDescent="0.25">
      <c r="L193364" s="472"/>
      <c r="M193364" s="472"/>
    </row>
    <row r="193365" spans="12:13" x14ac:dyDescent="0.25">
      <c r="L193365" s="472"/>
      <c r="M193365" s="472"/>
    </row>
    <row r="193437" spans="12:13" x14ac:dyDescent="0.25">
      <c r="L193437" s="472"/>
      <c r="M193437" s="472"/>
    </row>
    <row r="193438" spans="12:13" x14ac:dyDescent="0.25">
      <c r="L193438" s="472"/>
      <c r="M193438" s="472"/>
    </row>
    <row r="193439" spans="12:13" x14ac:dyDescent="0.25">
      <c r="L193439" s="472"/>
      <c r="M193439" s="472"/>
    </row>
    <row r="193511" spans="12:13" x14ac:dyDescent="0.25">
      <c r="L193511" s="472"/>
      <c r="M193511" s="472"/>
    </row>
    <row r="193512" spans="12:13" x14ac:dyDescent="0.25">
      <c r="L193512" s="472"/>
      <c r="M193512" s="472"/>
    </row>
    <row r="193513" spans="12:13" x14ac:dyDescent="0.25">
      <c r="L193513" s="472"/>
      <c r="M193513" s="472"/>
    </row>
    <row r="193585" spans="12:13" x14ac:dyDescent="0.25">
      <c r="L193585" s="472"/>
      <c r="M193585" s="472"/>
    </row>
    <row r="193586" spans="12:13" x14ac:dyDescent="0.25">
      <c r="L193586" s="472"/>
      <c r="M193586" s="472"/>
    </row>
    <row r="193587" spans="12:13" x14ac:dyDescent="0.25">
      <c r="L193587" s="472"/>
      <c r="M193587" s="472"/>
    </row>
    <row r="193659" spans="12:13" x14ac:dyDescent="0.25">
      <c r="L193659" s="472"/>
      <c r="M193659" s="472"/>
    </row>
    <row r="193660" spans="12:13" x14ac:dyDescent="0.25">
      <c r="L193660" s="472"/>
      <c r="M193660" s="472"/>
    </row>
    <row r="193661" spans="12:13" x14ac:dyDescent="0.25">
      <c r="L193661" s="472"/>
      <c r="M193661" s="472"/>
    </row>
    <row r="193733" spans="12:13" x14ac:dyDescent="0.25">
      <c r="L193733" s="472"/>
      <c r="M193733" s="472"/>
    </row>
    <row r="193734" spans="12:13" x14ac:dyDescent="0.25">
      <c r="L193734" s="472"/>
      <c r="M193734" s="472"/>
    </row>
    <row r="193735" spans="12:13" x14ac:dyDescent="0.25">
      <c r="L193735" s="472"/>
      <c r="M193735" s="472"/>
    </row>
    <row r="193807" spans="12:13" x14ac:dyDescent="0.25">
      <c r="L193807" s="472"/>
      <c r="M193807" s="472"/>
    </row>
    <row r="193808" spans="12:13" x14ac:dyDescent="0.25">
      <c r="L193808" s="472"/>
      <c r="M193808" s="472"/>
    </row>
    <row r="193809" spans="12:13" x14ac:dyDescent="0.25">
      <c r="L193809" s="472"/>
      <c r="M193809" s="472"/>
    </row>
    <row r="193881" spans="12:13" x14ac:dyDescent="0.25">
      <c r="L193881" s="472"/>
      <c r="M193881" s="472"/>
    </row>
    <row r="193882" spans="12:13" x14ac:dyDescent="0.25">
      <c r="L193882" s="472"/>
      <c r="M193882" s="472"/>
    </row>
    <row r="193883" spans="12:13" x14ac:dyDescent="0.25">
      <c r="L193883" s="472"/>
      <c r="M193883" s="472"/>
    </row>
    <row r="193955" spans="12:13" x14ac:dyDescent="0.25">
      <c r="L193955" s="472"/>
      <c r="M193955" s="472"/>
    </row>
    <row r="193956" spans="12:13" x14ac:dyDescent="0.25">
      <c r="L193956" s="472"/>
      <c r="M193956" s="472"/>
    </row>
    <row r="193957" spans="12:13" x14ac:dyDescent="0.25">
      <c r="L193957" s="472"/>
      <c r="M193957" s="472"/>
    </row>
    <row r="194029" spans="12:13" x14ac:dyDescent="0.25">
      <c r="L194029" s="472"/>
      <c r="M194029" s="472"/>
    </row>
    <row r="194030" spans="12:13" x14ac:dyDescent="0.25">
      <c r="L194030" s="472"/>
      <c r="M194030" s="472"/>
    </row>
    <row r="194031" spans="12:13" x14ac:dyDescent="0.25">
      <c r="L194031" s="472"/>
      <c r="M194031" s="472"/>
    </row>
    <row r="194103" spans="12:13" x14ac:dyDescent="0.25">
      <c r="L194103" s="472"/>
      <c r="M194103" s="472"/>
    </row>
    <row r="194104" spans="12:13" x14ac:dyDescent="0.25">
      <c r="L194104" s="472"/>
      <c r="M194104" s="472"/>
    </row>
    <row r="194105" spans="12:13" x14ac:dyDescent="0.25">
      <c r="L194105" s="472"/>
      <c r="M194105" s="472"/>
    </row>
    <row r="194177" spans="12:13" x14ac:dyDescent="0.25">
      <c r="L194177" s="472"/>
      <c r="M194177" s="472"/>
    </row>
    <row r="194178" spans="12:13" x14ac:dyDescent="0.25">
      <c r="L194178" s="472"/>
      <c r="M194178" s="472"/>
    </row>
    <row r="194179" spans="12:13" x14ac:dyDescent="0.25">
      <c r="L194179" s="472"/>
      <c r="M194179" s="472"/>
    </row>
    <row r="194251" spans="12:13" x14ac:dyDescent="0.25">
      <c r="L194251" s="472"/>
      <c r="M194251" s="472"/>
    </row>
    <row r="194252" spans="12:13" x14ac:dyDescent="0.25">
      <c r="L194252" s="472"/>
      <c r="M194252" s="472"/>
    </row>
    <row r="194253" spans="12:13" x14ac:dyDescent="0.25">
      <c r="L194253" s="472"/>
      <c r="M194253" s="472"/>
    </row>
    <row r="194325" spans="12:13" x14ac:dyDescent="0.25">
      <c r="L194325" s="472"/>
      <c r="M194325" s="472"/>
    </row>
    <row r="194326" spans="12:13" x14ac:dyDescent="0.25">
      <c r="L194326" s="472"/>
      <c r="M194326" s="472"/>
    </row>
    <row r="194327" spans="12:13" x14ac:dyDescent="0.25">
      <c r="L194327" s="472"/>
      <c r="M194327" s="472"/>
    </row>
    <row r="194399" spans="12:13" x14ac:dyDescent="0.25">
      <c r="L194399" s="472"/>
      <c r="M194399" s="472"/>
    </row>
    <row r="194400" spans="12:13" x14ac:dyDescent="0.25">
      <c r="L194400" s="472"/>
      <c r="M194400" s="472"/>
    </row>
    <row r="194401" spans="12:13" x14ac:dyDescent="0.25">
      <c r="L194401" s="472"/>
      <c r="M194401" s="472"/>
    </row>
    <row r="194473" spans="12:13" x14ac:dyDescent="0.25">
      <c r="L194473" s="472"/>
      <c r="M194473" s="472"/>
    </row>
    <row r="194474" spans="12:13" x14ac:dyDescent="0.25">
      <c r="L194474" s="472"/>
      <c r="M194474" s="472"/>
    </row>
    <row r="194475" spans="12:13" x14ac:dyDescent="0.25">
      <c r="L194475" s="472"/>
      <c r="M194475" s="472"/>
    </row>
    <row r="194547" spans="12:13" x14ac:dyDescent="0.25">
      <c r="L194547" s="472"/>
      <c r="M194547" s="472"/>
    </row>
    <row r="194548" spans="12:13" x14ac:dyDescent="0.25">
      <c r="L194548" s="472"/>
      <c r="M194548" s="472"/>
    </row>
    <row r="194549" spans="12:13" x14ac:dyDescent="0.25">
      <c r="L194549" s="472"/>
      <c r="M194549" s="472"/>
    </row>
    <row r="194621" spans="12:13" x14ac:dyDescent="0.25">
      <c r="L194621" s="472"/>
      <c r="M194621" s="472"/>
    </row>
    <row r="194622" spans="12:13" x14ac:dyDescent="0.25">
      <c r="L194622" s="472"/>
      <c r="M194622" s="472"/>
    </row>
    <row r="194623" spans="12:13" x14ac:dyDescent="0.25">
      <c r="L194623" s="472"/>
      <c r="M194623" s="472"/>
    </row>
    <row r="194695" spans="12:13" x14ac:dyDescent="0.25">
      <c r="L194695" s="472"/>
      <c r="M194695" s="472"/>
    </row>
    <row r="194696" spans="12:13" x14ac:dyDescent="0.25">
      <c r="L194696" s="472"/>
      <c r="M194696" s="472"/>
    </row>
    <row r="194697" spans="12:13" x14ac:dyDescent="0.25">
      <c r="L194697" s="472"/>
      <c r="M194697" s="472"/>
    </row>
    <row r="194769" spans="12:13" x14ac:dyDescent="0.25">
      <c r="L194769" s="472"/>
      <c r="M194769" s="472"/>
    </row>
    <row r="194770" spans="12:13" x14ac:dyDescent="0.25">
      <c r="L194770" s="472"/>
      <c r="M194770" s="472"/>
    </row>
    <row r="194771" spans="12:13" x14ac:dyDescent="0.25">
      <c r="L194771" s="472"/>
      <c r="M194771" s="472"/>
    </row>
    <row r="194843" spans="12:13" x14ac:dyDescent="0.25">
      <c r="L194843" s="472"/>
      <c r="M194843" s="472"/>
    </row>
    <row r="194844" spans="12:13" x14ac:dyDescent="0.25">
      <c r="L194844" s="472"/>
      <c r="M194844" s="472"/>
    </row>
    <row r="194845" spans="12:13" x14ac:dyDescent="0.25">
      <c r="L194845" s="472"/>
      <c r="M194845" s="472"/>
    </row>
    <row r="194917" spans="12:13" x14ac:dyDescent="0.25">
      <c r="L194917" s="472"/>
      <c r="M194917" s="472"/>
    </row>
    <row r="194918" spans="12:13" x14ac:dyDescent="0.25">
      <c r="L194918" s="472"/>
      <c r="M194918" s="472"/>
    </row>
    <row r="194919" spans="12:13" x14ac:dyDescent="0.25">
      <c r="L194919" s="472"/>
      <c r="M194919" s="472"/>
    </row>
    <row r="194991" spans="12:13" x14ac:dyDescent="0.25">
      <c r="L194991" s="472"/>
      <c r="M194991" s="472"/>
    </row>
    <row r="194992" spans="12:13" x14ac:dyDescent="0.25">
      <c r="L194992" s="472"/>
      <c r="M194992" s="472"/>
    </row>
    <row r="194993" spans="12:13" x14ac:dyDescent="0.25">
      <c r="L194993" s="472"/>
      <c r="M194993" s="472"/>
    </row>
    <row r="195065" spans="12:13" x14ac:dyDescent="0.25">
      <c r="L195065" s="472"/>
      <c r="M195065" s="472"/>
    </row>
    <row r="195066" spans="12:13" x14ac:dyDescent="0.25">
      <c r="L195066" s="472"/>
      <c r="M195066" s="472"/>
    </row>
    <row r="195067" spans="12:13" x14ac:dyDescent="0.25">
      <c r="L195067" s="472"/>
      <c r="M195067" s="472"/>
    </row>
    <row r="195139" spans="12:13" x14ac:dyDescent="0.25">
      <c r="L195139" s="472"/>
      <c r="M195139" s="472"/>
    </row>
    <row r="195140" spans="12:13" x14ac:dyDescent="0.25">
      <c r="L195140" s="472"/>
      <c r="M195140" s="472"/>
    </row>
    <row r="195141" spans="12:13" x14ac:dyDescent="0.25">
      <c r="L195141" s="472"/>
      <c r="M195141" s="472"/>
    </row>
    <row r="195213" spans="12:13" x14ac:dyDescent="0.25">
      <c r="L195213" s="472"/>
      <c r="M195213" s="472"/>
    </row>
    <row r="195214" spans="12:13" x14ac:dyDescent="0.25">
      <c r="L195214" s="472"/>
      <c r="M195214" s="472"/>
    </row>
    <row r="195215" spans="12:13" x14ac:dyDescent="0.25">
      <c r="L195215" s="472"/>
      <c r="M195215" s="472"/>
    </row>
    <row r="195287" spans="12:13" x14ac:dyDescent="0.25">
      <c r="L195287" s="472"/>
      <c r="M195287" s="472"/>
    </row>
    <row r="195288" spans="12:13" x14ac:dyDescent="0.25">
      <c r="L195288" s="472"/>
      <c r="M195288" s="472"/>
    </row>
    <row r="195289" spans="12:13" x14ac:dyDescent="0.25">
      <c r="L195289" s="472"/>
      <c r="M195289" s="472"/>
    </row>
    <row r="195361" spans="12:13" x14ac:dyDescent="0.25">
      <c r="L195361" s="472"/>
      <c r="M195361" s="472"/>
    </row>
    <row r="195362" spans="12:13" x14ac:dyDescent="0.25">
      <c r="L195362" s="472"/>
      <c r="M195362" s="472"/>
    </row>
    <row r="195363" spans="12:13" x14ac:dyDescent="0.25">
      <c r="L195363" s="472"/>
      <c r="M195363" s="472"/>
    </row>
    <row r="195435" spans="12:13" x14ac:dyDescent="0.25">
      <c r="L195435" s="472"/>
      <c r="M195435" s="472"/>
    </row>
    <row r="195436" spans="12:13" x14ac:dyDescent="0.25">
      <c r="L195436" s="472"/>
      <c r="M195436" s="472"/>
    </row>
    <row r="195437" spans="12:13" x14ac:dyDescent="0.25">
      <c r="L195437" s="472"/>
      <c r="M195437" s="472"/>
    </row>
    <row r="195509" spans="12:13" x14ac:dyDescent="0.25">
      <c r="L195509" s="472"/>
      <c r="M195509" s="472"/>
    </row>
    <row r="195510" spans="12:13" x14ac:dyDescent="0.25">
      <c r="L195510" s="472"/>
      <c r="M195510" s="472"/>
    </row>
    <row r="195511" spans="12:13" x14ac:dyDescent="0.25">
      <c r="L195511" s="472"/>
      <c r="M195511" s="472"/>
    </row>
    <row r="195583" spans="12:13" x14ac:dyDescent="0.25">
      <c r="L195583" s="472"/>
      <c r="M195583" s="472"/>
    </row>
    <row r="195584" spans="12:13" x14ac:dyDescent="0.25">
      <c r="L195584" s="472"/>
      <c r="M195584" s="472"/>
    </row>
    <row r="195585" spans="12:13" x14ac:dyDescent="0.25">
      <c r="L195585" s="472"/>
      <c r="M195585" s="472"/>
    </row>
    <row r="195657" spans="12:13" x14ac:dyDescent="0.25">
      <c r="L195657" s="472"/>
      <c r="M195657" s="472"/>
    </row>
    <row r="195658" spans="12:13" x14ac:dyDescent="0.25">
      <c r="L195658" s="472"/>
      <c r="M195658" s="472"/>
    </row>
    <row r="195659" spans="12:13" x14ac:dyDescent="0.25">
      <c r="L195659" s="472"/>
      <c r="M195659" s="472"/>
    </row>
    <row r="195731" spans="12:13" x14ac:dyDescent="0.25">
      <c r="L195731" s="472"/>
      <c r="M195731" s="472"/>
    </row>
    <row r="195732" spans="12:13" x14ac:dyDescent="0.25">
      <c r="L195732" s="472"/>
      <c r="M195732" s="472"/>
    </row>
    <row r="195733" spans="12:13" x14ac:dyDescent="0.25">
      <c r="L195733" s="472"/>
      <c r="M195733" s="472"/>
    </row>
    <row r="195805" spans="12:13" x14ac:dyDescent="0.25">
      <c r="L195805" s="472"/>
      <c r="M195805" s="472"/>
    </row>
    <row r="195806" spans="12:13" x14ac:dyDescent="0.25">
      <c r="L195806" s="472"/>
      <c r="M195806" s="472"/>
    </row>
    <row r="195807" spans="12:13" x14ac:dyDescent="0.25">
      <c r="L195807" s="472"/>
      <c r="M195807" s="472"/>
    </row>
    <row r="195879" spans="12:13" x14ac:dyDescent="0.25">
      <c r="L195879" s="472"/>
      <c r="M195879" s="472"/>
    </row>
    <row r="195880" spans="12:13" x14ac:dyDescent="0.25">
      <c r="L195880" s="472"/>
      <c r="M195880" s="472"/>
    </row>
    <row r="195881" spans="12:13" x14ac:dyDescent="0.25">
      <c r="L195881" s="472"/>
      <c r="M195881" s="472"/>
    </row>
    <row r="195953" spans="12:13" x14ac:dyDescent="0.25">
      <c r="L195953" s="472"/>
      <c r="M195953" s="472"/>
    </row>
    <row r="195954" spans="12:13" x14ac:dyDescent="0.25">
      <c r="L195954" s="472"/>
      <c r="M195954" s="472"/>
    </row>
    <row r="195955" spans="12:13" x14ac:dyDescent="0.25">
      <c r="L195955" s="472"/>
      <c r="M195955" s="472"/>
    </row>
    <row r="196027" spans="12:13" x14ac:dyDescent="0.25">
      <c r="L196027" s="472"/>
      <c r="M196027" s="472"/>
    </row>
    <row r="196028" spans="12:13" x14ac:dyDescent="0.25">
      <c r="L196028" s="472"/>
      <c r="M196028" s="472"/>
    </row>
    <row r="196029" spans="12:13" x14ac:dyDescent="0.25">
      <c r="L196029" s="472"/>
      <c r="M196029" s="472"/>
    </row>
    <row r="196101" spans="12:13" x14ac:dyDescent="0.25">
      <c r="L196101" s="472"/>
      <c r="M196101" s="472"/>
    </row>
    <row r="196102" spans="12:13" x14ac:dyDescent="0.25">
      <c r="L196102" s="472"/>
      <c r="M196102" s="472"/>
    </row>
    <row r="196103" spans="12:13" x14ac:dyDescent="0.25">
      <c r="L196103" s="472"/>
      <c r="M196103" s="472"/>
    </row>
    <row r="196175" spans="12:13" x14ac:dyDescent="0.25">
      <c r="L196175" s="472"/>
      <c r="M196175" s="472"/>
    </row>
    <row r="196176" spans="12:13" x14ac:dyDescent="0.25">
      <c r="L196176" s="472"/>
      <c r="M196176" s="472"/>
    </row>
    <row r="196177" spans="12:13" x14ac:dyDescent="0.25">
      <c r="L196177" s="472"/>
      <c r="M196177" s="472"/>
    </row>
    <row r="196249" spans="12:13" x14ac:dyDescent="0.25">
      <c r="L196249" s="472"/>
      <c r="M196249" s="472"/>
    </row>
    <row r="196250" spans="12:13" x14ac:dyDescent="0.25">
      <c r="L196250" s="472"/>
      <c r="M196250" s="472"/>
    </row>
    <row r="196251" spans="12:13" x14ac:dyDescent="0.25">
      <c r="L196251" s="472"/>
      <c r="M196251" s="472"/>
    </row>
    <row r="196323" spans="12:13" x14ac:dyDescent="0.25">
      <c r="L196323" s="472"/>
      <c r="M196323" s="472"/>
    </row>
    <row r="196324" spans="12:13" x14ac:dyDescent="0.25">
      <c r="L196324" s="472"/>
      <c r="M196324" s="472"/>
    </row>
    <row r="196325" spans="12:13" x14ac:dyDescent="0.25">
      <c r="L196325" s="472"/>
      <c r="M196325" s="472"/>
    </row>
    <row r="196397" spans="12:13" x14ac:dyDescent="0.25">
      <c r="L196397" s="472"/>
      <c r="M196397" s="472"/>
    </row>
    <row r="196398" spans="12:13" x14ac:dyDescent="0.25">
      <c r="L196398" s="472"/>
      <c r="M196398" s="472"/>
    </row>
    <row r="196399" spans="12:13" x14ac:dyDescent="0.25">
      <c r="L196399" s="472"/>
      <c r="M196399" s="472"/>
    </row>
    <row r="196471" spans="12:13" x14ac:dyDescent="0.25">
      <c r="L196471" s="472"/>
      <c r="M196471" s="472"/>
    </row>
    <row r="196472" spans="12:13" x14ac:dyDescent="0.25">
      <c r="L196472" s="472"/>
      <c r="M196472" s="472"/>
    </row>
    <row r="196473" spans="12:13" x14ac:dyDescent="0.25">
      <c r="L196473" s="472"/>
      <c r="M196473" s="472"/>
    </row>
    <row r="196545" spans="12:13" x14ac:dyDescent="0.25">
      <c r="L196545" s="472"/>
      <c r="M196545" s="472"/>
    </row>
    <row r="196546" spans="12:13" x14ac:dyDescent="0.25">
      <c r="L196546" s="472"/>
      <c r="M196546" s="472"/>
    </row>
    <row r="196547" spans="12:13" x14ac:dyDescent="0.25">
      <c r="L196547" s="472"/>
      <c r="M196547" s="472"/>
    </row>
    <row r="196619" spans="12:13" x14ac:dyDescent="0.25">
      <c r="L196619" s="472"/>
      <c r="M196619" s="472"/>
    </row>
    <row r="196620" spans="12:13" x14ac:dyDescent="0.25">
      <c r="L196620" s="472"/>
      <c r="M196620" s="472"/>
    </row>
    <row r="196621" spans="12:13" x14ac:dyDescent="0.25">
      <c r="L196621" s="472"/>
      <c r="M196621" s="472"/>
    </row>
    <row r="196693" spans="12:13" x14ac:dyDescent="0.25">
      <c r="L196693" s="472"/>
      <c r="M196693" s="472"/>
    </row>
    <row r="196694" spans="12:13" x14ac:dyDescent="0.25">
      <c r="L196694" s="472"/>
      <c r="M196694" s="472"/>
    </row>
    <row r="196695" spans="12:13" x14ac:dyDescent="0.25">
      <c r="L196695" s="472"/>
      <c r="M196695" s="472"/>
    </row>
    <row r="196767" spans="12:13" x14ac:dyDescent="0.25">
      <c r="L196767" s="472"/>
      <c r="M196767" s="472"/>
    </row>
    <row r="196768" spans="12:13" x14ac:dyDescent="0.25">
      <c r="L196768" s="472"/>
      <c r="M196768" s="472"/>
    </row>
    <row r="196769" spans="12:13" x14ac:dyDescent="0.25">
      <c r="L196769" s="472"/>
      <c r="M196769" s="472"/>
    </row>
    <row r="196841" spans="12:13" x14ac:dyDescent="0.25">
      <c r="L196841" s="472"/>
      <c r="M196841" s="472"/>
    </row>
    <row r="196842" spans="12:13" x14ac:dyDescent="0.25">
      <c r="L196842" s="472"/>
      <c r="M196842" s="472"/>
    </row>
    <row r="196843" spans="12:13" x14ac:dyDescent="0.25">
      <c r="L196843" s="472"/>
      <c r="M196843" s="472"/>
    </row>
    <row r="196915" spans="12:13" x14ac:dyDescent="0.25">
      <c r="L196915" s="472"/>
      <c r="M196915" s="472"/>
    </row>
    <row r="196916" spans="12:13" x14ac:dyDescent="0.25">
      <c r="L196916" s="472"/>
      <c r="M196916" s="472"/>
    </row>
    <row r="196917" spans="12:13" x14ac:dyDescent="0.25">
      <c r="L196917" s="472"/>
      <c r="M196917" s="472"/>
    </row>
    <row r="196989" spans="12:13" x14ac:dyDescent="0.25">
      <c r="L196989" s="472"/>
      <c r="M196989" s="472"/>
    </row>
    <row r="196990" spans="12:13" x14ac:dyDescent="0.25">
      <c r="L196990" s="472"/>
      <c r="M196990" s="472"/>
    </row>
    <row r="196991" spans="12:13" x14ac:dyDescent="0.25">
      <c r="L196991" s="472"/>
      <c r="M196991" s="472"/>
    </row>
    <row r="197063" spans="12:13" x14ac:dyDescent="0.25">
      <c r="L197063" s="472"/>
      <c r="M197063" s="472"/>
    </row>
    <row r="197064" spans="12:13" x14ac:dyDescent="0.25">
      <c r="L197064" s="472"/>
      <c r="M197064" s="472"/>
    </row>
    <row r="197065" spans="12:13" x14ac:dyDescent="0.25">
      <c r="L197065" s="472"/>
      <c r="M197065" s="472"/>
    </row>
    <row r="197137" spans="12:13" x14ac:dyDescent="0.25">
      <c r="L197137" s="472"/>
      <c r="M197137" s="472"/>
    </row>
    <row r="197138" spans="12:13" x14ac:dyDescent="0.25">
      <c r="L197138" s="472"/>
      <c r="M197138" s="472"/>
    </row>
    <row r="197139" spans="12:13" x14ac:dyDescent="0.25">
      <c r="L197139" s="472"/>
      <c r="M197139" s="472"/>
    </row>
    <row r="197211" spans="12:13" x14ac:dyDescent="0.25">
      <c r="L197211" s="472"/>
      <c r="M197211" s="472"/>
    </row>
    <row r="197212" spans="12:13" x14ac:dyDescent="0.25">
      <c r="L197212" s="472"/>
      <c r="M197212" s="472"/>
    </row>
    <row r="197213" spans="12:13" x14ac:dyDescent="0.25">
      <c r="L197213" s="472"/>
      <c r="M197213" s="472"/>
    </row>
    <row r="197285" spans="12:13" x14ac:dyDescent="0.25">
      <c r="L197285" s="472"/>
      <c r="M197285" s="472"/>
    </row>
    <row r="197286" spans="12:13" x14ac:dyDescent="0.25">
      <c r="L197286" s="472"/>
      <c r="M197286" s="472"/>
    </row>
    <row r="197287" spans="12:13" x14ac:dyDescent="0.25">
      <c r="L197287" s="472"/>
      <c r="M197287" s="472"/>
    </row>
    <row r="197359" spans="12:13" x14ac:dyDescent="0.25">
      <c r="L197359" s="472"/>
      <c r="M197359" s="472"/>
    </row>
    <row r="197360" spans="12:13" x14ac:dyDescent="0.25">
      <c r="L197360" s="472"/>
      <c r="M197360" s="472"/>
    </row>
    <row r="197361" spans="12:13" x14ac:dyDescent="0.25">
      <c r="L197361" s="472"/>
      <c r="M197361" s="472"/>
    </row>
    <row r="197433" spans="12:13" x14ac:dyDescent="0.25">
      <c r="L197433" s="472"/>
      <c r="M197433" s="472"/>
    </row>
    <row r="197434" spans="12:13" x14ac:dyDescent="0.25">
      <c r="L197434" s="472"/>
      <c r="M197434" s="472"/>
    </row>
    <row r="197435" spans="12:13" x14ac:dyDescent="0.25">
      <c r="L197435" s="472"/>
      <c r="M197435" s="472"/>
    </row>
    <row r="197507" spans="12:13" x14ac:dyDescent="0.25">
      <c r="L197507" s="472"/>
      <c r="M197507" s="472"/>
    </row>
    <row r="197508" spans="12:13" x14ac:dyDescent="0.25">
      <c r="L197508" s="472"/>
      <c r="M197508" s="472"/>
    </row>
    <row r="197509" spans="12:13" x14ac:dyDescent="0.25">
      <c r="L197509" s="472"/>
      <c r="M197509" s="472"/>
    </row>
    <row r="197581" spans="12:13" x14ac:dyDescent="0.25">
      <c r="L197581" s="472"/>
      <c r="M197581" s="472"/>
    </row>
    <row r="197582" spans="12:13" x14ac:dyDescent="0.25">
      <c r="L197582" s="472"/>
      <c r="M197582" s="472"/>
    </row>
    <row r="197583" spans="12:13" x14ac:dyDescent="0.25">
      <c r="L197583" s="472"/>
      <c r="M197583" s="472"/>
    </row>
    <row r="197655" spans="12:13" x14ac:dyDescent="0.25">
      <c r="L197655" s="472"/>
      <c r="M197655" s="472"/>
    </row>
    <row r="197656" spans="12:13" x14ac:dyDescent="0.25">
      <c r="L197656" s="472"/>
      <c r="M197656" s="472"/>
    </row>
    <row r="197657" spans="12:13" x14ac:dyDescent="0.25">
      <c r="L197657" s="472"/>
      <c r="M197657" s="472"/>
    </row>
    <row r="197729" spans="12:13" x14ac:dyDescent="0.25">
      <c r="L197729" s="472"/>
      <c r="M197729" s="472"/>
    </row>
    <row r="197730" spans="12:13" x14ac:dyDescent="0.25">
      <c r="L197730" s="472"/>
      <c r="M197730" s="472"/>
    </row>
    <row r="197731" spans="12:13" x14ac:dyDescent="0.25">
      <c r="L197731" s="472"/>
      <c r="M197731" s="472"/>
    </row>
    <row r="197803" spans="12:13" x14ac:dyDescent="0.25">
      <c r="L197803" s="472"/>
      <c r="M197803" s="472"/>
    </row>
    <row r="197804" spans="12:13" x14ac:dyDescent="0.25">
      <c r="L197804" s="472"/>
      <c r="M197804" s="472"/>
    </row>
    <row r="197805" spans="12:13" x14ac:dyDescent="0.25">
      <c r="L197805" s="472"/>
      <c r="M197805" s="472"/>
    </row>
    <row r="197877" spans="12:13" x14ac:dyDescent="0.25">
      <c r="L197877" s="472"/>
      <c r="M197877" s="472"/>
    </row>
    <row r="197878" spans="12:13" x14ac:dyDescent="0.25">
      <c r="L197878" s="472"/>
      <c r="M197878" s="472"/>
    </row>
    <row r="197879" spans="12:13" x14ac:dyDescent="0.25">
      <c r="L197879" s="472"/>
      <c r="M197879" s="472"/>
    </row>
    <row r="197951" spans="12:13" x14ac:dyDescent="0.25">
      <c r="L197951" s="472"/>
      <c r="M197951" s="472"/>
    </row>
    <row r="197952" spans="12:13" x14ac:dyDescent="0.25">
      <c r="L197952" s="472"/>
      <c r="M197952" s="472"/>
    </row>
    <row r="197953" spans="12:13" x14ac:dyDescent="0.25">
      <c r="L197953" s="472"/>
      <c r="M197953" s="472"/>
    </row>
    <row r="198025" spans="12:13" x14ac:dyDescent="0.25">
      <c r="L198025" s="472"/>
      <c r="M198025" s="472"/>
    </row>
    <row r="198026" spans="12:13" x14ac:dyDescent="0.25">
      <c r="L198026" s="472"/>
      <c r="M198026" s="472"/>
    </row>
    <row r="198027" spans="12:13" x14ac:dyDescent="0.25">
      <c r="L198027" s="472"/>
      <c r="M198027" s="472"/>
    </row>
    <row r="198099" spans="12:13" x14ac:dyDescent="0.25">
      <c r="L198099" s="472"/>
      <c r="M198099" s="472"/>
    </row>
    <row r="198100" spans="12:13" x14ac:dyDescent="0.25">
      <c r="L198100" s="472"/>
      <c r="M198100" s="472"/>
    </row>
    <row r="198101" spans="12:13" x14ac:dyDescent="0.25">
      <c r="L198101" s="472"/>
      <c r="M198101" s="472"/>
    </row>
    <row r="198173" spans="12:13" x14ac:dyDescent="0.25">
      <c r="L198173" s="472"/>
      <c r="M198173" s="472"/>
    </row>
    <row r="198174" spans="12:13" x14ac:dyDescent="0.25">
      <c r="L198174" s="472"/>
      <c r="M198174" s="472"/>
    </row>
    <row r="198175" spans="12:13" x14ac:dyDescent="0.25">
      <c r="L198175" s="472"/>
      <c r="M198175" s="472"/>
    </row>
    <row r="198247" spans="12:13" x14ac:dyDescent="0.25">
      <c r="L198247" s="472"/>
      <c r="M198247" s="472"/>
    </row>
    <row r="198248" spans="12:13" x14ac:dyDescent="0.25">
      <c r="L198248" s="472"/>
      <c r="M198248" s="472"/>
    </row>
    <row r="198249" spans="12:13" x14ac:dyDescent="0.25">
      <c r="L198249" s="472"/>
      <c r="M198249" s="472"/>
    </row>
    <row r="198321" spans="12:13" x14ac:dyDescent="0.25">
      <c r="L198321" s="472"/>
      <c r="M198321" s="472"/>
    </row>
    <row r="198322" spans="12:13" x14ac:dyDescent="0.25">
      <c r="L198322" s="472"/>
      <c r="M198322" s="472"/>
    </row>
    <row r="198323" spans="12:13" x14ac:dyDescent="0.25">
      <c r="L198323" s="472"/>
      <c r="M198323" s="472"/>
    </row>
    <row r="198395" spans="12:13" x14ac:dyDescent="0.25">
      <c r="L198395" s="472"/>
      <c r="M198395" s="472"/>
    </row>
    <row r="198396" spans="12:13" x14ac:dyDescent="0.25">
      <c r="L198396" s="472"/>
      <c r="M198396" s="472"/>
    </row>
    <row r="198397" spans="12:13" x14ac:dyDescent="0.25">
      <c r="L198397" s="472"/>
      <c r="M198397" s="472"/>
    </row>
    <row r="198469" spans="12:13" x14ac:dyDescent="0.25">
      <c r="L198469" s="472"/>
      <c r="M198469" s="472"/>
    </row>
    <row r="198470" spans="12:13" x14ac:dyDescent="0.25">
      <c r="L198470" s="472"/>
      <c r="M198470" s="472"/>
    </row>
    <row r="198471" spans="12:13" x14ac:dyDescent="0.25">
      <c r="L198471" s="472"/>
      <c r="M198471" s="472"/>
    </row>
    <row r="198543" spans="12:13" x14ac:dyDescent="0.25">
      <c r="L198543" s="472"/>
      <c r="M198543" s="472"/>
    </row>
    <row r="198544" spans="12:13" x14ac:dyDescent="0.25">
      <c r="L198544" s="472"/>
      <c r="M198544" s="472"/>
    </row>
    <row r="198545" spans="12:13" x14ac:dyDescent="0.25">
      <c r="L198545" s="472"/>
      <c r="M198545" s="472"/>
    </row>
    <row r="198617" spans="12:13" x14ac:dyDescent="0.25">
      <c r="L198617" s="472"/>
      <c r="M198617" s="472"/>
    </row>
    <row r="198618" spans="12:13" x14ac:dyDescent="0.25">
      <c r="L198618" s="472"/>
      <c r="M198618" s="472"/>
    </row>
    <row r="198619" spans="12:13" x14ac:dyDescent="0.25">
      <c r="L198619" s="472"/>
      <c r="M198619" s="472"/>
    </row>
    <row r="198691" spans="12:13" x14ac:dyDescent="0.25">
      <c r="L198691" s="472"/>
      <c r="M198691" s="472"/>
    </row>
    <row r="198692" spans="12:13" x14ac:dyDescent="0.25">
      <c r="L198692" s="472"/>
      <c r="M198692" s="472"/>
    </row>
    <row r="198693" spans="12:13" x14ac:dyDescent="0.25">
      <c r="L198693" s="472"/>
      <c r="M198693" s="472"/>
    </row>
    <row r="198765" spans="12:13" x14ac:dyDescent="0.25">
      <c r="L198765" s="472"/>
      <c r="M198765" s="472"/>
    </row>
    <row r="198766" spans="12:13" x14ac:dyDescent="0.25">
      <c r="L198766" s="472"/>
      <c r="M198766" s="472"/>
    </row>
    <row r="198767" spans="12:13" x14ac:dyDescent="0.25">
      <c r="L198767" s="472"/>
      <c r="M198767" s="472"/>
    </row>
    <row r="198839" spans="12:13" x14ac:dyDescent="0.25">
      <c r="L198839" s="472"/>
      <c r="M198839" s="472"/>
    </row>
    <row r="198840" spans="12:13" x14ac:dyDescent="0.25">
      <c r="L198840" s="472"/>
      <c r="M198840" s="472"/>
    </row>
    <row r="198841" spans="12:13" x14ac:dyDescent="0.25">
      <c r="L198841" s="472"/>
      <c r="M198841" s="472"/>
    </row>
    <row r="198913" spans="12:13" x14ac:dyDescent="0.25">
      <c r="L198913" s="472"/>
      <c r="M198913" s="472"/>
    </row>
    <row r="198914" spans="12:13" x14ac:dyDescent="0.25">
      <c r="L198914" s="472"/>
      <c r="M198914" s="472"/>
    </row>
    <row r="198915" spans="12:13" x14ac:dyDescent="0.25">
      <c r="L198915" s="472"/>
      <c r="M198915" s="472"/>
    </row>
    <row r="198987" spans="12:13" x14ac:dyDescent="0.25">
      <c r="L198987" s="472"/>
      <c r="M198987" s="472"/>
    </row>
    <row r="198988" spans="12:13" x14ac:dyDescent="0.25">
      <c r="L198988" s="472"/>
      <c r="M198988" s="472"/>
    </row>
    <row r="198989" spans="12:13" x14ac:dyDescent="0.25">
      <c r="L198989" s="472"/>
      <c r="M198989" s="472"/>
    </row>
    <row r="199061" spans="12:13" x14ac:dyDescent="0.25">
      <c r="L199061" s="472"/>
      <c r="M199061" s="472"/>
    </row>
    <row r="199062" spans="12:13" x14ac:dyDescent="0.25">
      <c r="L199062" s="472"/>
      <c r="M199062" s="472"/>
    </row>
    <row r="199063" spans="12:13" x14ac:dyDescent="0.25">
      <c r="L199063" s="472"/>
      <c r="M199063" s="472"/>
    </row>
    <row r="199135" spans="12:13" x14ac:dyDescent="0.25">
      <c r="L199135" s="472"/>
      <c r="M199135" s="472"/>
    </row>
    <row r="199136" spans="12:13" x14ac:dyDescent="0.25">
      <c r="L199136" s="472"/>
      <c r="M199136" s="472"/>
    </row>
    <row r="199137" spans="12:13" x14ac:dyDescent="0.25">
      <c r="L199137" s="472"/>
      <c r="M199137" s="472"/>
    </row>
    <row r="199209" spans="12:13" x14ac:dyDescent="0.25">
      <c r="L199209" s="472"/>
      <c r="M199209" s="472"/>
    </row>
    <row r="199210" spans="12:13" x14ac:dyDescent="0.25">
      <c r="L199210" s="472"/>
      <c r="M199210" s="472"/>
    </row>
    <row r="199211" spans="12:13" x14ac:dyDescent="0.25">
      <c r="L199211" s="472"/>
      <c r="M199211" s="472"/>
    </row>
    <row r="199283" spans="12:13" x14ac:dyDescent="0.25">
      <c r="L199283" s="472"/>
      <c r="M199283" s="472"/>
    </row>
    <row r="199284" spans="12:13" x14ac:dyDescent="0.25">
      <c r="L199284" s="472"/>
      <c r="M199284" s="472"/>
    </row>
    <row r="199285" spans="12:13" x14ac:dyDescent="0.25">
      <c r="L199285" s="472"/>
      <c r="M199285" s="472"/>
    </row>
    <row r="199357" spans="12:13" x14ac:dyDescent="0.25">
      <c r="L199357" s="472"/>
      <c r="M199357" s="472"/>
    </row>
    <row r="199358" spans="12:13" x14ac:dyDescent="0.25">
      <c r="L199358" s="472"/>
      <c r="M199358" s="472"/>
    </row>
    <row r="199359" spans="12:13" x14ac:dyDescent="0.25">
      <c r="L199359" s="472"/>
      <c r="M199359" s="472"/>
    </row>
    <row r="199431" spans="12:13" x14ac:dyDescent="0.25">
      <c r="L199431" s="472"/>
      <c r="M199431" s="472"/>
    </row>
    <row r="199432" spans="12:13" x14ac:dyDescent="0.25">
      <c r="L199432" s="472"/>
      <c r="M199432" s="472"/>
    </row>
    <row r="199433" spans="12:13" x14ac:dyDescent="0.25">
      <c r="L199433" s="472"/>
      <c r="M199433" s="472"/>
    </row>
    <row r="199505" spans="12:13" x14ac:dyDescent="0.25">
      <c r="L199505" s="472"/>
      <c r="M199505" s="472"/>
    </row>
    <row r="199506" spans="12:13" x14ac:dyDescent="0.25">
      <c r="L199506" s="472"/>
      <c r="M199506" s="472"/>
    </row>
    <row r="199507" spans="12:13" x14ac:dyDescent="0.25">
      <c r="L199507" s="472"/>
      <c r="M199507" s="472"/>
    </row>
    <row r="199579" spans="12:13" x14ac:dyDescent="0.25">
      <c r="L199579" s="472"/>
      <c r="M199579" s="472"/>
    </row>
    <row r="199580" spans="12:13" x14ac:dyDescent="0.25">
      <c r="L199580" s="472"/>
      <c r="M199580" s="472"/>
    </row>
    <row r="199581" spans="12:13" x14ac:dyDescent="0.25">
      <c r="L199581" s="472"/>
      <c r="M199581" s="472"/>
    </row>
    <row r="199653" spans="12:13" x14ac:dyDescent="0.25">
      <c r="L199653" s="472"/>
      <c r="M199653" s="472"/>
    </row>
    <row r="199654" spans="12:13" x14ac:dyDescent="0.25">
      <c r="L199654" s="472"/>
      <c r="M199654" s="472"/>
    </row>
    <row r="199655" spans="12:13" x14ac:dyDescent="0.25">
      <c r="L199655" s="472"/>
      <c r="M199655" s="472"/>
    </row>
    <row r="199727" spans="12:13" x14ac:dyDescent="0.25">
      <c r="L199727" s="472"/>
      <c r="M199727" s="472"/>
    </row>
    <row r="199728" spans="12:13" x14ac:dyDescent="0.25">
      <c r="L199728" s="472"/>
      <c r="M199728" s="472"/>
    </row>
    <row r="199729" spans="12:13" x14ac:dyDescent="0.25">
      <c r="L199729" s="472"/>
      <c r="M199729" s="472"/>
    </row>
    <row r="199801" spans="12:13" x14ac:dyDescent="0.25">
      <c r="L199801" s="472"/>
      <c r="M199801" s="472"/>
    </row>
    <row r="199802" spans="12:13" x14ac:dyDescent="0.25">
      <c r="L199802" s="472"/>
      <c r="M199802" s="472"/>
    </row>
    <row r="199803" spans="12:13" x14ac:dyDescent="0.25">
      <c r="L199803" s="472"/>
      <c r="M199803" s="472"/>
    </row>
    <row r="199875" spans="12:13" x14ac:dyDescent="0.25">
      <c r="L199875" s="472"/>
      <c r="M199875" s="472"/>
    </row>
    <row r="199876" spans="12:13" x14ac:dyDescent="0.25">
      <c r="L199876" s="472"/>
      <c r="M199876" s="472"/>
    </row>
    <row r="199877" spans="12:13" x14ac:dyDescent="0.25">
      <c r="L199877" s="472"/>
      <c r="M199877" s="472"/>
    </row>
    <row r="199949" spans="12:13" x14ac:dyDescent="0.25">
      <c r="L199949" s="472"/>
      <c r="M199949" s="472"/>
    </row>
    <row r="199950" spans="12:13" x14ac:dyDescent="0.25">
      <c r="L199950" s="472"/>
      <c r="M199950" s="472"/>
    </row>
    <row r="199951" spans="12:13" x14ac:dyDescent="0.25">
      <c r="L199951" s="472"/>
      <c r="M199951" s="472"/>
    </row>
    <row r="200023" spans="12:13" x14ac:dyDescent="0.25">
      <c r="L200023" s="472"/>
      <c r="M200023" s="472"/>
    </row>
    <row r="200024" spans="12:13" x14ac:dyDescent="0.25">
      <c r="L200024" s="472"/>
      <c r="M200024" s="472"/>
    </row>
    <row r="200025" spans="12:13" x14ac:dyDescent="0.25">
      <c r="L200025" s="472"/>
      <c r="M200025" s="472"/>
    </row>
    <row r="200097" spans="12:13" x14ac:dyDescent="0.25">
      <c r="L200097" s="472"/>
      <c r="M200097" s="472"/>
    </row>
    <row r="200098" spans="12:13" x14ac:dyDescent="0.25">
      <c r="L200098" s="472"/>
      <c r="M200098" s="472"/>
    </row>
    <row r="200099" spans="12:13" x14ac:dyDescent="0.25">
      <c r="L200099" s="472"/>
      <c r="M200099" s="472"/>
    </row>
    <row r="200171" spans="12:13" x14ac:dyDescent="0.25">
      <c r="L200171" s="472"/>
      <c r="M200171" s="472"/>
    </row>
    <row r="200172" spans="12:13" x14ac:dyDescent="0.25">
      <c r="L200172" s="472"/>
      <c r="M200172" s="472"/>
    </row>
    <row r="200173" spans="12:13" x14ac:dyDescent="0.25">
      <c r="L200173" s="472"/>
      <c r="M200173" s="472"/>
    </row>
    <row r="200245" spans="12:13" x14ac:dyDescent="0.25">
      <c r="L200245" s="472"/>
      <c r="M200245" s="472"/>
    </row>
    <row r="200246" spans="12:13" x14ac:dyDescent="0.25">
      <c r="L200246" s="472"/>
      <c r="M200246" s="472"/>
    </row>
    <row r="200247" spans="12:13" x14ac:dyDescent="0.25">
      <c r="L200247" s="472"/>
      <c r="M200247" s="472"/>
    </row>
    <row r="200319" spans="12:13" x14ac:dyDescent="0.25">
      <c r="L200319" s="472"/>
      <c r="M200319" s="472"/>
    </row>
    <row r="200320" spans="12:13" x14ac:dyDescent="0.25">
      <c r="L200320" s="472"/>
      <c r="M200320" s="472"/>
    </row>
    <row r="200321" spans="12:13" x14ac:dyDescent="0.25">
      <c r="L200321" s="472"/>
      <c r="M200321" s="472"/>
    </row>
    <row r="200393" spans="12:13" x14ac:dyDescent="0.25">
      <c r="L200393" s="472"/>
      <c r="M200393" s="472"/>
    </row>
    <row r="200394" spans="12:13" x14ac:dyDescent="0.25">
      <c r="L200394" s="472"/>
      <c r="M200394" s="472"/>
    </row>
    <row r="200395" spans="12:13" x14ac:dyDescent="0.25">
      <c r="L200395" s="472"/>
      <c r="M200395" s="472"/>
    </row>
    <row r="200467" spans="12:13" x14ac:dyDescent="0.25">
      <c r="L200467" s="472"/>
      <c r="M200467" s="472"/>
    </row>
    <row r="200468" spans="12:13" x14ac:dyDescent="0.25">
      <c r="L200468" s="472"/>
      <c r="M200468" s="472"/>
    </row>
    <row r="200469" spans="12:13" x14ac:dyDescent="0.25">
      <c r="L200469" s="472"/>
      <c r="M200469" s="472"/>
    </row>
    <row r="200541" spans="12:13" x14ac:dyDescent="0.25">
      <c r="L200541" s="472"/>
      <c r="M200541" s="472"/>
    </row>
    <row r="200542" spans="12:13" x14ac:dyDescent="0.25">
      <c r="L200542" s="472"/>
      <c r="M200542" s="472"/>
    </row>
    <row r="200543" spans="12:13" x14ac:dyDescent="0.25">
      <c r="L200543" s="472"/>
      <c r="M200543" s="472"/>
    </row>
    <row r="200615" spans="12:13" x14ac:dyDescent="0.25">
      <c r="L200615" s="472"/>
      <c r="M200615" s="472"/>
    </row>
    <row r="200616" spans="12:13" x14ac:dyDescent="0.25">
      <c r="L200616" s="472"/>
      <c r="M200616" s="472"/>
    </row>
    <row r="200617" spans="12:13" x14ac:dyDescent="0.25">
      <c r="L200617" s="472"/>
      <c r="M200617" s="472"/>
    </row>
    <row r="200689" spans="12:13" x14ac:dyDescent="0.25">
      <c r="L200689" s="472"/>
      <c r="M200689" s="472"/>
    </row>
    <row r="200690" spans="12:13" x14ac:dyDescent="0.25">
      <c r="L200690" s="472"/>
      <c r="M200690" s="472"/>
    </row>
    <row r="200691" spans="12:13" x14ac:dyDescent="0.25">
      <c r="L200691" s="472"/>
      <c r="M200691" s="472"/>
    </row>
    <row r="200763" spans="12:13" x14ac:dyDescent="0.25">
      <c r="L200763" s="472"/>
      <c r="M200763" s="472"/>
    </row>
    <row r="200764" spans="12:13" x14ac:dyDescent="0.25">
      <c r="L200764" s="472"/>
      <c r="M200764" s="472"/>
    </row>
    <row r="200765" spans="12:13" x14ac:dyDescent="0.25">
      <c r="L200765" s="472"/>
      <c r="M200765" s="472"/>
    </row>
    <row r="200837" spans="12:13" x14ac:dyDescent="0.25">
      <c r="L200837" s="472"/>
      <c r="M200837" s="472"/>
    </row>
    <row r="200838" spans="12:13" x14ac:dyDescent="0.25">
      <c r="L200838" s="472"/>
      <c r="M200838" s="472"/>
    </row>
    <row r="200839" spans="12:13" x14ac:dyDescent="0.25">
      <c r="L200839" s="472"/>
      <c r="M200839" s="472"/>
    </row>
    <row r="200911" spans="12:13" x14ac:dyDescent="0.25">
      <c r="L200911" s="472"/>
      <c r="M200911" s="472"/>
    </row>
    <row r="200912" spans="12:13" x14ac:dyDescent="0.25">
      <c r="L200912" s="472"/>
      <c r="M200912" s="472"/>
    </row>
    <row r="200913" spans="12:13" x14ac:dyDescent="0.25">
      <c r="L200913" s="472"/>
      <c r="M200913" s="472"/>
    </row>
    <row r="200985" spans="12:13" x14ac:dyDescent="0.25">
      <c r="L200985" s="472"/>
      <c r="M200985" s="472"/>
    </row>
    <row r="200986" spans="12:13" x14ac:dyDescent="0.25">
      <c r="L200986" s="472"/>
      <c r="M200986" s="472"/>
    </row>
    <row r="200987" spans="12:13" x14ac:dyDescent="0.25">
      <c r="L200987" s="472"/>
      <c r="M200987" s="472"/>
    </row>
    <row r="201059" spans="12:13" x14ac:dyDescent="0.25">
      <c r="L201059" s="472"/>
      <c r="M201059" s="472"/>
    </row>
    <row r="201060" spans="12:13" x14ac:dyDescent="0.25">
      <c r="L201060" s="472"/>
      <c r="M201060" s="472"/>
    </row>
    <row r="201061" spans="12:13" x14ac:dyDescent="0.25">
      <c r="L201061" s="472"/>
      <c r="M201061" s="472"/>
    </row>
    <row r="201133" spans="12:13" x14ac:dyDescent="0.25">
      <c r="L201133" s="472"/>
      <c r="M201133" s="472"/>
    </row>
    <row r="201134" spans="12:13" x14ac:dyDescent="0.25">
      <c r="L201134" s="472"/>
      <c r="M201134" s="472"/>
    </row>
    <row r="201135" spans="12:13" x14ac:dyDescent="0.25">
      <c r="L201135" s="472"/>
      <c r="M201135" s="472"/>
    </row>
    <row r="201207" spans="12:13" x14ac:dyDescent="0.25">
      <c r="L201207" s="472"/>
      <c r="M201207" s="472"/>
    </row>
    <row r="201208" spans="12:13" x14ac:dyDescent="0.25">
      <c r="L201208" s="472"/>
      <c r="M201208" s="472"/>
    </row>
    <row r="201209" spans="12:13" x14ac:dyDescent="0.25">
      <c r="L201209" s="472"/>
      <c r="M201209" s="472"/>
    </row>
    <row r="201281" spans="12:13" x14ac:dyDescent="0.25">
      <c r="L201281" s="472"/>
      <c r="M201281" s="472"/>
    </row>
    <row r="201282" spans="12:13" x14ac:dyDescent="0.25">
      <c r="L201282" s="472"/>
      <c r="M201282" s="472"/>
    </row>
    <row r="201283" spans="12:13" x14ac:dyDescent="0.25">
      <c r="L201283" s="472"/>
      <c r="M201283" s="472"/>
    </row>
    <row r="201355" spans="12:13" x14ac:dyDescent="0.25">
      <c r="L201355" s="472"/>
      <c r="M201355" s="472"/>
    </row>
    <row r="201356" spans="12:13" x14ac:dyDescent="0.25">
      <c r="L201356" s="472"/>
      <c r="M201356" s="472"/>
    </row>
    <row r="201357" spans="12:13" x14ac:dyDescent="0.25">
      <c r="L201357" s="472"/>
      <c r="M201357" s="472"/>
    </row>
    <row r="201429" spans="12:13" x14ac:dyDescent="0.25">
      <c r="L201429" s="472"/>
      <c r="M201429" s="472"/>
    </row>
    <row r="201430" spans="12:13" x14ac:dyDescent="0.25">
      <c r="L201430" s="472"/>
      <c r="M201430" s="472"/>
    </row>
    <row r="201431" spans="12:13" x14ac:dyDescent="0.25">
      <c r="L201431" s="472"/>
      <c r="M201431" s="472"/>
    </row>
    <row r="201503" spans="12:13" x14ac:dyDescent="0.25">
      <c r="L201503" s="472"/>
      <c r="M201503" s="472"/>
    </row>
    <row r="201504" spans="12:13" x14ac:dyDescent="0.25">
      <c r="L201504" s="472"/>
      <c r="M201504" s="472"/>
    </row>
    <row r="201505" spans="12:13" x14ac:dyDescent="0.25">
      <c r="L201505" s="472"/>
      <c r="M201505" s="472"/>
    </row>
    <row r="201577" spans="12:13" x14ac:dyDescent="0.25">
      <c r="L201577" s="472"/>
      <c r="M201577" s="472"/>
    </row>
    <row r="201578" spans="12:13" x14ac:dyDescent="0.25">
      <c r="L201578" s="472"/>
      <c r="M201578" s="472"/>
    </row>
    <row r="201579" spans="12:13" x14ac:dyDescent="0.25">
      <c r="L201579" s="472"/>
      <c r="M201579" s="472"/>
    </row>
    <row r="201651" spans="12:13" x14ac:dyDescent="0.25">
      <c r="L201651" s="472"/>
      <c r="M201651" s="472"/>
    </row>
    <row r="201652" spans="12:13" x14ac:dyDescent="0.25">
      <c r="L201652" s="472"/>
      <c r="M201652" s="472"/>
    </row>
    <row r="201653" spans="12:13" x14ac:dyDescent="0.25">
      <c r="L201653" s="472"/>
      <c r="M201653" s="472"/>
    </row>
    <row r="201725" spans="12:13" x14ac:dyDescent="0.25">
      <c r="L201725" s="472"/>
      <c r="M201725" s="472"/>
    </row>
    <row r="201726" spans="12:13" x14ac:dyDescent="0.25">
      <c r="L201726" s="472"/>
      <c r="M201726" s="472"/>
    </row>
    <row r="201727" spans="12:13" x14ac:dyDescent="0.25">
      <c r="L201727" s="472"/>
      <c r="M201727" s="472"/>
    </row>
    <row r="201799" spans="12:13" x14ac:dyDescent="0.25">
      <c r="L201799" s="472"/>
      <c r="M201799" s="472"/>
    </row>
    <row r="201800" spans="12:13" x14ac:dyDescent="0.25">
      <c r="L201800" s="472"/>
      <c r="M201800" s="472"/>
    </row>
    <row r="201801" spans="12:13" x14ac:dyDescent="0.25">
      <c r="L201801" s="472"/>
      <c r="M201801" s="472"/>
    </row>
    <row r="201873" spans="12:13" x14ac:dyDescent="0.25">
      <c r="L201873" s="472"/>
      <c r="M201873" s="472"/>
    </row>
    <row r="201874" spans="12:13" x14ac:dyDescent="0.25">
      <c r="L201874" s="472"/>
      <c r="M201874" s="472"/>
    </row>
    <row r="201875" spans="12:13" x14ac:dyDescent="0.25">
      <c r="L201875" s="472"/>
      <c r="M201875" s="472"/>
    </row>
    <row r="201947" spans="12:13" x14ac:dyDescent="0.25">
      <c r="L201947" s="472"/>
      <c r="M201947" s="472"/>
    </row>
    <row r="201948" spans="12:13" x14ac:dyDescent="0.25">
      <c r="L201948" s="472"/>
      <c r="M201948" s="472"/>
    </row>
    <row r="201949" spans="12:13" x14ac:dyDescent="0.25">
      <c r="L201949" s="472"/>
      <c r="M201949" s="472"/>
    </row>
    <row r="202021" spans="12:13" x14ac:dyDescent="0.25">
      <c r="L202021" s="472"/>
      <c r="M202021" s="472"/>
    </row>
    <row r="202022" spans="12:13" x14ac:dyDescent="0.25">
      <c r="L202022" s="472"/>
      <c r="M202022" s="472"/>
    </row>
    <row r="202023" spans="12:13" x14ac:dyDescent="0.25">
      <c r="L202023" s="472"/>
      <c r="M202023" s="472"/>
    </row>
    <row r="202095" spans="12:13" x14ac:dyDescent="0.25">
      <c r="L202095" s="472"/>
      <c r="M202095" s="472"/>
    </row>
    <row r="202096" spans="12:13" x14ac:dyDescent="0.25">
      <c r="L202096" s="472"/>
      <c r="M202096" s="472"/>
    </row>
    <row r="202097" spans="12:13" x14ac:dyDescent="0.25">
      <c r="L202097" s="472"/>
      <c r="M202097" s="472"/>
    </row>
    <row r="202169" spans="12:13" x14ac:dyDescent="0.25">
      <c r="L202169" s="472"/>
      <c r="M202169" s="472"/>
    </row>
    <row r="202170" spans="12:13" x14ac:dyDescent="0.25">
      <c r="L202170" s="472"/>
      <c r="M202170" s="472"/>
    </row>
    <row r="202171" spans="12:13" x14ac:dyDescent="0.25">
      <c r="L202171" s="472"/>
      <c r="M202171" s="472"/>
    </row>
    <row r="202243" spans="12:13" x14ac:dyDescent="0.25">
      <c r="L202243" s="472"/>
      <c r="M202243" s="472"/>
    </row>
    <row r="202244" spans="12:13" x14ac:dyDescent="0.25">
      <c r="L202244" s="472"/>
      <c r="M202244" s="472"/>
    </row>
    <row r="202245" spans="12:13" x14ac:dyDescent="0.25">
      <c r="L202245" s="472"/>
      <c r="M202245" s="472"/>
    </row>
    <row r="202317" spans="12:13" x14ac:dyDescent="0.25">
      <c r="L202317" s="472"/>
      <c r="M202317" s="472"/>
    </row>
    <row r="202318" spans="12:13" x14ac:dyDescent="0.25">
      <c r="L202318" s="472"/>
      <c r="M202318" s="472"/>
    </row>
    <row r="202319" spans="12:13" x14ac:dyDescent="0.25">
      <c r="L202319" s="472"/>
      <c r="M202319" s="472"/>
    </row>
    <row r="202391" spans="12:13" x14ac:dyDescent="0.25">
      <c r="L202391" s="472"/>
      <c r="M202391" s="472"/>
    </row>
    <row r="202392" spans="12:13" x14ac:dyDescent="0.25">
      <c r="L202392" s="472"/>
      <c r="M202392" s="472"/>
    </row>
    <row r="202393" spans="12:13" x14ac:dyDescent="0.25">
      <c r="L202393" s="472"/>
      <c r="M202393" s="472"/>
    </row>
    <row r="202465" spans="12:13" x14ac:dyDescent="0.25">
      <c r="L202465" s="472"/>
      <c r="M202465" s="472"/>
    </row>
    <row r="202466" spans="12:13" x14ac:dyDescent="0.25">
      <c r="L202466" s="472"/>
      <c r="M202466" s="472"/>
    </row>
    <row r="202467" spans="12:13" x14ac:dyDescent="0.25">
      <c r="L202467" s="472"/>
      <c r="M202467" s="472"/>
    </row>
    <row r="202539" spans="12:13" x14ac:dyDescent="0.25">
      <c r="L202539" s="472"/>
      <c r="M202539" s="472"/>
    </row>
    <row r="202540" spans="12:13" x14ac:dyDescent="0.25">
      <c r="L202540" s="472"/>
      <c r="M202540" s="472"/>
    </row>
    <row r="202541" spans="12:13" x14ac:dyDescent="0.25">
      <c r="L202541" s="472"/>
      <c r="M202541" s="472"/>
    </row>
    <row r="202613" spans="12:13" x14ac:dyDescent="0.25">
      <c r="L202613" s="472"/>
      <c r="M202613" s="472"/>
    </row>
    <row r="202614" spans="12:13" x14ac:dyDescent="0.25">
      <c r="L202614" s="472"/>
      <c r="M202614" s="472"/>
    </row>
    <row r="202615" spans="12:13" x14ac:dyDescent="0.25">
      <c r="L202615" s="472"/>
      <c r="M202615" s="472"/>
    </row>
    <row r="202687" spans="12:13" x14ac:dyDescent="0.25">
      <c r="L202687" s="472"/>
      <c r="M202687" s="472"/>
    </row>
    <row r="202688" spans="12:13" x14ac:dyDescent="0.25">
      <c r="L202688" s="472"/>
      <c r="M202688" s="472"/>
    </row>
    <row r="202689" spans="12:13" x14ac:dyDescent="0.25">
      <c r="L202689" s="472"/>
      <c r="M202689" s="472"/>
    </row>
    <row r="202761" spans="12:13" x14ac:dyDescent="0.25">
      <c r="L202761" s="472"/>
      <c r="M202761" s="472"/>
    </row>
    <row r="202762" spans="12:13" x14ac:dyDescent="0.25">
      <c r="L202762" s="472"/>
      <c r="M202762" s="472"/>
    </row>
    <row r="202763" spans="12:13" x14ac:dyDescent="0.25">
      <c r="L202763" s="472"/>
      <c r="M202763" s="472"/>
    </row>
    <row r="202835" spans="12:13" x14ac:dyDescent="0.25">
      <c r="L202835" s="472"/>
      <c r="M202835" s="472"/>
    </row>
    <row r="202836" spans="12:13" x14ac:dyDescent="0.25">
      <c r="L202836" s="472"/>
      <c r="M202836" s="472"/>
    </row>
    <row r="202837" spans="12:13" x14ac:dyDescent="0.25">
      <c r="L202837" s="472"/>
      <c r="M202837" s="472"/>
    </row>
    <row r="202909" spans="12:13" x14ac:dyDescent="0.25">
      <c r="L202909" s="472"/>
      <c r="M202909" s="472"/>
    </row>
    <row r="202910" spans="12:13" x14ac:dyDescent="0.25">
      <c r="L202910" s="472"/>
      <c r="M202910" s="472"/>
    </row>
    <row r="202911" spans="12:13" x14ac:dyDescent="0.25">
      <c r="L202911" s="472"/>
      <c r="M202911" s="472"/>
    </row>
    <row r="202983" spans="12:13" x14ac:dyDescent="0.25">
      <c r="L202983" s="472"/>
      <c r="M202983" s="472"/>
    </row>
    <row r="202984" spans="12:13" x14ac:dyDescent="0.25">
      <c r="L202984" s="472"/>
      <c r="M202984" s="472"/>
    </row>
    <row r="202985" spans="12:13" x14ac:dyDescent="0.25">
      <c r="L202985" s="472"/>
      <c r="M202985" s="472"/>
    </row>
    <row r="203057" spans="12:13" x14ac:dyDescent="0.25">
      <c r="L203057" s="472"/>
      <c r="M203057" s="472"/>
    </row>
    <row r="203058" spans="12:13" x14ac:dyDescent="0.25">
      <c r="L203058" s="472"/>
      <c r="M203058" s="472"/>
    </row>
    <row r="203059" spans="12:13" x14ac:dyDescent="0.25">
      <c r="L203059" s="472"/>
      <c r="M203059" s="472"/>
    </row>
    <row r="203131" spans="12:13" x14ac:dyDescent="0.25">
      <c r="L203131" s="472"/>
      <c r="M203131" s="472"/>
    </row>
    <row r="203132" spans="12:13" x14ac:dyDescent="0.25">
      <c r="L203132" s="472"/>
      <c r="M203132" s="472"/>
    </row>
    <row r="203133" spans="12:13" x14ac:dyDescent="0.25">
      <c r="L203133" s="472"/>
      <c r="M203133" s="472"/>
    </row>
    <row r="203205" spans="12:13" x14ac:dyDescent="0.25">
      <c r="L203205" s="472"/>
      <c r="M203205" s="472"/>
    </row>
    <row r="203206" spans="12:13" x14ac:dyDescent="0.25">
      <c r="L203206" s="472"/>
      <c r="M203206" s="472"/>
    </row>
    <row r="203207" spans="12:13" x14ac:dyDescent="0.25">
      <c r="L203207" s="472"/>
      <c r="M203207" s="472"/>
    </row>
    <row r="203279" spans="12:13" x14ac:dyDescent="0.25">
      <c r="L203279" s="472"/>
      <c r="M203279" s="472"/>
    </row>
    <row r="203280" spans="12:13" x14ac:dyDescent="0.25">
      <c r="L203280" s="472"/>
      <c r="M203280" s="472"/>
    </row>
    <row r="203281" spans="12:13" x14ac:dyDescent="0.25">
      <c r="L203281" s="472"/>
      <c r="M203281" s="472"/>
    </row>
    <row r="203353" spans="12:13" x14ac:dyDescent="0.25">
      <c r="L203353" s="472"/>
      <c r="M203353" s="472"/>
    </row>
    <row r="203354" spans="12:13" x14ac:dyDescent="0.25">
      <c r="L203354" s="472"/>
      <c r="M203354" s="472"/>
    </row>
    <row r="203355" spans="12:13" x14ac:dyDescent="0.25">
      <c r="L203355" s="472"/>
      <c r="M203355" s="472"/>
    </row>
    <row r="203427" spans="12:13" x14ac:dyDescent="0.25">
      <c r="L203427" s="472"/>
      <c r="M203427" s="472"/>
    </row>
    <row r="203428" spans="12:13" x14ac:dyDescent="0.25">
      <c r="L203428" s="472"/>
      <c r="M203428" s="472"/>
    </row>
    <row r="203429" spans="12:13" x14ac:dyDescent="0.25">
      <c r="L203429" s="472"/>
      <c r="M203429" s="472"/>
    </row>
    <row r="203501" spans="12:13" x14ac:dyDescent="0.25">
      <c r="L203501" s="472"/>
      <c r="M203501" s="472"/>
    </row>
    <row r="203502" spans="12:13" x14ac:dyDescent="0.25">
      <c r="L203502" s="472"/>
      <c r="M203502" s="472"/>
    </row>
    <row r="203503" spans="12:13" x14ac:dyDescent="0.25">
      <c r="L203503" s="472"/>
      <c r="M203503" s="472"/>
    </row>
    <row r="203575" spans="12:13" x14ac:dyDescent="0.25">
      <c r="L203575" s="472"/>
      <c r="M203575" s="472"/>
    </row>
    <row r="203576" spans="12:13" x14ac:dyDescent="0.25">
      <c r="L203576" s="472"/>
      <c r="M203576" s="472"/>
    </row>
    <row r="203577" spans="12:13" x14ac:dyDescent="0.25">
      <c r="L203577" s="472"/>
      <c r="M203577" s="472"/>
    </row>
    <row r="203649" spans="12:13" x14ac:dyDescent="0.25">
      <c r="L203649" s="472"/>
      <c r="M203649" s="472"/>
    </row>
    <row r="203650" spans="12:13" x14ac:dyDescent="0.25">
      <c r="L203650" s="472"/>
      <c r="M203650" s="472"/>
    </row>
    <row r="203651" spans="12:13" x14ac:dyDescent="0.25">
      <c r="L203651" s="472"/>
      <c r="M203651" s="472"/>
    </row>
    <row r="203723" spans="12:13" x14ac:dyDescent="0.25">
      <c r="L203723" s="472"/>
      <c r="M203723" s="472"/>
    </row>
    <row r="203724" spans="12:13" x14ac:dyDescent="0.25">
      <c r="L203724" s="472"/>
      <c r="M203724" s="472"/>
    </row>
    <row r="203725" spans="12:13" x14ac:dyDescent="0.25">
      <c r="L203725" s="472"/>
      <c r="M203725" s="472"/>
    </row>
    <row r="203797" spans="12:13" x14ac:dyDescent="0.25">
      <c r="L203797" s="472"/>
      <c r="M203797" s="472"/>
    </row>
    <row r="203798" spans="12:13" x14ac:dyDescent="0.25">
      <c r="L203798" s="472"/>
      <c r="M203798" s="472"/>
    </row>
    <row r="203799" spans="12:13" x14ac:dyDescent="0.25">
      <c r="L203799" s="472"/>
      <c r="M203799" s="472"/>
    </row>
    <row r="203871" spans="12:13" x14ac:dyDescent="0.25">
      <c r="L203871" s="472"/>
      <c r="M203871" s="472"/>
    </row>
    <row r="203872" spans="12:13" x14ac:dyDescent="0.25">
      <c r="L203872" s="472"/>
      <c r="M203872" s="472"/>
    </row>
    <row r="203873" spans="12:13" x14ac:dyDescent="0.25">
      <c r="L203873" s="472"/>
      <c r="M203873" s="472"/>
    </row>
    <row r="203945" spans="12:13" x14ac:dyDescent="0.25">
      <c r="L203945" s="472"/>
      <c r="M203945" s="472"/>
    </row>
    <row r="203946" spans="12:13" x14ac:dyDescent="0.25">
      <c r="L203946" s="472"/>
      <c r="M203946" s="472"/>
    </row>
    <row r="203947" spans="12:13" x14ac:dyDescent="0.25">
      <c r="L203947" s="472"/>
      <c r="M203947" s="472"/>
    </row>
    <row r="204019" spans="12:13" x14ac:dyDescent="0.25">
      <c r="L204019" s="472"/>
      <c r="M204019" s="472"/>
    </row>
    <row r="204020" spans="12:13" x14ac:dyDescent="0.25">
      <c r="L204020" s="472"/>
      <c r="M204020" s="472"/>
    </row>
    <row r="204021" spans="12:13" x14ac:dyDescent="0.25">
      <c r="L204021" s="472"/>
      <c r="M204021" s="472"/>
    </row>
    <row r="204093" spans="12:13" x14ac:dyDescent="0.25">
      <c r="L204093" s="472"/>
      <c r="M204093" s="472"/>
    </row>
    <row r="204094" spans="12:13" x14ac:dyDescent="0.25">
      <c r="L204094" s="472"/>
      <c r="M204094" s="472"/>
    </row>
    <row r="204095" spans="12:13" x14ac:dyDescent="0.25">
      <c r="L204095" s="472"/>
      <c r="M204095" s="472"/>
    </row>
    <row r="204167" spans="12:13" x14ac:dyDescent="0.25">
      <c r="L204167" s="472"/>
      <c r="M204167" s="472"/>
    </row>
    <row r="204168" spans="12:13" x14ac:dyDescent="0.25">
      <c r="L204168" s="472"/>
      <c r="M204168" s="472"/>
    </row>
    <row r="204169" spans="12:13" x14ac:dyDescent="0.25">
      <c r="L204169" s="472"/>
      <c r="M204169" s="472"/>
    </row>
    <row r="204241" spans="12:13" x14ac:dyDescent="0.25">
      <c r="L204241" s="472"/>
      <c r="M204241" s="472"/>
    </row>
    <row r="204242" spans="12:13" x14ac:dyDescent="0.25">
      <c r="L204242" s="472"/>
      <c r="M204242" s="472"/>
    </row>
    <row r="204243" spans="12:13" x14ac:dyDescent="0.25">
      <c r="L204243" s="472"/>
      <c r="M204243" s="472"/>
    </row>
    <row r="204315" spans="12:13" x14ac:dyDescent="0.25">
      <c r="L204315" s="472"/>
      <c r="M204315" s="472"/>
    </row>
    <row r="204316" spans="12:13" x14ac:dyDescent="0.25">
      <c r="L204316" s="472"/>
      <c r="M204316" s="472"/>
    </row>
    <row r="204317" spans="12:13" x14ac:dyDescent="0.25">
      <c r="L204317" s="472"/>
      <c r="M204317" s="472"/>
    </row>
    <row r="204389" spans="12:13" x14ac:dyDescent="0.25">
      <c r="L204389" s="472"/>
      <c r="M204389" s="472"/>
    </row>
    <row r="204390" spans="12:13" x14ac:dyDescent="0.25">
      <c r="L204390" s="472"/>
      <c r="M204390" s="472"/>
    </row>
    <row r="204391" spans="12:13" x14ac:dyDescent="0.25">
      <c r="L204391" s="472"/>
      <c r="M204391" s="472"/>
    </row>
    <row r="204463" spans="12:13" x14ac:dyDescent="0.25">
      <c r="L204463" s="472"/>
      <c r="M204463" s="472"/>
    </row>
    <row r="204464" spans="12:13" x14ac:dyDescent="0.25">
      <c r="L204464" s="472"/>
      <c r="M204464" s="472"/>
    </row>
    <row r="204465" spans="12:13" x14ac:dyDescent="0.25">
      <c r="L204465" s="472"/>
      <c r="M204465" s="472"/>
    </row>
    <row r="204537" spans="12:13" x14ac:dyDescent="0.25">
      <c r="L204537" s="472"/>
      <c r="M204537" s="472"/>
    </row>
    <row r="204538" spans="12:13" x14ac:dyDescent="0.25">
      <c r="L204538" s="472"/>
      <c r="M204538" s="472"/>
    </row>
    <row r="204539" spans="12:13" x14ac:dyDescent="0.25">
      <c r="L204539" s="472"/>
      <c r="M204539" s="472"/>
    </row>
    <row r="204611" spans="12:13" x14ac:dyDescent="0.25">
      <c r="L204611" s="472"/>
      <c r="M204611" s="472"/>
    </row>
    <row r="204612" spans="12:13" x14ac:dyDescent="0.25">
      <c r="L204612" s="472"/>
      <c r="M204612" s="472"/>
    </row>
    <row r="204613" spans="12:13" x14ac:dyDescent="0.25">
      <c r="L204613" s="472"/>
      <c r="M204613" s="472"/>
    </row>
    <row r="204685" spans="12:13" x14ac:dyDescent="0.25">
      <c r="L204685" s="472"/>
      <c r="M204685" s="472"/>
    </row>
    <row r="204686" spans="12:13" x14ac:dyDescent="0.25">
      <c r="L204686" s="472"/>
      <c r="M204686" s="472"/>
    </row>
    <row r="204687" spans="12:13" x14ac:dyDescent="0.25">
      <c r="L204687" s="472"/>
      <c r="M204687" s="472"/>
    </row>
    <row r="204759" spans="12:13" x14ac:dyDescent="0.25">
      <c r="L204759" s="472"/>
      <c r="M204759" s="472"/>
    </row>
    <row r="204760" spans="12:13" x14ac:dyDescent="0.25">
      <c r="L204760" s="472"/>
      <c r="M204760" s="472"/>
    </row>
    <row r="204761" spans="12:13" x14ac:dyDescent="0.25">
      <c r="L204761" s="472"/>
      <c r="M204761" s="472"/>
    </row>
    <row r="204833" spans="12:13" x14ac:dyDescent="0.25">
      <c r="L204833" s="472"/>
      <c r="M204833" s="472"/>
    </row>
    <row r="204834" spans="12:13" x14ac:dyDescent="0.25">
      <c r="L204834" s="472"/>
      <c r="M204834" s="472"/>
    </row>
    <row r="204835" spans="12:13" x14ac:dyDescent="0.25">
      <c r="L204835" s="472"/>
      <c r="M204835" s="472"/>
    </row>
    <row r="204907" spans="12:13" x14ac:dyDescent="0.25">
      <c r="L204907" s="472"/>
      <c r="M204907" s="472"/>
    </row>
    <row r="204908" spans="12:13" x14ac:dyDescent="0.25">
      <c r="L204908" s="472"/>
      <c r="M204908" s="472"/>
    </row>
    <row r="204909" spans="12:13" x14ac:dyDescent="0.25">
      <c r="L204909" s="472"/>
      <c r="M204909" s="472"/>
    </row>
    <row r="204981" spans="12:13" x14ac:dyDescent="0.25">
      <c r="L204981" s="472"/>
      <c r="M204981" s="472"/>
    </row>
    <row r="204982" spans="12:13" x14ac:dyDescent="0.25">
      <c r="L204982" s="472"/>
      <c r="M204982" s="472"/>
    </row>
    <row r="204983" spans="12:13" x14ac:dyDescent="0.25">
      <c r="L204983" s="472"/>
      <c r="M204983" s="472"/>
    </row>
    <row r="205055" spans="12:13" x14ac:dyDescent="0.25">
      <c r="L205055" s="472"/>
      <c r="M205055" s="472"/>
    </row>
    <row r="205056" spans="12:13" x14ac:dyDescent="0.25">
      <c r="L205056" s="472"/>
      <c r="M205056" s="472"/>
    </row>
    <row r="205057" spans="12:13" x14ac:dyDescent="0.25">
      <c r="L205057" s="472"/>
      <c r="M205057" s="472"/>
    </row>
    <row r="205129" spans="12:13" x14ac:dyDescent="0.25">
      <c r="L205129" s="472"/>
      <c r="M205129" s="472"/>
    </row>
    <row r="205130" spans="12:13" x14ac:dyDescent="0.25">
      <c r="L205130" s="472"/>
      <c r="M205130" s="472"/>
    </row>
    <row r="205131" spans="12:13" x14ac:dyDescent="0.25">
      <c r="L205131" s="472"/>
      <c r="M205131" s="472"/>
    </row>
    <row r="205203" spans="12:13" x14ac:dyDescent="0.25">
      <c r="L205203" s="472"/>
      <c r="M205203" s="472"/>
    </row>
    <row r="205204" spans="12:13" x14ac:dyDescent="0.25">
      <c r="L205204" s="472"/>
      <c r="M205204" s="472"/>
    </row>
    <row r="205205" spans="12:13" x14ac:dyDescent="0.25">
      <c r="L205205" s="472"/>
      <c r="M205205" s="472"/>
    </row>
    <row r="205277" spans="12:13" x14ac:dyDescent="0.25">
      <c r="L205277" s="472"/>
      <c r="M205277" s="472"/>
    </row>
    <row r="205278" spans="12:13" x14ac:dyDescent="0.25">
      <c r="L205278" s="472"/>
      <c r="M205278" s="472"/>
    </row>
    <row r="205279" spans="12:13" x14ac:dyDescent="0.25">
      <c r="L205279" s="472"/>
      <c r="M205279" s="472"/>
    </row>
    <row r="205351" spans="12:13" x14ac:dyDescent="0.25">
      <c r="L205351" s="472"/>
      <c r="M205351" s="472"/>
    </row>
    <row r="205352" spans="12:13" x14ac:dyDescent="0.25">
      <c r="L205352" s="472"/>
      <c r="M205352" s="472"/>
    </row>
    <row r="205353" spans="12:13" x14ac:dyDescent="0.25">
      <c r="L205353" s="472"/>
      <c r="M205353" s="472"/>
    </row>
    <row r="205425" spans="12:13" x14ac:dyDescent="0.25">
      <c r="L205425" s="472"/>
      <c r="M205425" s="472"/>
    </row>
    <row r="205426" spans="12:13" x14ac:dyDescent="0.25">
      <c r="L205426" s="472"/>
      <c r="M205426" s="472"/>
    </row>
    <row r="205427" spans="12:13" x14ac:dyDescent="0.25">
      <c r="L205427" s="472"/>
      <c r="M205427" s="472"/>
    </row>
    <row r="205499" spans="12:13" x14ac:dyDescent="0.25">
      <c r="L205499" s="472"/>
      <c r="M205499" s="472"/>
    </row>
    <row r="205500" spans="12:13" x14ac:dyDescent="0.25">
      <c r="L205500" s="472"/>
      <c r="M205500" s="472"/>
    </row>
    <row r="205501" spans="12:13" x14ac:dyDescent="0.25">
      <c r="L205501" s="472"/>
      <c r="M205501" s="472"/>
    </row>
    <row r="205573" spans="12:13" x14ac:dyDescent="0.25">
      <c r="L205573" s="472"/>
      <c r="M205573" s="472"/>
    </row>
    <row r="205574" spans="12:13" x14ac:dyDescent="0.25">
      <c r="L205574" s="472"/>
      <c r="M205574" s="472"/>
    </row>
    <row r="205575" spans="12:13" x14ac:dyDescent="0.25">
      <c r="L205575" s="472"/>
      <c r="M205575" s="472"/>
    </row>
    <row r="205647" spans="12:13" x14ac:dyDescent="0.25">
      <c r="L205647" s="472"/>
      <c r="M205647" s="472"/>
    </row>
    <row r="205648" spans="12:13" x14ac:dyDescent="0.25">
      <c r="L205648" s="472"/>
      <c r="M205648" s="472"/>
    </row>
    <row r="205649" spans="12:13" x14ac:dyDescent="0.25">
      <c r="L205649" s="472"/>
      <c r="M205649" s="472"/>
    </row>
    <row r="205721" spans="12:13" x14ac:dyDescent="0.25">
      <c r="L205721" s="472"/>
      <c r="M205721" s="472"/>
    </row>
    <row r="205722" spans="12:13" x14ac:dyDescent="0.25">
      <c r="L205722" s="472"/>
      <c r="M205722" s="472"/>
    </row>
    <row r="205723" spans="12:13" x14ac:dyDescent="0.25">
      <c r="L205723" s="472"/>
      <c r="M205723" s="472"/>
    </row>
    <row r="205795" spans="12:13" x14ac:dyDescent="0.25">
      <c r="L205795" s="472"/>
      <c r="M205795" s="472"/>
    </row>
    <row r="205796" spans="12:13" x14ac:dyDescent="0.25">
      <c r="L205796" s="472"/>
      <c r="M205796" s="472"/>
    </row>
    <row r="205797" spans="12:13" x14ac:dyDescent="0.25">
      <c r="L205797" s="472"/>
      <c r="M205797" s="472"/>
    </row>
    <row r="205869" spans="12:13" x14ac:dyDescent="0.25">
      <c r="L205869" s="472"/>
      <c r="M205869" s="472"/>
    </row>
    <row r="205870" spans="12:13" x14ac:dyDescent="0.25">
      <c r="L205870" s="472"/>
      <c r="M205870" s="472"/>
    </row>
    <row r="205871" spans="12:13" x14ac:dyDescent="0.25">
      <c r="L205871" s="472"/>
      <c r="M205871" s="472"/>
    </row>
    <row r="205943" spans="12:13" x14ac:dyDescent="0.25">
      <c r="L205943" s="472"/>
      <c r="M205943" s="472"/>
    </row>
    <row r="205944" spans="12:13" x14ac:dyDescent="0.25">
      <c r="L205944" s="472"/>
      <c r="M205944" s="472"/>
    </row>
    <row r="205945" spans="12:13" x14ac:dyDescent="0.25">
      <c r="L205945" s="472"/>
      <c r="M205945" s="472"/>
    </row>
    <row r="206017" spans="12:13" x14ac:dyDescent="0.25">
      <c r="L206017" s="472"/>
      <c r="M206017" s="472"/>
    </row>
    <row r="206018" spans="12:13" x14ac:dyDescent="0.25">
      <c r="L206018" s="472"/>
      <c r="M206018" s="472"/>
    </row>
    <row r="206019" spans="12:13" x14ac:dyDescent="0.25">
      <c r="L206019" s="472"/>
      <c r="M206019" s="472"/>
    </row>
    <row r="206091" spans="12:13" x14ac:dyDescent="0.25">
      <c r="L206091" s="472"/>
      <c r="M206091" s="472"/>
    </row>
    <row r="206092" spans="12:13" x14ac:dyDescent="0.25">
      <c r="L206092" s="472"/>
      <c r="M206092" s="472"/>
    </row>
    <row r="206093" spans="12:13" x14ac:dyDescent="0.25">
      <c r="L206093" s="472"/>
      <c r="M206093" s="472"/>
    </row>
    <row r="206165" spans="12:13" x14ac:dyDescent="0.25">
      <c r="L206165" s="472"/>
      <c r="M206165" s="472"/>
    </row>
    <row r="206166" spans="12:13" x14ac:dyDescent="0.25">
      <c r="L206166" s="472"/>
      <c r="M206166" s="472"/>
    </row>
    <row r="206167" spans="12:13" x14ac:dyDescent="0.25">
      <c r="L206167" s="472"/>
      <c r="M206167" s="472"/>
    </row>
    <row r="206239" spans="12:13" x14ac:dyDescent="0.25">
      <c r="L206239" s="472"/>
      <c r="M206239" s="472"/>
    </row>
    <row r="206240" spans="12:13" x14ac:dyDescent="0.25">
      <c r="L206240" s="472"/>
      <c r="M206240" s="472"/>
    </row>
    <row r="206241" spans="12:13" x14ac:dyDescent="0.25">
      <c r="L206241" s="472"/>
      <c r="M206241" s="472"/>
    </row>
    <row r="206313" spans="12:13" x14ac:dyDescent="0.25">
      <c r="L206313" s="472"/>
      <c r="M206313" s="472"/>
    </row>
    <row r="206314" spans="12:13" x14ac:dyDescent="0.25">
      <c r="L206314" s="472"/>
      <c r="M206314" s="472"/>
    </row>
    <row r="206315" spans="12:13" x14ac:dyDescent="0.25">
      <c r="L206315" s="472"/>
      <c r="M206315" s="472"/>
    </row>
    <row r="206387" spans="12:13" x14ac:dyDescent="0.25">
      <c r="L206387" s="472"/>
      <c r="M206387" s="472"/>
    </row>
    <row r="206388" spans="12:13" x14ac:dyDescent="0.25">
      <c r="L206388" s="472"/>
      <c r="M206388" s="472"/>
    </row>
    <row r="206389" spans="12:13" x14ac:dyDescent="0.25">
      <c r="L206389" s="472"/>
      <c r="M206389" s="472"/>
    </row>
    <row r="206461" spans="12:13" x14ac:dyDescent="0.25">
      <c r="L206461" s="472"/>
      <c r="M206461" s="472"/>
    </row>
    <row r="206462" spans="12:13" x14ac:dyDescent="0.25">
      <c r="L206462" s="472"/>
      <c r="M206462" s="472"/>
    </row>
    <row r="206463" spans="12:13" x14ac:dyDescent="0.25">
      <c r="L206463" s="472"/>
      <c r="M206463" s="472"/>
    </row>
    <row r="206535" spans="12:13" x14ac:dyDescent="0.25">
      <c r="L206535" s="472"/>
      <c r="M206535" s="472"/>
    </row>
    <row r="206536" spans="12:13" x14ac:dyDescent="0.25">
      <c r="L206536" s="472"/>
      <c r="M206536" s="472"/>
    </row>
    <row r="206537" spans="12:13" x14ac:dyDescent="0.25">
      <c r="L206537" s="472"/>
      <c r="M206537" s="472"/>
    </row>
    <row r="206609" spans="12:13" x14ac:dyDescent="0.25">
      <c r="L206609" s="472"/>
      <c r="M206609" s="472"/>
    </row>
    <row r="206610" spans="12:13" x14ac:dyDescent="0.25">
      <c r="L206610" s="472"/>
      <c r="M206610" s="472"/>
    </row>
    <row r="206611" spans="12:13" x14ac:dyDescent="0.25">
      <c r="L206611" s="472"/>
      <c r="M206611" s="472"/>
    </row>
    <row r="206683" spans="12:13" x14ac:dyDescent="0.25">
      <c r="L206683" s="472"/>
      <c r="M206683" s="472"/>
    </row>
    <row r="206684" spans="12:13" x14ac:dyDescent="0.25">
      <c r="L206684" s="472"/>
      <c r="M206684" s="472"/>
    </row>
    <row r="206685" spans="12:13" x14ac:dyDescent="0.25">
      <c r="L206685" s="472"/>
      <c r="M206685" s="472"/>
    </row>
    <row r="206757" spans="12:13" x14ac:dyDescent="0.25">
      <c r="L206757" s="472"/>
      <c r="M206757" s="472"/>
    </row>
    <row r="206758" spans="12:13" x14ac:dyDescent="0.25">
      <c r="L206758" s="472"/>
      <c r="M206758" s="472"/>
    </row>
    <row r="206759" spans="12:13" x14ac:dyDescent="0.25">
      <c r="L206759" s="472"/>
      <c r="M206759" s="472"/>
    </row>
    <row r="206831" spans="12:13" x14ac:dyDescent="0.25">
      <c r="L206831" s="472"/>
      <c r="M206831" s="472"/>
    </row>
    <row r="206832" spans="12:13" x14ac:dyDescent="0.25">
      <c r="L206832" s="472"/>
      <c r="M206832" s="472"/>
    </row>
    <row r="206833" spans="12:13" x14ac:dyDescent="0.25">
      <c r="L206833" s="472"/>
      <c r="M206833" s="472"/>
    </row>
    <row r="206905" spans="12:13" x14ac:dyDescent="0.25">
      <c r="L206905" s="472"/>
      <c r="M206905" s="472"/>
    </row>
    <row r="206906" spans="12:13" x14ac:dyDescent="0.25">
      <c r="L206906" s="472"/>
      <c r="M206906" s="472"/>
    </row>
    <row r="206907" spans="12:13" x14ac:dyDescent="0.25">
      <c r="L206907" s="472"/>
      <c r="M206907" s="472"/>
    </row>
    <row r="206979" spans="12:13" x14ac:dyDescent="0.25">
      <c r="L206979" s="472"/>
      <c r="M206979" s="472"/>
    </row>
    <row r="206980" spans="12:13" x14ac:dyDescent="0.25">
      <c r="L206980" s="472"/>
      <c r="M206980" s="472"/>
    </row>
    <row r="206981" spans="12:13" x14ac:dyDescent="0.25">
      <c r="L206981" s="472"/>
      <c r="M206981" s="472"/>
    </row>
    <row r="207053" spans="12:13" x14ac:dyDescent="0.25">
      <c r="L207053" s="472"/>
      <c r="M207053" s="472"/>
    </row>
    <row r="207054" spans="12:13" x14ac:dyDescent="0.25">
      <c r="L207054" s="472"/>
      <c r="M207054" s="472"/>
    </row>
    <row r="207055" spans="12:13" x14ac:dyDescent="0.25">
      <c r="L207055" s="472"/>
      <c r="M207055" s="472"/>
    </row>
    <row r="207127" spans="12:13" x14ac:dyDescent="0.25">
      <c r="L207127" s="472"/>
      <c r="M207127" s="472"/>
    </row>
    <row r="207128" spans="12:13" x14ac:dyDescent="0.25">
      <c r="L207128" s="472"/>
      <c r="M207128" s="472"/>
    </row>
    <row r="207129" spans="12:13" x14ac:dyDescent="0.25">
      <c r="L207129" s="472"/>
      <c r="M207129" s="472"/>
    </row>
    <row r="207201" spans="12:13" x14ac:dyDescent="0.25">
      <c r="L207201" s="472"/>
      <c r="M207201" s="472"/>
    </row>
    <row r="207202" spans="12:13" x14ac:dyDescent="0.25">
      <c r="L207202" s="472"/>
      <c r="M207202" s="472"/>
    </row>
    <row r="207203" spans="12:13" x14ac:dyDescent="0.25">
      <c r="L207203" s="472"/>
      <c r="M207203" s="472"/>
    </row>
    <row r="207275" spans="12:13" x14ac:dyDescent="0.25">
      <c r="L207275" s="472"/>
      <c r="M207275" s="472"/>
    </row>
    <row r="207276" spans="12:13" x14ac:dyDescent="0.25">
      <c r="L207276" s="472"/>
      <c r="M207276" s="472"/>
    </row>
    <row r="207277" spans="12:13" x14ac:dyDescent="0.25">
      <c r="L207277" s="472"/>
      <c r="M207277" s="472"/>
    </row>
    <row r="207349" spans="12:13" x14ac:dyDescent="0.25">
      <c r="L207349" s="472"/>
      <c r="M207349" s="472"/>
    </row>
    <row r="207350" spans="12:13" x14ac:dyDescent="0.25">
      <c r="L207350" s="472"/>
      <c r="M207350" s="472"/>
    </row>
    <row r="207351" spans="12:13" x14ac:dyDescent="0.25">
      <c r="L207351" s="472"/>
      <c r="M207351" s="472"/>
    </row>
    <row r="207423" spans="12:13" x14ac:dyDescent="0.25">
      <c r="L207423" s="472"/>
      <c r="M207423" s="472"/>
    </row>
    <row r="207424" spans="12:13" x14ac:dyDescent="0.25">
      <c r="L207424" s="472"/>
      <c r="M207424" s="472"/>
    </row>
    <row r="207425" spans="12:13" x14ac:dyDescent="0.25">
      <c r="L207425" s="472"/>
      <c r="M207425" s="472"/>
    </row>
    <row r="207497" spans="12:13" x14ac:dyDescent="0.25">
      <c r="L207497" s="472"/>
      <c r="M207497" s="472"/>
    </row>
    <row r="207498" spans="12:13" x14ac:dyDescent="0.25">
      <c r="L207498" s="472"/>
      <c r="M207498" s="472"/>
    </row>
    <row r="207499" spans="12:13" x14ac:dyDescent="0.25">
      <c r="L207499" s="472"/>
      <c r="M207499" s="472"/>
    </row>
    <row r="207571" spans="12:13" x14ac:dyDescent="0.25">
      <c r="L207571" s="472"/>
      <c r="M207571" s="472"/>
    </row>
    <row r="207572" spans="12:13" x14ac:dyDescent="0.25">
      <c r="L207572" s="472"/>
      <c r="M207572" s="472"/>
    </row>
    <row r="207573" spans="12:13" x14ac:dyDescent="0.25">
      <c r="L207573" s="472"/>
      <c r="M207573" s="472"/>
    </row>
    <row r="207645" spans="12:13" x14ac:dyDescent="0.25">
      <c r="L207645" s="472"/>
      <c r="M207645" s="472"/>
    </row>
    <row r="207646" spans="12:13" x14ac:dyDescent="0.25">
      <c r="L207646" s="472"/>
      <c r="M207646" s="472"/>
    </row>
    <row r="207647" spans="12:13" x14ac:dyDescent="0.25">
      <c r="L207647" s="472"/>
      <c r="M207647" s="472"/>
    </row>
    <row r="207719" spans="12:13" x14ac:dyDescent="0.25">
      <c r="L207719" s="472"/>
      <c r="M207719" s="472"/>
    </row>
    <row r="207720" spans="12:13" x14ac:dyDescent="0.25">
      <c r="L207720" s="472"/>
      <c r="M207720" s="472"/>
    </row>
    <row r="207721" spans="12:13" x14ac:dyDescent="0.25">
      <c r="L207721" s="472"/>
      <c r="M207721" s="472"/>
    </row>
    <row r="207793" spans="12:13" x14ac:dyDescent="0.25">
      <c r="L207793" s="472"/>
      <c r="M207793" s="472"/>
    </row>
    <row r="207794" spans="12:13" x14ac:dyDescent="0.25">
      <c r="L207794" s="472"/>
      <c r="M207794" s="472"/>
    </row>
    <row r="207795" spans="12:13" x14ac:dyDescent="0.25">
      <c r="L207795" s="472"/>
      <c r="M207795" s="472"/>
    </row>
    <row r="207867" spans="12:13" x14ac:dyDescent="0.25">
      <c r="L207867" s="472"/>
      <c r="M207867" s="472"/>
    </row>
    <row r="207868" spans="12:13" x14ac:dyDescent="0.25">
      <c r="L207868" s="472"/>
      <c r="M207868" s="472"/>
    </row>
    <row r="207869" spans="12:13" x14ac:dyDescent="0.25">
      <c r="L207869" s="472"/>
      <c r="M207869" s="472"/>
    </row>
    <row r="207941" spans="12:13" x14ac:dyDescent="0.25">
      <c r="L207941" s="472"/>
      <c r="M207941" s="472"/>
    </row>
    <row r="207942" spans="12:13" x14ac:dyDescent="0.25">
      <c r="L207942" s="472"/>
      <c r="M207942" s="472"/>
    </row>
    <row r="207943" spans="12:13" x14ac:dyDescent="0.25">
      <c r="L207943" s="472"/>
      <c r="M207943" s="472"/>
    </row>
    <row r="208015" spans="12:13" x14ac:dyDescent="0.25">
      <c r="L208015" s="472"/>
      <c r="M208015" s="472"/>
    </row>
    <row r="208016" spans="12:13" x14ac:dyDescent="0.25">
      <c r="L208016" s="472"/>
      <c r="M208016" s="472"/>
    </row>
    <row r="208017" spans="12:13" x14ac:dyDescent="0.25">
      <c r="L208017" s="472"/>
      <c r="M208017" s="472"/>
    </row>
    <row r="208089" spans="12:13" x14ac:dyDescent="0.25">
      <c r="L208089" s="472"/>
      <c r="M208089" s="472"/>
    </row>
    <row r="208090" spans="12:13" x14ac:dyDescent="0.25">
      <c r="L208090" s="472"/>
      <c r="M208090" s="472"/>
    </row>
    <row r="208091" spans="12:13" x14ac:dyDescent="0.25">
      <c r="L208091" s="472"/>
      <c r="M208091" s="472"/>
    </row>
    <row r="208163" spans="12:13" x14ac:dyDescent="0.25">
      <c r="L208163" s="472"/>
      <c r="M208163" s="472"/>
    </row>
    <row r="208164" spans="12:13" x14ac:dyDescent="0.25">
      <c r="L208164" s="472"/>
      <c r="M208164" s="472"/>
    </row>
    <row r="208165" spans="12:13" x14ac:dyDescent="0.25">
      <c r="L208165" s="472"/>
      <c r="M208165" s="472"/>
    </row>
    <row r="208237" spans="12:13" x14ac:dyDescent="0.25">
      <c r="L208237" s="472"/>
      <c r="M208237" s="472"/>
    </row>
    <row r="208238" spans="12:13" x14ac:dyDescent="0.25">
      <c r="L208238" s="472"/>
      <c r="M208238" s="472"/>
    </row>
    <row r="208239" spans="12:13" x14ac:dyDescent="0.25">
      <c r="L208239" s="472"/>
      <c r="M208239" s="472"/>
    </row>
    <row r="208311" spans="12:13" x14ac:dyDescent="0.25">
      <c r="L208311" s="472"/>
      <c r="M208311" s="472"/>
    </row>
    <row r="208312" spans="12:13" x14ac:dyDescent="0.25">
      <c r="L208312" s="472"/>
      <c r="M208312" s="472"/>
    </row>
    <row r="208313" spans="12:13" x14ac:dyDescent="0.25">
      <c r="L208313" s="472"/>
      <c r="M208313" s="472"/>
    </row>
    <row r="208385" spans="12:13" x14ac:dyDescent="0.25">
      <c r="L208385" s="472"/>
      <c r="M208385" s="472"/>
    </row>
    <row r="208386" spans="12:13" x14ac:dyDescent="0.25">
      <c r="L208386" s="472"/>
      <c r="M208386" s="472"/>
    </row>
    <row r="208387" spans="12:13" x14ac:dyDescent="0.25">
      <c r="L208387" s="472"/>
      <c r="M208387" s="472"/>
    </row>
    <row r="208459" spans="12:13" x14ac:dyDescent="0.25">
      <c r="L208459" s="472"/>
      <c r="M208459" s="472"/>
    </row>
    <row r="208460" spans="12:13" x14ac:dyDescent="0.25">
      <c r="L208460" s="472"/>
      <c r="M208460" s="472"/>
    </row>
    <row r="208461" spans="12:13" x14ac:dyDescent="0.25">
      <c r="L208461" s="472"/>
      <c r="M208461" s="472"/>
    </row>
    <row r="208533" spans="12:13" x14ac:dyDescent="0.25">
      <c r="L208533" s="472"/>
      <c r="M208533" s="472"/>
    </row>
    <row r="208534" spans="12:13" x14ac:dyDescent="0.25">
      <c r="L208534" s="472"/>
      <c r="M208534" s="472"/>
    </row>
    <row r="208535" spans="12:13" x14ac:dyDescent="0.25">
      <c r="L208535" s="472"/>
      <c r="M208535" s="472"/>
    </row>
    <row r="208607" spans="12:13" x14ac:dyDescent="0.25">
      <c r="L208607" s="472"/>
      <c r="M208607" s="472"/>
    </row>
    <row r="208608" spans="12:13" x14ac:dyDescent="0.25">
      <c r="L208608" s="472"/>
      <c r="M208608" s="472"/>
    </row>
    <row r="208609" spans="12:13" x14ac:dyDescent="0.25">
      <c r="L208609" s="472"/>
      <c r="M208609" s="472"/>
    </row>
    <row r="208681" spans="12:13" x14ac:dyDescent="0.25">
      <c r="L208681" s="472"/>
      <c r="M208681" s="472"/>
    </row>
    <row r="208682" spans="12:13" x14ac:dyDescent="0.25">
      <c r="L208682" s="472"/>
      <c r="M208682" s="472"/>
    </row>
    <row r="208683" spans="12:13" x14ac:dyDescent="0.25">
      <c r="L208683" s="472"/>
      <c r="M208683" s="472"/>
    </row>
    <row r="208755" spans="12:13" x14ac:dyDescent="0.25">
      <c r="L208755" s="472"/>
      <c r="M208755" s="472"/>
    </row>
    <row r="208756" spans="12:13" x14ac:dyDescent="0.25">
      <c r="L208756" s="472"/>
      <c r="M208756" s="472"/>
    </row>
    <row r="208757" spans="12:13" x14ac:dyDescent="0.25">
      <c r="L208757" s="472"/>
      <c r="M208757" s="472"/>
    </row>
    <row r="208829" spans="12:13" x14ac:dyDescent="0.25">
      <c r="L208829" s="472"/>
      <c r="M208829" s="472"/>
    </row>
    <row r="208830" spans="12:13" x14ac:dyDescent="0.25">
      <c r="L208830" s="472"/>
      <c r="M208830" s="472"/>
    </row>
    <row r="208831" spans="12:13" x14ac:dyDescent="0.25">
      <c r="L208831" s="472"/>
      <c r="M208831" s="472"/>
    </row>
    <row r="208903" spans="12:13" x14ac:dyDescent="0.25">
      <c r="L208903" s="472"/>
      <c r="M208903" s="472"/>
    </row>
    <row r="208904" spans="12:13" x14ac:dyDescent="0.25">
      <c r="L208904" s="472"/>
      <c r="M208904" s="472"/>
    </row>
    <row r="208905" spans="12:13" x14ac:dyDescent="0.25">
      <c r="L208905" s="472"/>
      <c r="M208905" s="472"/>
    </row>
    <row r="208977" spans="12:13" x14ac:dyDescent="0.25">
      <c r="L208977" s="472"/>
      <c r="M208977" s="472"/>
    </row>
    <row r="208978" spans="12:13" x14ac:dyDescent="0.25">
      <c r="L208978" s="472"/>
      <c r="M208978" s="472"/>
    </row>
    <row r="208979" spans="12:13" x14ac:dyDescent="0.25">
      <c r="L208979" s="472"/>
      <c r="M208979" s="472"/>
    </row>
    <row r="209051" spans="12:13" x14ac:dyDescent="0.25">
      <c r="L209051" s="472"/>
      <c r="M209051" s="472"/>
    </row>
    <row r="209052" spans="12:13" x14ac:dyDescent="0.25">
      <c r="L209052" s="472"/>
      <c r="M209052" s="472"/>
    </row>
    <row r="209053" spans="12:13" x14ac:dyDescent="0.25">
      <c r="L209053" s="472"/>
      <c r="M209053" s="472"/>
    </row>
    <row r="209125" spans="12:13" x14ac:dyDescent="0.25">
      <c r="L209125" s="472"/>
      <c r="M209125" s="472"/>
    </row>
    <row r="209126" spans="12:13" x14ac:dyDescent="0.25">
      <c r="L209126" s="472"/>
      <c r="M209126" s="472"/>
    </row>
    <row r="209127" spans="12:13" x14ac:dyDescent="0.25">
      <c r="L209127" s="472"/>
      <c r="M209127" s="472"/>
    </row>
    <row r="209199" spans="12:13" x14ac:dyDescent="0.25">
      <c r="L209199" s="472"/>
      <c r="M209199" s="472"/>
    </row>
    <row r="209200" spans="12:13" x14ac:dyDescent="0.25">
      <c r="L209200" s="472"/>
      <c r="M209200" s="472"/>
    </row>
    <row r="209201" spans="12:13" x14ac:dyDescent="0.25">
      <c r="L209201" s="472"/>
      <c r="M209201" s="472"/>
    </row>
    <row r="209273" spans="12:13" x14ac:dyDescent="0.25">
      <c r="L209273" s="472"/>
      <c r="M209273" s="472"/>
    </row>
    <row r="209274" spans="12:13" x14ac:dyDescent="0.25">
      <c r="L209274" s="472"/>
      <c r="M209274" s="472"/>
    </row>
    <row r="209275" spans="12:13" x14ac:dyDescent="0.25">
      <c r="L209275" s="472"/>
      <c r="M209275" s="472"/>
    </row>
    <row r="209347" spans="12:13" x14ac:dyDescent="0.25">
      <c r="L209347" s="472"/>
      <c r="M209347" s="472"/>
    </row>
    <row r="209348" spans="12:13" x14ac:dyDescent="0.25">
      <c r="L209348" s="472"/>
      <c r="M209348" s="472"/>
    </row>
    <row r="209349" spans="12:13" x14ac:dyDescent="0.25">
      <c r="L209349" s="472"/>
      <c r="M209349" s="472"/>
    </row>
    <row r="209421" spans="12:13" x14ac:dyDescent="0.25">
      <c r="L209421" s="472"/>
      <c r="M209421" s="472"/>
    </row>
    <row r="209422" spans="12:13" x14ac:dyDescent="0.25">
      <c r="L209422" s="472"/>
      <c r="M209422" s="472"/>
    </row>
    <row r="209423" spans="12:13" x14ac:dyDescent="0.25">
      <c r="L209423" s="472"/>
      <c r="M209423" s="472"/>
    </row>
    <row r="209495" spans="12:13" x14ac:dyDescent="0.25">
      <c r="L209495" s="472"/>
      <c r="M209495" s="472"/>
    </row>
    <row r="209496" spans="12:13" x14ac:dyDescent="0.25">
      <c r="L209496" s="472"/>
      <c r="M209496" s="472"/>
    </row>
    <row r="209497" spans="12:13" x14ac:dyDescent="0.25">
      <c r="L209497" s="472"/>
      <c r="M209497" s="472"/>
    </row>
    <row r="209569" spans="12:13" x14ac:dyDescent="0.25">
      <c r="L209569" s="472"/>
      <c r="M209569" s="472"/>
    </row>
    <row r="209570" spans="12:13" x14ac:dyDescent="0.25">
      <c r="L209570" s="472"/>
      <c r="M209570" s="472"/>
    </row>
    <row r="209571" spans="12:13" x14ac:dyDescent="0.25">
      <c r="L209571" s="472"/>
      <c r="M209571" s="472"/>
    </row>
    <row r="209643" spans="12:13" x14ac:dyDescent="0.25">
      <c r="L209643" s="472"/>
      <c r="M209643" s="472"/>
    </row>
    <row r="209644" spans="12:13" x14ac:dyDescent="0.25">
      <c r="L209644" s="472"/>
      <c r="M209644" s="472"/>
    </row>
    <row r="209645" spans="12:13" x14ac:dyDescent="0.25">
      <c r="L209645" s="472"/>
      <c r="M209645" s="472"/>
    </row>
    <row r="209717" spans="12:13" x14ac:dyDescent="0.25">
      <c r="L209717" s="472"/>
      <c r="M209717" s="472"/>
    </row>
    <row r="209718" spans="12:13" x14ac:dyDescent="0.25">
      <c r="L209718" s="472"/>
      <c r="M209718" s="472"/>
    </row>
    <row r="209719" spans="12:13" x14ac:dyDescent="0.25">
      <c r="L209719" s="472"/>
      <c r="M209719" s="472"/>
    </row>
    <row r="209791" spans="12:13" x14ac:dyDescent="0.25">
      <c r="L209791" s="472"/>
      <c r="M209791" s="472"/>
    </row>
    <row r="209792" spans="12:13" x14ac:dyDescent="0.25">
      <c r="L209792" s="472"/>
      <c r="M209792" s="472"/>
    </row>
    <row r="209793" spans="12:13" x14ac:dyDescent="0.25">
      <c r="L209793" s="472"/>
      <c r="M209793" s="472"/>
    </row>
    <row r="209865" spans="12:13" x14ac:dyDescent="0.25">
      <c r="L209865" s="472"/>
      <c r="M209865" s="472"/>
    </row>
    <row r="209866" spans="12:13" x14ac:dyDescent="0.25">
      <c r="L209866" s="472"/>
      <c r="M209866" s="472"/>
    </row>
    <row r="209867" spans="12:13" x14ac:dyDescent="0.25">
      <c r="L209867" s="472"/>
      <c r="M209867" s="472"/>
    </row>
    <row r="209939" spans="12:13" x14ac:dyDescent="0.25">
      <c r="L209939" s="472"/>
      <c r="M209939" s="472"/>
    </row>
    <row r="209940" spans="12:13" x14ac:dyDescent="0.25">
      <c r="L209940" s="472"/>
      <c r="M209940" s="472"/>
    </row>
    <row r="209941" spans="12:13" x14ac:dyDescent="0.25">
      <c r="L209941" s="472"/>
      <c r="M209941" s="472"/>
    </row>
    <row r="210013" spans="12:13" x14ac:dyDescent="0.25">
      <c r="L210013" s="472"/>
      <c r="M210013" s="472"/>
    </row>
    <row r="210014" spans="12:13" x14ac:dyDescent="0.25">
      <c r="L210014" s="472"/>
      <c r="M210014" s="472"/>
    </row>
    <row r="210015" spans="12:13" x14ac:dyDescent="0.25">
      <c r="L210015" s="472"/>
      <c r="M210015" s="472"/>
    </row>
    <row r="210087" spans="12:13" x14ac:dyDescent="0.25">
      <c r="L210087" s="472"/>
      <c r="M210087" s="472"/>
    </row>
    <row r="210088" spans="12:13" x14ac:dyDescent="0.25">
      <c r="L210088" s="472"/>
      <c r="M210088" s="472"/>
    </row>
    <row r="210089" spans="12:13" x14ac:dyDescent="0.25">
      <c r="L210089" s="472"/>
      <c r="M210089" s="472"/>
    </row>
    <row r="210161" spans="12:13" x14ac:dyDescent="0.25">
      <c r="L210161" s="472"/>
      <c r="M210161" s="472"/>
    </row>
    <row r="210162" spans="12:13" x14ac:dyDescent="0.25">
      <c r="L210162" s="472"/>
      <c r="M210162" s="472"/>
    </row>
    <row r="210163" spans="12:13" x14ac:dyDescent="0.25">
      <c r="L210163" s="472"/>
      <c r="M210163" s="472"/>
    </row>
    <row r="210235" spans="12:13" x14ac:dyDescent="0.25">
      <c r="L210235" s="472"/>
      <c r="M210235" s="472"/>
    </row>
    <row r="210236" spans="12:13" x14ac:dyDescent="0.25">
      <c r="L210236" s="472"/>
      <c r="M210236" s="472"/>
    </row>
    <row r="210237" spans="12:13" x14ac:dyDescent="0.25">
      <c r="L210237" s="472"/>
      <c r="M210237" s="472"/>
    </row>
    <row r="210309" spans="12:13" x14ac:dyDescent="0.25">
      <c r="L210309" s="472"/>
      <c r="M210309" s="472"/>
    </row>
    <row r="210310" spans="12:13" x14ac:dyDescent="0.25">
      <c r="L210310" s="472"/>
      <c r="M210310" s="472"/>
    </row>
    <row r="210311" spans="12:13" x14ac:dyDescent="0.25">
      <c r="L210311" s="472"/>
      <c r="M210311" s="472"/>
    </row>
    <row r="210383" spans="12:13" x14ac:dyDescent="0.25">
      <c r="L210383" s="472"/>
      <c r="M210383" s="472"/>
    </row>
    <row r="210384" spans="12:13" x14ac:dyDescent="0.25">
      <c r="L210384" s="472"/>
      <c r="M210384" s="472"/>
    </row>
    <row r="210385" spans="12:13" x14ac:dyDescent="0.25">
      <c r="L210385" s="472"/>
      <c r="M210385" s="472"/>
    </row>
    <row r="210457" spans="12:13" x14ac:dyDescent="0.25">
      <c r="L210457" s="472"/>
      <c r="M210457" s="472"/>
    </row>
    <row r="210458" spans="12:13" x14ac:dyDescent="0.25">
      <c r="L210458" s="472"/>
      <c r="M210458" s="472"/>
    </row>
    <row r="210459" spans="12:13" x14ac:dyDescent="0.25">
      <c r="L210459" s="472"/>
      <c r="M210459" s="472"/>
    </row>
    <row r="210531" spans="12:13" x14ac:dyDescent="0.25">
      <c r="L210531" s="472"/>
      <c r="M210531" s="472"/>
    </row>
    <row r="210532" spans="12:13" x14ac:dyDescent="0.25">
      <c r="L210532" s="472"/>
      <c r="M210532" s="472"/>
    </row>
    <row r="210533" spans="12:13" x14ac:dyDescent="0.25">
      <c r="L210533" s="472"/>
      <c r="M210533" s="472"/>
    </row>
    <row r="210605" spans="12:13" x14ac:dyDescent="0.25">
      <c r="L210605" s="472"/>
      <c r="M210605" s="472"/>
    </row>
    <row r="210606" spans="12:13" x14ac:dyDescent="0.25">
      <c r="L210606" s="472"/>
      <c r="M210606" s="472"/>
    </row>
    <row r="210607" spans="12:13" x14ac:dyDescent="0.25">
      <c r="L210607" s="472"/>
      <c r="M210607" s="472"/>
    </row>
    <row r="210679" spans="12:13" x14ac:dyDescent="0.25">
      <c r="L210679" s="472"/>
      <c r="M210679" s="472"/>
    </row>
    <row r="210680" spans="12:13" x14ac:dyDescent="0.25">
      <c r="L210680" s="472"/>
      <c r="M210680" s="472"/>
    </row>
    <row r="210681" spans="12:13" x14ac:dyDescent="0.25">
      <c r="L210681" s="472"/>
      <c r="M210681" s="472"/>
    </row>
    <row r="210753" spans="12:13" x14ac:dyDescent="0.25">
      <c r="L210753" s="472"/>
      <c r="M210753" s="472"/>
    </row>
    <row r="210754" spans="12:13" x14ac:dyDescent="0.25">
      <c r="L210754" s="472"/>
      <c r="M210754" s="472"/>
    </row>
    <row r="210755" spans="12:13" x14ac:dyDescent="0.25">
      <c r="L210755" s="472"/>
      <c r="M210755" s="472"/>
    </row>
    <row r="210827" spans="12:13" x14ac:dyDescent="0.25">
      <c r="L210827" s="472"/>
      <c r="M210827" s="472"/>
    </row>
    <row r="210828" spans="12:13" x14ac:dyDescent="0.25">
      <c r="L210828" s="472"/>
      <c r="M210828" s="472"/>
    </row>
    <row r="210829" spans="12:13" x14ac:dyDescent="0.25">
      <c r="L210829" s="472"/>
      <c r="M210829" s="472"/>
    </row>
    <row r="210901" spans="12:13" x14ac:dyDescent="0.25">
      <c r="L210901" s="472"/>
      <c r="M210901" s="472"/>
    </row>
    <row r="210902" spans="12:13" x14ac:dyDescent="0.25">
      <c r="L210902" s="472"/>
      <c r="M210902" s="472"/>
    </row>
    <row r="210903" spans="12:13" x14ac:dyDescent="0.25">
      <c r="L210903" s="472"/>
      <c r="M210903" s="472"/>
    </row>
    <row r="210975" spans="12:13" x14ac:dyDescent="0.25">
      <c r="L210975" s="472"/>
      <c r="M210975" s="472"/>
    </row>
    <row r="210976" spans="12:13" x14ac:dyDescent="0.25">
      <c r="L210976" s="472"/>
      <c r="M210976" s="472"/>
    </row>
    <row r="210977" spans="12:13" x14ac:dyDescent="0.25">
      <c r="L210977" s="472"/>
      <c r="M210977" s="472"/>
    </row>
    <row r="211049" spans="12:13" x14ac:dyDescent="0.25">
      <c r="L211049" s="472"/>
      <c r="M211049" s="472"/>
    </row>
    <row r="211050" spans="12:13" x14ac:dyDescent="0.25">
      <c r="L211050" s="472"/>
      <c r="M211050" s="472"/>
    </row>
    <row r="211051" spans="12:13" x14ac:dyDescent="0.25">
      <c r="L211051" s="472"/>
      <c r="M211051" s="472"/>
    </row>
    <row r="211123" spans="12:13" x14ac:dyDescent="0.25">
      <c r="L211123" s="472"/>
      <c r="M211123" s="472"/>
    </row>
    <row r="211124" spans="12:13" x14ac:dyDescent="0.25">
      <c r="L211124" s="472"/>
      <c r="M211124" s="472"/>
    </row>
    <row r="211125" spans="12:13" x14ac:dyDescent="0.25">
      <c r="L211125" s="472"/>
      <c r="M211125" s="472"/>
    </row>
    <row r="211197" spans="12:13" x14ac:dyDescent="0.25">
      <c r="L211197" s="472"/>
      <c r="M211197" s="472"/>
    </row>
    <row r="211198" spans="12:13" x14ac:dyDescent="0.25">
      <c r="L211198" s="472"/>
      <c r="M211198" s="472"/>
    </row>
    <row r="211199" spans="12:13" x14ac:dyDescent="0.25">
      <c r="L211199" s="472"/>
      <c r="M211199" s="472"/>
    </row>
    <row r="211271" spans="12:13" x14ac:dyDescent="0.25">
      <c r="L211271" s="472"/>
      <c r="M211271" s="472"/>
    </row>
    <row r="211272" spans="12:13" x14ac:dyDescent="0.25">
      <c r="L211272" s="472"/>
      <c r="M211272" s="472"/>
    </row>
    <row r="211273" spans="12:13" x14ac:dyDescent="0.25">
      <c r="L211273" s="472"/>
      <c r="M211273" s="472"/>
    </row>
    <row r="211345" spans="12:13" x14ac:dyDescent="0.25">
      <c r="L211345" s="472"/>
      <c r="M211345" s="472"/>
    </row>
    <row r="211346" spans="12:13" x14ac:dyDescent="0.25">
      <c r="L211346" s="472"/>
      <c r="M211346" s="472"/>
    </row>
    <row r="211347" spans="12:13" x14ac:dyDescent="0.25">
      <c r="L211347" s="472"/>
      <c r="M211347" s="472"/>
    </row>
    <row r="211419" spans="12:13" x14ac:dyDescent="0.25">
      <c r="L211419" s="472"/>
      <c r="M211419" s="472"/>
    </row>
    <row r="211420" spans="12:13" x14ac:dyDescent="0.25">
      <c r="L211420" s="472"/>
      <c r="M211420" s="472"/>
    </row>
    <row r="211421" spans="12:13" x14ac:dyDescent="0.25">
      <c r="L211421" s="472"/>
      <c r="M211421" s="472"/>
    </row>
    <row r="211493" spans="12:13" x14ac:dyDescent="0.25">
      <c r="L211493" s="472"/>
      <c r="M211493" s="472"/>
    </row>
    <row r="211494" spans="12:13" x14ac:dyDescent="0.25">
      <c r="L211494" s="472"/>
      <c r="M211494" s="472"/>
    </row>
    <row r="211495" spans="12:13" x14ac:dyDescent="0.25">
      <c r="L211495" s="472"/>
      <c r="M211495" s="472"/>
    </row>
    <row r="211567" spans="12:13" x14ac:dyDescent="0.25">
      <c r="L211567" s="472"/>
      <c r="M211567" s="472"/>
    </row>
    <row r="211568" spans="12:13" x14ac:dyDescent="0.25">
      <c r="L211568" s="472"/>
      <c r="M211568" s="472"/>
    </row>
    <row r="211569" spans="12:13" x14ac:dyDescent="0.25">
      <c r="L211569" s="472"/>
      <c r="M211569" s="472"/>
    </row>
    <row r="211641" spans="12:13" x14ac:dyDescent="0.25">
      <c r="L211641" s="472"/>
      <c r="M211641" s="472"/>
    </row>
    <row r="211642" spans="12:13" x14ac:dyDescent="0.25">
      <c r="L211642" s="472"/>
      <c r="M211642" s="472"/>
    </row>
    <row r="211643" spans="12:13" x14ac:dyDescent="0.25">
      <c r="L211643" s="472"/>
      <c r="M211643" s="472"/>
    </row>
    <row r="211715" spans="12:13" x14ac:dyDescent="0.25">
      <c r="L211715" s="472"/>
      <c r="M211715" s="472"/>
    </row>
    <row r="211716" spans="12:13" x14ac:dyDescent="0.25">
      <c r="L211716" s="472"/>
      <c r="M211716" s="472"/>
    </row>
    <row r="211717" spans="12:13" x14ac:dyDescent="0.25">
      <c r="L211717" s="472"/>
      <c r="M211717" s="472"/>
    </row>
    <row r="211789" spans="12:13" x14ac:dyDescent="0.25">
      <c r="L211789" s="472"/>
      <c r="M211789" s="472"/>
    </row>
    <row r="211790" spans="12:13" x14ac:dyDescent="0.25">
      <c r="L211790" s="472"/>
      <c r="M211790" s="472"/>
    </row>
    <row r="211791" spans="12:13" x14ac:dyDescent="0.25">
      <c r="L211791" s="472"/>
      <c r="M211791" s="472"/>
    </row>
    <row r="211863" spans="12:13" x14ac:dyDescent="0.25">
      <c r="L211863" s="472"/>
      <c r="M211863" s="472"/>
    </row>
    <row r="211864" spans="12:13" x14ac:dyDescent="0.25">
      <c r="L211864" s="472"/>
      <c r="M211864" s="472"/>
    </row>
    <row r="211865" spans="12:13" x14ac:dyDescent="0.25">
      <c r="L211865" s="472"/>
      <c r="M211865" s="472"/>
    </row>
    <row r="211937" spans="12:13" x14ac:dyDescent="0.25">
      <c r="L211937" s="472"/>
      <c r="M211937" s="472"/>
    </row>
    <row r="211938" spans="12:13" x14ac:dyDescent="0.25">
      <c r="L211938" s="472"/>
      <c r="M211938" s="472"/>
    </row>
    <row r="211939" spans="12:13" x14ac:dyDescent="0.25">
      <c r="L211939" s="472"/>
      <c r="M211939" s="472"/>
    </row>
    <row r="212011" spans="12:13" x14ac:dyDescent="0.25">
      <c r="L212011" s="472"/>
      <c r="M212011" s="472"/>
    </row>
    <row r="212012" spans="12:13" x14ac:dyDescent="0.25">
      <c r="L212012" s="472"/>
      <c r="M212012" s="472"/>
    </row>
    <row r="212013" spans="12:13" x14ac:dyDescent="0.25">
      <c r="L212013" s="472"/>
      <c r="M212013" s="472"/>
    </row>
    <row r="212085" spans="12:13" x14ac:dyDescent="0.25">
      <c r="L212085" s="472"/>
      <c r="M212085" s="472"/>
    </row>
    <row r="212086" spans="12:13" x14ac:dyDescent="0.25">
      <c r="L212086" s="472"/>
      <c r="M212086" s="472"/>
    </row>
    <row r="212087" spans="12:13" x14ac:dyDescent="0.25">
      <c r="L212087" s="472"/>
      <c r="M212087" s="472"/>
    </row>
    <row r="212159" spans="12:13" x14ac:dyDescent="0.25">
      <c r="L212159" s="472"/>
      <c r="M212159" s="472"/>
    </row>
    <row r="212160" spans="12:13" x14ac:dyDescent="0.25">
      <c r="L212160" s="472"/>
      <c r="M212160" s="472"/>
    </row>
    <row r="212161" spans="12:13" x14ac:dyDescent="0.25">
      <c r="L212161" s="472"/>
      <c r="M212161" s="472"/>
    </row>
    <row r="212233" spans="12:13" x14ac:dyDescent="0.25">
      <c r="L212233" s="472"/>
      <c r="M212233" s="472"/>
    </row>
    <row r="212234" spans="12:13" x14ac:dyDescent="0.25">
      <c r="L212234" s="472"/>
      <c r="M212234" s="472"/>
    </row>
    <row r="212235" spans="12:13" x14ac:dyDescent="0.25">
      <c r="L212235" s="472"/>
      <c r="M212235" s="472"/>
    </row>
    <row r="212307" spans="12:13" x14ac:dyDescent="0.25">
      <c r="L212307" s="472"/>
      <c r="M212307" s="472"/>
    </row>
    <row r="212308" spans="12:13" x14ac:dyDescent="0.25">
      <c r="L212308" s="472"/>
      <c r="M212308" s="472"/>
    </row>
    <row r="212309" spans="12:13" x14ac:dyDescent="0.25">
      <c r="L212309" s="472"/>
      <c r="M212309" s="472"/>
    </row>
    <row r="212381" spans="12:13" x14ac:dyDescent="0.25">
      <c r="L212381" s="472"/>
      <c r="M212381" s="472"/>
    </row>
    <row r="212382" spans="12:13" x14ac:dyDescent="0.25">
      <c r="L212382" s="472"/>
      <c r="M212382" s="472"/>
    </row>
    <row r="212383" spans="12:13" x14ac:dyDescent="0.25">
      <c r="L212383" s="472"/>
      <c r="M212383" s="472"/>
    </row>
    <row r="212455" spans="12:13" x14ac:dyDescent="0.25">
      <c r="L212455" s="472"/>
      <c r="M212455" s="472"/>
    </row>
    <row r="212456" spans="12:13" x14ac:dyDescent="0.25">
      <c r="L212456" s="472"/>
      <c r="M212456" s="472"/>
    </row>
    <row r="212457" spans="12:13" x14ac:dyDescent="0.25">
      <c r="L212457" s="472"/>
      <c r="M212457" s="472"/>
    </row>
    <row r="212529" spans="12:13" x14ac:dyDescent="0.25">
      <c r="L212529" s="472"/>
      <c r="M212529" s="472"/>
    </row>
    <row r="212530" spans="12:13" x14ac:dyDescent="0.25">
      <c r="L212530" s="472"/>
      <c r="M212530" s="472"/>
    </row>
    <row r="212531" spans="12:13" x14ac:dyDescent="0.25">
      <c r="L212531" s="472"/>
      <c r="M212531" s="472"/>
    </row>
    <row r="212603" spans="12:13" x14ac:dyDescent="0.25">
      <c r="L212603" s="472"/>
      <c r="M212603" s="472"/>
    </row>
    <row r="212604" spans="12:13" x14ac:dyDescent="0.25">
      <c r="L212604" s="472"/>
      <c r="M212604" s="472"/>
    </row>
    <row r="212605" spans="12:13" x14ac:dyDescent="0.25">
      <c r="L212605" s="472"/>
      <c r="M212605" s="472"/>
    </row>
    <row r="212677" spans="12:13" x14ac:dyDescent="0.25">
      <c r="L212677" s="472"/>
      <c r="M212677" s="472"/>
    </row>
    <row r="212678" spans="12:13" x14ac:dyDescent="0.25">
      <c r="L212678" s="472"/>
      <c r="M212678" s="472"/>
    </row>
    <row r="212679" spans="12:13" x14ac:dyDescent="0.25">
      <c r="L212679" s="472"/>
      <c r="M212679" s="472"/>
    </row>
    <row r="212751" spans="12:13" x14ac:dyDescent="0.25">
      <c r="L212751" s="472"/>
      <c r="M212751" s="472"/>
    </row>
    <row r="212752" spans="12:13" x14ac:dyDescent="0.25">
      <c r="L212752" s="472"/>
      <c r="M212752" s="472"/>
    </row>
    <row r="212753" spans="12:13" x14ac:dyDescent="0.25">
      <c r="L212753" s="472"/>
      <c r="M212753" s="472"/>
    </row>
    <row r="212825" spans="12:13" x14ac:dyDescent="0.25">
      <c r="L212825" s="472"/>
      <c r="M212825" s="472"/>
    </row>
    <row r="212826" spans="12:13" x14ac:dyDescent="0.25">
      <c r="L212826" s="472"/>
      <c r="M212826" s="472"/>
    </row>
    <row r="212827" spans="12:13" x14ac:dyDescent="0.25">
      <c r="L212827" s="472"/>
      <c r="M212827" s="472"/>
    </row>
    <row r="212899" spans="12:13" x14ac:dyDescent="0.25">
      <c r="L212899" s="472"/>
      <c r="M212899" s="472"/>
    </row>
    <row r="212900" spans="12:13" x14ac:dyDescent="0.25">
      <c r="L212900" s="472"/>
      <c r="M212900" s="472"/>
    </row>
    <row r="212901" spans="12:13" x14ac:dyDescent="0.25">
      <c r="L212901" s="472"/>
      <c r="M212901" s="472"/>
    </row>
    <row r="212973" spans="12:13" x14ac:dyDescent="0.25">
      <c r="L212973" s="472"/>
      <c r="M212973" s="472"/>
    </row>
    <row r="212974" spans="12:13" x14ac:dyDescent="0.25">
      <c r="L212974" s="472"/>
      <c r="M212974" s="472"/>
    </row>
    <row r="212975" spans="12:13" x14ac:dyDescent="0.25">
      <c r="L212975" s="472"/>
      <c r="M212975" s="472"/>
    </row>
    <row r="213047" spans="12:13" x14ac:dyDescent="0.25">
      <c r="L213047" s="472"/>
      <c r="M213047" s="472"/>
    </row>
    <row r="213048" spans="12:13" x14ac:dyDescent="0.25">
      <c r="L213048" s="472"/>
      <c r="M213048" s="472"/>
    </row>
    <row r="213049" spans="12:13" x14ac:dyDescent="0.25">
      <c r="L213049" s="472"/>
      <c r="M213049" s="472"/>
    </row>
    <row r="213121" spans="12:13" x14ac:dyDescent="0.25">
      <c r="L213121" s="472"/>
      <c r="M213121" s="472"/>
    </row>
    <row r="213122" spans="12:13" x14ac:dyDescent="0.25">
      <c r="L213122" s="472"/>
      <c r="M213122" s="472"/>
    </row>
    <row r="213123" spans="12:13" x14ac:dyDescent="0.25">
      <c r="L213123" s="472"/>
      <c r="M213123" s="472"/>
    </row>
    <row r="213195" spans="12:13" x14ac:dyDescent="0.25">
      <c r="L213195" s="472"/>
      <c r="M213195" s="472"/>
    </row>
    <row r="213196" spans="12:13" x14ac:dyDescent="0.25">
      <c r="L213196" s="472"/>
      <c r="M213196" s="472"/>
    </row>
    <row r="213197" spans="12:13" x14ac:dyDescent="0.25">
      <c r="L213197" s="472"/>
      <c r="M213197" s="472"/>
    </row>
    <row r="213269" spans="12:13" x14ac:dyDescent="0.25">
      <c r="L213269" s="472"/>
      <c r="M213269" s="472"/>
    </row>
    <row r="213270" spans="12:13" x14ac:dyDescent="0.25">
      <c r="L213270" s="472"/>
      <c r="M213270" s="472"/>
    </row>
    <row r="213271" spans="12:13" x14ac:dyDescent="0.25">
      <c r="L213271" s="472"/>
      <c r="M213271" s="472"/>
    </row>
    <row r="213343" spans="12:13" x14ac:dyDescent="0.25">
      <c r="L213343" s="472"/>
      <c r="M213343" s="472"/>
    </row>
    <row r="213344" spans="12:13" x14ac:dyDescent="0.25">
      <c r="L213344" s="472"/>
      <c r="M213344" s="472"/>
    </row>
    <row r="213345" spans="12:13" x14ac:dyDescent="0.25">
      <c r="L213345" s="472"/>
      <c r="M213345" s="472"/>
    </row>
    <row r="213417" spans="12:13" x14ac:dyDescent="0.25">
      <c r="L213417" s="472"/>
      <c r="M213417" s="472"/>
    </row>
    <row r="213418" spans="12:13" x14ac:dyDescent="0.25">
      <c r="L213418" s="472"/>
      <c r="M213418" s="472"/>
    </row>
    <row r="213419" spans="12:13" x14ac:dyDescent="0.25">
      <c r="L213419" s="472"/>
      <c r="M213419" s="472"/>
    </row>
    <row r="213491" spans="12:13" x14ac:dyDescent="0.25">
      <c r="L213491" s="472"/>
      <c r="M213491" s="472"/>
    </row>
    <row r="213492" spans="12:13" x14ac:dyDescent="0.25">
      <c r="L213492" s="472"/>
      <c r="M213492" s="472"/>
    </row>
    <row r="213493" spans="12:13" x14ac:dyDescent="0.25">
      <c r="L213493" s="472"/>
      <c r="M213493" s="472"/>
    </row>
    <row r="213565" spans="12:13" x14ac:dyDescent="0.25">
      <c r="L213565" s="472"/>
      <c r="M213565" s="472"/>
    </row>
    <row r="213566" spans="12:13" x14ac:dyDescent="0.25">
      <c r="L213566" s="472"/>
      <c r="M213566" s="472"/>
    </row>
    <row r="213567" spans="12:13" x14ac:dyDescent="0.25">
      <c r="L213567" s="472"/>
      <c r="M213567" s="472"/>
    </row>
    <row r="213639" spans="12:13" x14ac:dyDescent="0.25">
      <c r="L213639" s="472"/>
      <c r="M213639" s="472"/>
    </row>
    <row r="213640" spans="12:13" x14ac:dyDescent="0.25">
      <c r="L213640" s="472"/>
      <c r="M213640" s="472"/>
    </row>
    <row r="213641" spans="12:13" x14ac:dyDescent="0.25">
      <c r="L213641" s="472"/>
      <c r="M213641" s="472"/>
    </row>
    <row r="213713" spans="12:13" x14ac:dyDescent="0.25">
      <c r="L213713" s="472"/>
      <c r="M213713" s="472"/>
    </row>
    <row r="213714" spans="12:13" x14ac:dyDescent="0.25">
      <c r="L213714" s="472"/>
      <c r="M213714" s="472"/>
    </row>
    <row r="213715" spans="12:13" x14ac:dyDescent="0.25">
      <c r="L213715" s="472"/>
      <c r="M213715" s="472"/>
    </row>
    <row r="213787" spans="12:13" x14ac:dyDescent="0.25">
      <c r="L213787" s="472"/>
      <c r="M213787" s="472"/>
    </row>
    <row r="213788" spans="12:13" x14ac:dyDescent="0.25">
      <c r="L213788" s="472"/>
      <c r="M213788" s="472"/>
    </row>
    <row r="213789" spans="12:13" x14ac:dyDescent="0.25">
      <c r="L213789" s="472"/>
      <c r="M213789" s="472"/>
    </row>
    <row r="213861" spans="12:13" x14ac:dyDescent="0.25">
      <c r="L213861" s="472"/>
      <c r="M213861" s="472"/>
    </row>
    <row r="213862" spans="12:13" x14ac:dyDescent="0.25">
      <c r="L213862" s="472"/>
      <c r="M213862" s="472"/>
    </row>
    <row r="213863" spans="12:13" x14ac:dyDescent="0.25">
      <c r="L213863" s="472"/>
      <c r="M213863" s="472"/>
    </row>
    <row r="213935" spans="12:13" x14ac:dyDescent="0.25">
      <c r="L213935" s="472"/>
      <c r="M213935" s="472"/>
    </row>
    <row r="213936" spans="12:13" x14ac:dyDescent="0.25">
      <c r="L213936" s="472"/>
      <c r="M213936" s="472"/>
    </row>
    <row r="213937" spans="12:13" x14ac:dyDescent="0.25">
      <c r="L213937" s="472"/>
      <c r="M213937" s="472"/>
    </row>
    <row r="214009" spans="12:13" x14ac:dyDescent="0.25">
      <c r="L214009" s="472"/>
      <c r="M214009" s="472"/>
    </row>
    <row r="214010" spans="12:13" x14ac:dyDescent="0.25">
      <c r="L214010" s="472"/>
      <c r="M214010" s="472"/>
    </row>
    <row r="214011" spans="12:13" x14ac:dyDescent="0.25">
      <c r="L214011" s="472"/>
      <c r="M214011" s="472"/>
    </row>
    <row r="214083" spans="12:13" x14ac:dyDescent="0.25">
      <c r="L214083" s="472"/>
      <c r="M214083" s="472"/>
    </row>
    <row r="214084" spans="12:13" x14ac:dyDescent="0.25">
      <c r="L214084" s="472"/>
      <c r="M214084" s="472"/>
    </row>
    <row r="214085" spans="12:13" x14ac:dyDescent="0.25">
      <c r="L214085" s="472"/>
      <c r="M214085" s="472"/>
    </row>
    <row r="214157" spans="12:13" x14ac:dyDescent="0.25">
      <c r="L214157" s="472"/>
      <c r="M214157" s="472"/>
    </row>
    <row r="214158" spans="12:13" x14ac:dyDescent="0.25">
      <c r="L214158" s="472"/>
      <c r="M214158" s="472"/>
    </row>
    <row r="214159" spans="12:13" x14ac:dyDescent="0.25">
      <c r="L214159" s="472"/>
      <c r="M214159" s="472"/>
    </row>
    <row r="214231" spans="12:13" x14ac:dyDescent="0.25">
      <c r="L214231" s="472"/>
      <c r="M214231" s="472"/>
    </row>
    <row r="214232" spans="12:13" x14ac:dyDescent="0.25">
      <c r="L214232" s="472"/>
      <c r="M214232" s="472"/>
    </row>
    <row r="214233" spans="12:13" x14ac:dyDescent="0.25">
      <c r="L214233" s="472"/>
      <c r="M214233" s="472"/>
    </row>
    <row r="214305" spans="12:13" x14ac:dyDescent="0.25">
      <c r="L214305" s="472"/>
      <c r="M214305" s="472"/>
    </row>
    <row r="214306" spans="12:13" x14ac:dyDescent="0.25">
      <c r="L214306" s="472"/>
      <c r="M214306" s="472"/>
    </row>
    <row r="214307" spans="12:13" x14ac:dyDescent="0.25">
      <c r="L214307" s="472"/>
      <c r="M214307" s="472"/>
    </row>
    <row r="214379" spans="12:13" x14ac:dyDescent="0.25">
      <c r="L214379" s="472"/>
      <c r="M214379" s="472"/>
    </row>
    <row r="214380" spans="12:13" x14ac:dyDescent="0.25">
      <c r="L214380" s="472"/>
      <c r="M214380" s="472"/>
    </row>
    <row r="214381" spans="12:13" x14ac:dyDescent="0.25">
      <c r="L214381" s="472"/>
      <c r="M214381" s="472"/>
    </row>
    <row r="214453" spans="12:13" x14ac:dyDescent="0.25">
      <c r="L214453" s="472"/>
      <c r="M214453" s="472"/>
    </row>
    <row r="214454" spans="12:13" x14ac:dyDescent="0.25">
      <c r="L214454" s="472"/>
      <c r="M214454" s="472"/>
    </row>
    <row r="214455" spans="12:13" x14ac:dyDescent="0.25">
      <c r="L214455" s="472"/>
      <c r="M214455" s="472"/>
    </row>
    <row r="214527" spans="12:13" x14ac:dyDescent="0.25">
      <c r="L214527" s="472"/>
      <c r="M214527" s="472"/>
    </row>
    <row r="214528" spans="12:13" x14ac:dyDescent="0.25">
      <c r="L214528" s="472"/>
      <c r="M214528" s="472"/>
    </row>
    <row r="214529" spans="12:13" x14ac:dyDescent="0.25">
      <c r="L214529" s="472"/>
      <c r="M214529" s="472"/>
    </row>
    <row r="214601" spans="12:13" x14ac:dyDescent="0.25">
      <c r="L214601" s="472"/>
      <c r="M214601" s="472"/>
    </row>
    <row r="214602" spans="12:13" x14ac:dyDescent="0.25">
      <c r="L214602" s="472"/>
      <c r="M214602" s="472"/>
    </row>
    <row r="214603" spans="12:13" x14ac:dyDescent="0.25">
      <c r="L214603" s="472"/>
      <c r="M214603" s="472"/>
    </row>
    <row r="214675" spans="12:13" x14ac:dyDescent="0.25">
      <c r="L214675" s="472"/>
      <c r="M214675" s="472"/>
    </row>
    <row r="214676" spans="12:13" x14ac:dyDescent="0.25">
      <c r="L214676" s="472"/>
      <c r="M214676" s="472"/>
    </row>
    <row r="214677" spans="12:13" x14ac:dyDescent="0.25">
      <c r="L214677" s="472"/>
      <c r="M214677" s="472"/>
    </row>
    <row r="214749" spans="12:13" x14ac:dyDescent="0.25">
      <c r="L214749" s="472"/>
      <c r="M214749" s="472"/>
    </row>
    <row r="214750" spans="12:13" x14ac:dyDescent="0.25">
      <c r="L214750" s="472"/>
      <c r="M214750" s="472"/>
    </row>
    <row r="214751" spans="12:13" x14ac:dyDescent="0.25">
      <c r="L214751" s="472"/>
      <c r="M214751" s="472"/>
    </row>
    <row r="214823" spans="12:13" x14ac:dyDescent="0.25">
      <c r="L214823" s="472"/>
      <c r="M214823" s="472"/>
    </row>
    <row r="214824" spans="12:13" x14ac:dyDescent="0.25">
      <c r="L214824" s="472"/>
      <c r="M214824" s="472"/>
    </row>
    <row r="214825" spans="12:13" x14ac:dyDescent="0.25">
      <c r="L214825" s="472"/>
      <c r="M214825" s="472"/>
    </row>
    <row r="214897" spans="12:13" x14ac:dyDescent="0.25">
      <c r="L214897" s="472"/>
      <c r="M214897" s="472"/>
    </row>
    <row r="214898" spans="12:13" x14ac:dyDescent="0.25">
      <c r="L214898" s="472"/>
      <c r="M214898" s="472"/>
    </row>
    <row r="214899" spans="12:13" x14ac:dyDescent="0.25">
      <c r="L214899" s="472"/>
      <c r="M214899" s="472"/>
    </row>
    <row r="214971" spans="12:13" x14ac:dyDescent="0.25">
      <c r="L214971" s="472"/>
      <c r="M214971" s="472"/>
    </row>
    <row r="214972" spans="12:13" x14ac:dyDescent="0.25">
      <c r="L214972" s="472"/>
      <c r="M214972" s="472"/>
    </row>
    <row r="214973" spans="12:13" x14ac:dyDescent="0.25">
      <c r="L214973" s="472"/>
      <c r="M214973" s="472"/>
    </row>
    <row r="215045" spans="12:13" x14ac:dyDescent="0.25">
      <c r="L215045" s="472"/>
      <c r="M215045" s="472"/>
    </row>
    <row r="215046" spans="12:13" x14ac:dyDescent="0.25">
      <c r="L215046" s="472"/>
      <c r="M215046" s="472"/>
    </row>
    <row r="215047" spans="12:13" x14ac:dyDescent="0.25">
      <c r="L215047" s="472"/>
      <c r="M215047" s="472"/>
    </row>
    <row r="215119" spans="12:13" x14ac:dyDescent="0.25">
      <c r="L215119" s="472"/>
      <c r="M215119" s="472"/>
    </row>
    <row r="215120" spans="12:13" x14ac:dyDescent="0.25">
      <c r="L215120" s="472"/>
      <c r="M215120" s="472"/>
    </row>
    <row r="215121" spans="12:13" x14ac:dyDescent="0.25">
      <c r="L215121" s="472"/>
      <c r="M215121" s="472"/>
    </row>
    <row r="215193" spans="12:13" x14ac:dyDescent="0.25">
      <c r="L215193" s="472"/>
      <c r="M215193" s="472"/>
    </row>
    <row r="215194" spans="12:13" x14ac:dyDescent="0.25">
      <c r="L215194" s="472"/>
      <c r="M215194" s="472"/>
    </row>
    <row r="215195" spans="12:13" x14ac:dyDescent="0.25">
      <c r="L215195" s="472"/>
      <c r="M215195" s="472"/>
    </row>
    <row r="215267" spans="12:13" x14ac:dyDescent="0.25">
      <c r="L215267" s="472"/>
      <c r="M215267" s="472"/>
    </row>
    <row r="215268" spans="12:13" x14ac:dyDescent="0.25">
      <c r="L215268" s="472"/>
      <c r="M215268" s="472"/>
    </row>
    <row r="215269" spans="12:13" x14ac:dyDescent="0.25">
      <c r="L215269" s="472"/>
      <c r="M215269" s="472"/>
    </row>
    <row r="215341" spans="12:13" x14ac:dyDescent="0.25">
      <c r="L215341" s="472"/>
      <c r="M215341" s="472"/>
    </row>
    <row r="215342" spans="12:13" x14ac:dyDescent="0.25">
      <c r="L215342" s="472"/>
      <c r="M215342" s="472"/>
    </row>
    <row r="215343" spans="12:13" x14ac:dyDescent="0.25">
      <c r="L215343" s="472"/>
      <c r="M215343" s="472"/>
    </row>
    <row r="215415" spans="12:13" x14ac:dyDescent="0.25">
      <c r="L215415" s="472"/>
      <c r="M215415" s="472"/>
    </row>
    <row r="215416" spans="12:13" x14ac:dyDescent="0.25">
      <c r="L215416" s="472"/>
      <c r="M215416" s="472"/>
    </row>
    <row r="215417" spans="12:13" x14ac:dyDescent="0.25">
      <c r="L215417" s="472"/>
      <c r="M215417" s="472"/>
    </row>
    <row r="215489" spans="12:13" x14ac:dyDescent="0.25">
      <c r="L215489" s="472"/>
      <c r="M215489" s="472"/>
    </row>
    <row r="215490" spans="12:13" x14ac:dyDescent="0.25">
      <c r="L215490" s="472"/>
      <c r="M215490" s="472"/>
    </row>
    <row r="215491" spans="12:13" x14ac:dyDescent="0.25">
      <c r="L215491" s="472"/>
      <c r="M215491" s="472"/>
    </row>
    <row r="215563" spans="12:13" x14ac:dyDescent="0.25">
      <c r="L215563" s="472"/>
      <c r="M215563" s="472"/>
    </row>
    <row r="215564" spans="12:13" x14ac:dyDescent="0.25">
      <c r="L215564" s="472"/>
      <c r="M215564" s="472"/>
    </row>
    <row r="215565" spans="12:13" x14ac:dyDescent="0.25">
      <c r="L215565" s="472"/>
      <c r="M215565" s="472"/>
    </row>
    <row r="215637" spans="12:13" x14ac:dyDescent="0.25">
      <c r="L215637" s="472"/>
      <c r="M215637" s="472"/>
    </row>
    <row r="215638" spans="12:13" x14ac:dyDescent="0.25">
      <c r="L215638" s="472"/>
      <c r="M215638" s="472"/>
    </row>
    <row r="215639" spans="12:13" x14ac:dyDescent="0.25">
      <c r="L215639" s="472"/>
      <c r="M215639" s="472"/>
    </row>
    <row r="215711" spans="12:13" x14ac:dyDescent="0.25">
      <c r="L215711" s="472"/>
      <c r="M215711" s="472"/>
    </row>
    <row r="215712" spans="12:13" x14ac:dyDescent="0.25">
      <c r="L215712" s="472"/>
      <c r="M215712" s="472"/>
    </row>
    <row r="215713" spans="12:13" x14ac:dyDescent="0.25">
      <c r="L215713" s="472"/>
      <c r="M215713" s="472"/>
    </row>
    <row r="215785" spans="12:13" x14ac:dyDescent="0.25">
      <c r="L215785" s="472"/>
      <c r="M215785" s="472"/>
    </row>
    <row r="215786" spans="12:13" x14ac:dyDescent="0.25">
      <c r="L215786" s="472"/>
      <c r="M215786" s="472"/>
    </row>
    <row r="215787" spans="12:13" x14ac:dyDescent="0.25">
      <c r="L215787" s="472"/>
      <c r="M215787" s="472"/>
    </row>
    <row r="215859" spans="12:13" x14ac:dyDescent="0.25">
      <c r="L215859" s="472"/>
      <c r="M215859" s="472"/>
    </row>
    <row r="215860" spans="12:13" x14ac:dyDescent="0.25">
      <c r="L215860" s="472"/>
      <c r="M215860" s="472"/>
    </row>
    <row r="215861" spans="12:13" x14ac:dyDescent="0.25">
      <c r="L215861" s="472"/>
      <c r="M215861" s="472"/>
    </row>
    <row r="215933" spans="12:13" x14ac:dyDescent="0.25">
      <c r="L215933" s="472"/>
      <c r="M215933" s="472"/>
    </row>
    <row r="215934" spans="12:13" x14ac:dyDescent="0.25">
      <c r="L215934" s="472"/>
      <c r="M215934" s="472"/>
    </row>
    <row r="215935" spans="12:13" x14ac:dyDescent="0.25">
      <c r="L215935" s="472"/>
      <c r="M215935" s="472"/>
    </row>
    <row r="216007" spans="12:13" x14ac:dyDescent="0.25">
      <c r="L216007" s="472"/>
      <c r="M216007" s="472"/>
    </row>
    <row r="216008" spans="12:13" x14ac:dyDescent="0.25">
      <c r="L216008" s="472"/>
      <c r="M216008" s="472"/>
    </row>
    <row r="216009" spans="12:13" x14ac:dyDescent="0.25">
      <c r="L216009" s="472"/>
      <c r="M216009" s="472"/>
    </row>
    <row r="216081" spans="12:13" x14ac:dyDescent="0.25">
      <c r="L216081" s="472"/>
      <c r="M216081" s="472"/>
    </row>
    <row r="216082" spans="12:13" x14ac:dyDescent="0.25">
      <c r="L216082" s="472"/>
      <c r="M216082" s="472"/>
    </row>
    <row r="216083" spans="12:13" x14ac:dyDescent="0.25">
      <c r="L216083" s="472"/>
      <c r="M216083" s="472"/>
    </row>
    <row r="216155" spans="12:13" x14ac:dyDescent="0.25">
      <c r="L216155" s="472"/>
      <c r="M216155" s="472"/>
    </row>
    <row r="216156" spans="12:13" x14ac:dyDescent="0.25">
      <c r="L216156" s="472"/>
      <c r="M216156" s="472"/>
    </row>
    <row r="216157" spans="12:13" x14ac:dyDescent="0.25">
      <c r="L216157" s="472"/>
      <c r="M216157" s="472"/>
    </row>
    <row r="216229" spans="12:13" x14ac:dyDescent="0.25">
      <c r="L216229" s="472"/>
      <c r="M216229" s="472"/>
    </row>
    <row r="216230" spans="12:13" x14ac:dyDescent="0.25">
      <c r="L216230" s="472"/>
      <c r="M216230" s="472"/>
    </row>
    <row r="216231" spans="12:13" x14ac:dyDescent="0.25">
      <c r="L216231" s="472"/>
      <c r="M216231" s="472"/>
    </row>
    <row r="216303" spans="12:13" x14ac:dyDescent="0.25">
      <c r="L216303" s="472"/>
      <c r="M216303" s="472"/>
    </row>
    <row r="216304" spans="12:13" x14ac:dyDescent="0.25">
      <c r="L216304" s="472"/>
      <c r="M216304" s="472"/>
    </row>
    <row r="216305" spans="12:13" x14ac:dyDescent="0.25">
      <c r="L216305" s="472"/>
      <c r="M216305" s="472"/>
    </row>
    <row r="216377" spans="12:13" x14ac:dyDescent="0.25">
      <c r="L216377" s="472"/>
      <c r="M216377" s="472"/>
    </row>
    <row r="216378" spans="12:13" x14ac:dyDescent="0.25">
      <c r="L216378" s="472"/>
      <c r="M216378" s="472"/>
    </row>
    <row r="216379" spans="12:13" x14ac:dyDescent="0.25">
      <c r="L216379" s="472"/>
      <c r="M216379" s="472"/>
    </row>
    <row r="216451" spans="12:13" x14ac:dyDescent="0.25">
      <c r="L216451" s="472"/>
      <c r="M216451" s="472"/>
    </row>
    <row r="216452" spans="12:13" x14ac:dyDescent="0.25">
      <c r="L216452" s="472"/>
      <c r="M216452" s="472"/>
    </row>
    <row r="216453" spans="12:13" x14ac:dyDescent="0.25">
      <c r="L216453" s="472"/>
      <c r="M216453" s="472"/>
    </row>
    <row r="216525" spans="12:13" x14ac:dyDescent="0.25">
      <c r="L216525" s="472"/>
      <c r="M216525" s="472"/>
    </row>
    <row r="216526" spans="12:13" x14ac:dyDescent="0.25">
      <c r="L216526" s="472"/>
      <c r="M216526" s="472"/>
    </row>
    <row r="216527" spans="12:13" x14ac:dyDescent="0.25">
      <c r="L216527" s="472"/>
      <c r="M216527" s="472"/>
    </row>
    <row r="216599" spans="12:13" x14ac:dyDescent="0.25">
      <c r="L216599" s="472"/>
      <c r="M216599" s="472"/>
    </row>
    <row r="216600" spans="12:13" x14ac:dyDescent="0.25">
      <c r="L216600" s="472"/>
      <c r="M216600" s="472"/>
    </row>
    <row r="216601" spans="12:13" x14ac:dyDescent="0.25">
      <c r="L216601" s="472"/>
      <c r="M216601" s="472"/>
    </row>
    <row r="216673" spans="12:13" x14ac:dyDescent="0.25">
      <c r="L216673" s="472"/>
      <c r="M216673" s="472"/>
    </row>
    <row r="216674" spans="12:13" x14ac:dyDescent="0.25">
      <c r="L216674" s="472"/>
      <c r="M216674" s="472"/>
    </row>
    <row r="216675" spans="12:13" x14ac:dyDescent="0.25">
      <c r="L216675" s="472"/>
      <c r="M216675" s="472"/>
    </row>
    <row r="216747" spans="12:13" x14ac:dyDescent="0.25">
      <c r="L216747" s="472"/>
      <c r="M216747" s="472"/>
    </row>
    <row r="216748" spans="12:13" x14ac:dyDescent="0.25">
      <c r="L216748" s="472"/>
      <c r="M216748" s="472"/>
    </row>
    <row r="216749" spans="12:13" x14ac:dyDescent="0.25">
      <c r="L216749" s="472"/>
      <c r="M216749" s="472"/>
    </row>
    <row r="216821" spans="12:13" x14ac:dyDescent="0.25">
      <c r="L216821" s="472"/>
      <c r="M216821" s="472"/>
    </row>
    <row r="216822" spans="12:13" x14ac:dyDescent="0.25">
      <c r="L216822" s="472"/>
      <c r="M216822" s="472"/>
    </row>
    <row r="216823" spans="12:13" x14ac:dyDescent="0.25">
      <c r="L216823" s="472"/>
      <c r="M216823" s="472"/>
    </row>
    <row r="216895" spans="12:13" x14ac:dyDescent="0.25">
      <c r="L216895" s="472"/>
      <c r="M216895" s="472"/>
    </row>
    <row r="216896" spans="12:13" x14ac:dyDescent="0.25">
      <c r="L216896" s="472"/>
      <c r="M216896" s="472"/>
    </row>
    <row r="216897" spans="12:13" x14ac:dyDescent="0.25">
      <c r="L216897" s="472"/>
      <c r="M216897" s="472"/>
    </row>
    <row r="216969" spans="12:13" x14ac:dyDescent="0.25">
      <c r="L216969" s="472"/>
      <c r="M216969" s="472"/>
    </row>
    <row r="216970" spans="12:13" x14ac:dyDescent="0.25">
      <c r="L216970" s="472"/>
      <c r="M216970" s="472"/>
    </row>
    <row r="216971" spans="12:13" x14ac:dyDescent="0.25">
      <c r="L216971" s="472"/>
      <c r="M216971" s="472"/>
    </row>
    <row r="217043" spans="12:13" x14ac:dyDescent="0.25">
      <c r="L217043" s="472"/>
      <c r="M217043" s="472"/>
    </row>
    <row r="217044" spans="12:13" x14ac:dyDescent="0.25">
      <c r="L217044" s="472"/>
      <c r="M217044" s="472"/>
    </row>
    <row r="217045" spans="12:13" x14ac:dyDescent="0.25">
      <c r="L217045" s="472"/>
      <c r="M217045" s="472"/>
    </row>
    <row r="217117" spans="12:13" x14ac:dyDescent="0.25">
      <c r="L217117" s="472"/>
      <c r="M217117" s="472"/>
    </row>
    <row r="217118" spans="12:13" x14ac:dyDescent="0.25">
      <c r="L217118" s="472"/>
      <c r="M217118" s="472"/>
    </row>
    <row r="217119" spans="12:13" x14ac:dyDescent="0.25">
      <c r="L217119" s="472"/>
      <c r="M217119" s="472"/>
    </row>
    <row r="217191" spans="12:13" x14ac:dyDescent="0.25">
      <c r="L217191" s="472"/>
      <c r="M217191" s="472"/>
    </row>
    <row r="217192" spans="12:13" x14ac:dyDescent="0.25">
      <c r="L217192" s="472"/>
      <c r="M217192" s="472"/>
    </row>
    <row r="217193" spans="12:13" x14ac:dyDescent="0.25">
      <c r="L217193" s="472"/>
      <c r="M217193" s="472"/>
    </row>
    <row r="217265" spans="12:13" x14ac:dyDescent="0.25">
      <c r="L217265" s="472"/>
      <c r="M217265" s="472"/>
    </row>
    <row r="217266" spans="12:13" x14ac:dyDescent="0.25">
      <c r="L217266" s="472"/>
      <c r="M217266" s="472"/>
    </row>
    <row r="217267" spans="12:13" x14ac:dyDescent="0.25">
      <c r="L217267" s="472"/>
      <c r="M217267" s="472"/>
    </row>
    <row r="217339" spans="12:13" x14ac:dyDescent="0.25">
      <c r="L217339" s="472"/>
      <c r="M217339" s="472"/>
    </row>
    <row r="217340" spans="12:13" x14ac:dyDescent="0.25">
      <c r="L217340" s="472"/>
      <c r="M217340" s="472"/>
    </row>
    <row r="217341" spans="12:13" x14ac:dyDescent="0.25">
      <c r="L217341" s="472"/>
      <c r="M217341" s="472"/>
    </row>
    <row r="217413" spans="12:13" x14ac:dyDescent="0.25">
      <c r="L217413" s="472"/>
      <c r="M217413" s="472"/>
    </row>
    <row r="217414" spans="12:13" x14ac:dyDescent="0.25">
      <c r="L217414" s="472"/>
      <c r="M217414" s="472"/>
    </row>
    <row r="217415" spans="12:13" x14ac:dyDescent="0.25">
      <c r="L217415" s="472"/>
      <c r="M217415" s="472"/>
    </row>
    <row r="217487" spans="12:13" x14ac:dyDescent="0.25">
      <c r="L217487" s="472"/>
      <c r="M217487" s="472"/>
    </row>
    <row r="217488" spans="12:13" x14ac:dyDescent="0.25">
      <c r="L217488" s="472"/>
      <c r="M217488" s="472"/>
    </row>
    <row r="217489" spans="12:13" x14ac:dyDescent="0.25">
      <c r="L217489" s="472"/>
      <c r="M217489" s="472"/>
    </row>
    <row r="217561" spans="12:13" x14ac:dyDescent="0.25">
      <c r="L217561" s="472"/>
      <c r="M217561" s="472"/>
    </row>
    <row r="217562" spans="12:13" x14ac:dyDescent="0.25">
      <c r="L217562" s="472"/>
      <c r="M217562" s="472"/>
    </row>
    <row r="217563" spans="12:13" x14ac:dyDescent="0.25">
      <c r="L217563" s="472"/>
      <c r="M217563" s="472"/>
    </row>
    <row r="217635" spans="12:13" x14ac:dyDescent="0.25">
      <c r="L217635" s="472"/>
      <c r="M217635" s="472"/>
    </row>
    <row r="217636" spans="12:13" x14ac:dyDescent="0.25">
      <c r="L217636" s="472"/>
      <c r="M217636" s="472"/>
    </row>
    <row r="217637" spans="12:13" x14ac:dyDescent="0.25">
      <c r="L217637" s="472"/>
      <c r="M217637" s="472"/>
    </row>
    <row r="217709" spans="12:13" x14ac:dyDescent="0.25">
      <c r="L217709" s="472"/>
      <c r="M217709" s="472"/>
    </row>
    <row r="217710" spans="12:13" x14ac:dyDescent="0.25">
      <c r="L217710" s="472"/>
      <c r="M217710" s="472"/>
    </row>
    <row r="217711" spans="12:13" x14ac:dyDescent="0.25">
      <c r="L217711" s="472"/>
      <c r="M217711" s="472"/>
    </row>
    <row r="217783" spans="12:13" x14ac:dyDescent="0.25">
      <c r="L217783" s="472"/>
      <c r="M217783" s="472"/>
    </row>
    <row r="217784" spans="12:13" x14ac:dyDescent="0.25">
      <c r="L217784" s="472"/>
      <c r="M217784" s="472"/>
    </row>
    <row r="217785" spans="12:13" x14ac:dyDescent="0.25">
      <c r="L217785" s="472"/>
      <c r="M217785" s="472"/>
    </row>
    <row r="217857" spans="12:13" x14ac:dyDescent="0.25">
      <c r="L217857" s="472"/>
      <c r="M217857" s="472"/>
    </row>
    <row r="217858" spans="12:13" x14ac:dyDescent="0.25">
      <c r="L217858" s="472"/>
      <c r="M217858" s="472"/>
    </row>
    <row r="217859" spans="12:13" x14ac:dyDescent="0.25">
      <c r="L217859" s="472"/>
      <c r="M217859" s="472"/>
    </row>
    <row r="217931" spans="12:13" x14ac:dyDescent="0.25">
      <c r="L217931" s="472"/>
      <c r="M217931" s="472"/>
    </row>
    <row r="217932" spans="12:13" x14ac:dyDescent="0.25">
      <c r="L217932" s="472"/>
      <c r="M217932" s="472"/>
    </row>
    <row r="217933" spans="12:13" x14ac:dyDescent="0.25">
      <c r="L217933" s="472"/>
      <c r="M217933" s="472"/>
    </row>
    <row r="218005" spans="12:13" x14ac:dyDescent="0.25">
      <c r="L218005" s="472"/>
      <c r="M218005" s="472"/>
    </row>
    <row r="218006" spans="12:13" x14ac:dyDescent="0.25">
      <c r="L218006" s="472"/>
      <c r="M218006" s="472"/>
    </row>
    <row r="218007" spans="12:13" x14ac:dyDescent="0.25">
      <c r="L218007" s="472"/>
      <c r="M218007" s="472"/>
    </row>
    <row r="218079" spans="12:13" x14ac:dyDescent="0.25">
      <c r="L218079" s="472"/>
      <c r="M218079" s="472"/>
    </row>
    <row r="218080" spans="12:13" x14ac:dyDescent="0.25">
      <c r="L218080" s="472"/>
      <c r="M218080" s="472"/>
    </row>
    <row r="218081" spans="12:13" x14ac:dyDescent="0.25">
      <c r="L218081" s="472"/>
      <c r="M218081" s="472"/>
    </row>
    <row r="218153" spans="12:13" x14ac:dyDescent="0.25">
      <c r="L218153" s="472"/>
      <c r="M218153" s="472"/>
    </row>
    <row r="218154" spans="12:13" x14ac:dyDescent="0.25">
      <c r="L218154" s="472"/>
      <c r="M218154" s="472"/>
    </row>
    <row r="218155" spans="12:13" x14ac:dyDescent="0.25">
      <c r="L218155" s="472"/>
      <c r="M218155" s="472"/>
    </row>
    <row r="218227" spans="12:13" x14ac:dyDescent="0.25">
      <c r="L218227" s="472"/>
      <c r="M218227" s="472"/>
    </row>
    <row r="218228" spans="12:13" x14ac:dyDescent="0.25">
      <c r="L218228" s="472"/>
      <c r="M218228" s="472"/>
    </row>
    <row r="218229" spans="12:13" x14ac:dyDescent="0.25">
      <c r="L218229" s="472"/>
      <c r="M218229" s="472"/>
    </row>
    <row r="218301" spans="12:13" x14ac:dyDescent="0.25">
      <c r="L218301" s="472"/>
      <c r="M218301" s="472"/>
    </row>
    <row r="218302" spans="12:13" x14ac:dyDescent="0.25">
      <c r="L218302" s="472"/>
      <c r="M218302" s="472"/>
    </row>
    <row r="218303" spans="12:13" x14ac:dyDescent="0.25">
      <c r="L218303" s="472"/>
      <c r="M218303" s="472"/>
    </row>
    <row r="218375" spans="12:13" x14ac:dyDescent="0.25">
      <c r="L218375" s="472"/>
      <c r="M218375" s="472"/>
    </row>
    <row r="218376" spans="12:13" x14ac:dyDescent="0.25">
      <c r="L218376" s="472"/>
      <c r="M218376" s="472"/>
    </row>
    <row r="218377" spans="12:13" x14ac:dyDescent="0.25">
      <c r="L218377" s="472"/>
      <c r="M218377" s="472"/>
    </row>
    <row r="218449" spans="12:13" x14ac:dyDescent="0.25">
      <c r="L218449" s="472"/>
      <c r="M218449" s="472"/>
    </row>
    <row r="218450" spans="12:13" x14ac:dyDescent="0.25">
      <c r="L218450" s="472"/>
      <c r="M218450" s="472"/>
    </row>
    <row r="218451" spans="12:13" x14ac:dyDescent="0.25">
      <c r="L218451" s="472"/>
      <c r="M218451" s="472"/>
    </row>
    <row r="218523" spans="12:13" x14ac:dyDescent="0.25">
      <c r="L218523" s="472"/>
      <c r="M218523" s="472"/>
    </row>
    <row r="218524" spans="12:13" x14ac:dyDescent="0.25">
      <c r="L218524" s="472"/>
      <c r="M218524" s="472"/>
    </row>
    <row r="218525" spans="12:13" x14ac:dyDescent="0.25">
      <c r="L218525" s="472"/>
      <c r="M218525" s="472"/>
    </row>
    <row r="218597" spans="12:13" x14ac:dyDescent="0.25">
      <c r="L218597" s="472"/>
      <c r="M218597" s="472"/>
    </row>
    <row r="218598" spans="12:13" x14ac:dyDescent="0.25">
      <c r="L218598" s="472"/>
      <c r="M218598" s="472"/>
    </row>
    <row r="218599" spans="12:13" x14ac:dyDescent="0.25">
      <c r="L218599" s="472"/>
      <c r="M218599" s="472"/>
    </row>
    <row r="218671" spans="12:13" x14ac:dyDescent="0.25">
      <c r="L218671" s="472"/>
      <c r="M218671" s="472"/>
    </row>
    <row r="218672" spans="12:13" x14ac:dyDescent="0.25">
      <c r="L218672" s="472"/>
      <c r="M218672" s="472"/>
    </row>
    <row r="218673" spans="12:13" x14ac:dyDescent="0.25">
      <c r="L218673" s="472"/>
      <c r="M218673" s="472"/>
    </row>
    <row r="218745" spans="12:13" x14ac:dyDescent="0.25">
      <c r="L218745" s="472"/>
      <c r="M218745" s="472"/>
    </row>
    <row r="218746" spans="12:13" x14ac:dyDescent="0.25">
      <c r="L218746" s="472"/>
      <c r="M218746" s="472"/>
    </row>
    <row r="218747" spans="12:13" x14ac:dyDescent="0.25">
      <c r="L218747" s="472"/>
      <c r="M218747" s="472"/>
    </row>
    <row r="218819" spans="12:13" x14ac:dyDescent="0.25">
      <c r="L218819" s="472"/>
      <c r="M218819" s="472"/>
    </row>
    <row r="218820" spans="12:13" x14ac:dyDescent="0.25">
      <c r="L218820" s="472"/>
      <c r="M218820" s="472"/>
    </row>
    <row r="218821" spans="12:13" x14ac:dyDescent="0.25">
      <c r="L218821" s="472"/>
      <c r="M218821" s="472"/>
    </row>
    <row r="218893" spans="12:13" x14ac:dyDescent="0.25">
      <c r="L218893" s="472"/>
      <c r="M218893" s="472"/>
    </row>
    <row r="218894" spans="12:13" x14ac:dyDescent="0.25">
      <c r="L218894" s="472"/>
      <c r="M218894" s="472"/>
    </row>
    <row r="218895" spans="12:13" x14ac:dyDescent="0.25">
      <c r="L218895" s="472"/>
      <c r="M218895" s="472"/>
    </row>
    <row r="218967" spans="12:13" x14ac:dyDescent="0.25">
      <c r="L218967" s="472"/>
      <c r="M218967" s="472"/>
    </row>
    <row r="218968" spans="12:13" x14ac:dyDescent="0.25">
      <c r="L218968" s="472"/>
      <c r="M218968" s="472"/>
    </row>
    <row r="218969" spans="12:13" x14ac:dyDescent="0.25">
      <c r="L218969" s="472"/>
      <c r="M218969" s="472"/>
    </row>
    <row r="219041" spans="12:13" x14ac:dyDescent="0.25">
      <c r="L219041" s="472"/>
      <c r="M219041" s="472"/>
    </row>
    <row r="219042" spans="12:13" x14ac:dyDescent="0.25">
      <c r="L219042" s="472"/>
      <c r="M219042" s="472"/>
    </row>
    <row r="219043" spans="12:13" x14ac:dyDescent="0.25">
      <c r="L219043" s="472"/>
      <c r="M219043" s="472"/>
    </row>
    <row r="219115" spans="12:13" x14ac:dyDescent="0.25">
      <c r="L219115" s="472"/>
      <c r="M219115" s="472"/>
    </row>
    <row r="219116" spans="12:13" x14ac:dyDescent="0.25">
      <c r="L219116" s="472"/>
      <c r="M219116" s="472"/>
    </row>
    <row r="219117" spans="12:13" x14ac:dyDescent="0.25">
      <c r="L219117" s="472"/>
      <c r="M219117" s="472"/>
    </row>
    <row r="219189" spans="12:13" x14ac:dyDescent="0.25">
      <c r="L219189" s="472"/>
      <c r="M219189" s="472"/>
    </row>
    <row r="219190" spans="12:13" x14ac:dyDescent="0.25">
      <c r="L219190" s="472"/>
      <c r="M219190" s="472"/>
    </row>
    <row r="219191" spans="12:13" x14ac:dyDescent="0.25">
      <c r="L219191" s="472"/>
      <c r="M219191" s="472"/>
    </row>
    <row r="219263" spans="12:13" x14ac:dyDescent="0.25">
      <c r="L219263" s="472"/>
      <c r="M219263" s="472"/>
    </row>
    <row r="219264" spans="12:13" x14ac:dyDescent="0.25">
      <c r="L219264" s="472"/>
      <c r="M219264" s="472"/>
    </row>
    <row r="219265" spans="12:13" x14ac:dyDescent="0.25">
      <c r="L219265" s="472"/>
      <c r="M219265" s="472"/>
    </row>
    <row r="219337" spans="12:13" x14ac:dyDescent="0.25">
      <c r="L219337" s="472"/>
      <c r="M219337" s="472"/>
    </row>
    <row r="219338" spans="12:13" x14ac:dyDescent="0.25">
      <c r="L219338" s="472"/>
      <c r="M219338" s="472"/>
    </row>
    <row r="219339" spans="12:13" x14ac:dyDescent="0.25">
      <c r="L219339" s="472"/>
      <c r="M219339" s="472"/>
    </row>
    <row r="219411" spans="12:13" x14ac:dyDescent="0.25">
      <c r="L219411" s="472"/>
      <c r="M219411" s="472"/>
    </row>
    <row r="219412" spans="12:13" x14ac:dyDescent="0.25">
      <c r="L219412" s="472"/>
      <c r="M219412" s="472"/>
    </row>
    <row r="219413" spans="12:13" x14ac:dyDescent="0.25">
      <c r="L219413" s="472"/>
      <c r="M219413" s="472"/>
    </row>
    <row r="219485" spans="12:13" x14ac:dyDescent="0.25">
      <c r="L219485" s="472"/>
      <c r="M219485" s="472"/>
    </row>
    <row r="219486" spans="12:13" x14ac:dyDescent="0.25">
      <c r="L219486" s="472"/>
      <c r="M219486" s="472"/>
    </row>
    <row r="219487" spans="12:13" x14ac:dyDescent="0.25">
      <c r="L219487" s="472"/>
      <c r="M219487" s="472"/>
    </row>
    <row r="219559" spans="12:13" x14ac:dyDescent="0.25">
      <c r="L219559" s="472"/>
      <c r="M219559" s="472"/>
    </row>
    <row r="219560" spans="12:13" x14ac:dyDescent="0.25">
      <c r="L219560" s="472"/>
      <c r="M219560" s="472"/>
    </row>
    <row r="219561" spans="12:13" x14ac:dyDescent="0.25">
      <c r="L219561" s="472"/>
      <c r="M219561" s="472"/>
    </row>
    <row r="219633" spans="12:13" x14ac:dyDescent="0.25">
      <c r="L219633" s="472"/>
      <c r="M219633" s="472"/>
    </row>
    <row r="219634" spans="12:13" x14ac:dyDescent="0.25">
      <c r="L219634" s="472"/>
      <c r="M219634" s="472"/>
    </row>
    <row r="219635" spans="12:13" x14ac:dyDescent="0.25">
      <c r="L219635" s="472"/>
      <c r="M219635" s="472"/>
    </row>
    <row r="219707" spans="12:13" x14ac:dyDescent="0.25">
      <c r="L219707" s="472"/>
      <c r="M219707" s="472"/>
    </row>
    <row r="219708" spans="12:13" x14ac:dyDescent="0.25">
      <c r="L219708" s="472"/>
      <c r="M219708" s="472"/>
    </row>
    <row r="219709" spans="12:13" x14ac:dyDescent="0.25">
      <c r="L219709" s="472"/>
      <c r="M219709" s="472"/>
    </row>
    <row r="219781" spans="12:13" x14ac:dyDescent="0.25">
      <c r="L219781" s="472"/>
      <c r="M219781" s="472"/>
    </row>
    <row r="219782" spans="12:13" x14ac:dyDescent="0.25">
      <c r="L219782" s="472"/>
      <c r="M219782" s="472"/>
    </row>
    <row r="219783" spans="12:13" x14ac:dyDescent="0.25">
      <c r="L219783" s="472"/>
      <c r="M219783" s="472"/>
    </row>
    <row r="219855" spans="12:13" x14ac:dyDescent="0.25">
      <c r="L219855" s="472"/>
      <c r="M219855" s="472"/>
    </row>
    <row r="219856" spans="12:13" x14ac:dyDescent="0.25">
      <c r="L219856" s="472"/>
      <c r="M219856" s="472"/>
    </row>
    <row r="219857" spans="12:13" x14ac:dyDescent="0.25">
      <c r="L219857" s="472"/>
      <c r="M219857" s="472"/>
    </row>
    <row r="219929" spans="12:13" x14ac:dyDescent="0.25">
      <c r="L219929" s="472"/>
      <c r="M219929" s="472"/>
    </row>
    <row r="219930" spans="12:13" x14ac:dyDescent="0.25">
      <c r="L219930" s="472"/>
      <c r="M219930" s="472"/>
    </row>
    <row r="219931" spans="12:13" x14ac:dyDescent="0.25">
      <c r="L219931" s="472"/>
      <c r="M219931" s="472"/>
    </row>
    <row r="220003" spans="12:13" x14ac:dyDescent="0.25">
      <c r="L220003" s="472"/>
      <c r="M220003" s="472"/>
    </row>
    <row r="220004" spans="12:13" x14ac:dyDescent="0.25">
      <c r="L220004" s="472"/>
      <c r="M220004" s="472"/>
    </row>
    <row r="220005" spans="12:13" x14ac:dyDescent="0.25">
      <c r="L220005" s="472"/>
      <c r="M220005" s="472"/>
    </row>
    <row r="220077" spans="12:13" x14ac:dyDescent="0.25">
      <c r="L220077" s="472"/>
      <c r="M220077" s="472"/>
    </row>
    <row r="220078" spans="12:13" x14ac:dyDescent="0.25">
      <c r="L220078" s="472"/>
      <c r="M220078" s="472"/>
    </row>
    <row r="220079" spans="12:13" x14ac:dyDescent="0.25">
      <c r="L220079" s="472"/>
      <c r="M220079" s="472"/>
    </row>
    <row r="220151" spans="12:13" x14ac:dyDescent="0.25">
      <c r="L220151" s="472"/>
      <c r="M220151" s="472"/>
    </row>
    <row r="220152" spans="12:13" x14ac:dyDescent="0.25">
      <c r="L220152" s="472"/>
      <c r="M220152" s="472"/>
    </row>
    <row r="220153" spans="12:13" x14ac:dyDescent="0.25">
      <c r="L220153" s="472"/>
      <c r="M220153" s="472"/>
    </row>
    <row r="220225" spans="12:13" x14ac:dyDescent="0.25">
      <c r="L220225" s="472"/>
      <c r="M220225" s="472"/>
    </row>
    <row r="220226" spans="12:13" x14ac:dyDescent="0.25">
      <c r="L220226" s="472"/>
      <c r="M220226" s="472"/>
    </row>
    <row r="220227" spans="12:13" x14ac:dyDescent="0.25">
      <c r="L220227" s="472"/>
      <c r="M220227" s="472"/>
    </row>
    <row r="220299" spans="12:13" x14ac:dyDescent="0.25">
      <c r="L220299" s="472"/>
      <c r="M220299" s="472"/>
    </row>
    <row r="220300" spans="12:13" x14ac:dyDescent="0.25">
      <c r="L220300" s="472"/>
      <c r="M220300" s="472"/>
    </row>
    <row r="220301" spans="12:13" x14ac:dyDescent="0.25">
      <c r="L220301" s="472"/>
      <c r="M220301" s="472"/>
    </row>
    <row r="220373" spans="12:13" x14ac:dyDescent="0.25">
      <c r="L220373" s="472"/>
      <c r="M220373" s="472"/>
    </row>
    <row r="220374" spans="12:13" x14ac:dyDescent="0.25">
      <c r="L220374" s="472"/>
      <c r="M220374" s="472"/>
    </row>
    <row r="220375" spans="12:13" x14ac:dyDescent="0.25">
      <c r="L220375" s="472"/>
      <c r="M220375" s="472"/>
    </row>
    <row r="220447" spans="12:13" x14ac:dyDescent="0.25">
      <c r="L220447" s="472"/>
      <c r="M220447" s="472"/>
    </row>
    <row r="220448" spans="12:13" x14ac:dyDescent="0.25">
      <c r="L220448" s="472"/>
      <c r="M220448" s="472"/>
    </row>
    <row r="220449" spans="12:13" x14ac:dyDescent="0.25">
      <c r="L220449" s="472"/>
      <c r="M220449" s="472"/>
    </row>
    <row r="220521" spans="12:13" x14ac:dyDescent="0.25">
      <c r="L220521" s="472"/>
      <c r="M220521" s="472"/>
    </row>
    <row r="220522" spans="12:13" x14ac:dyDescent="0.25">
      <c r="L220522" s="472"/>
      <c r="M220522" s="472"/>
    </row>
    <row r="220523" spans="12:13" x14ac:dyDescent="0.25">
      <c r="L220523" s="472"/>
      <c r="M220523" s="472"/>
    </row>
    <row r="220595" spans="12:13" x14ac:dyDescent="0.25">
      <c r="L220595" s="472"/>
      <c r="M220595" s="472"/>
    </row>
    <row r="220596" spans="12:13" x14ac:dyDescent="0.25">
      <c r="L220596" s="472"/>
      <c r="M220596" s="472"/>
    </row>
    <row r="220597" spans="12:13" x14ac:dyDescent="0.25">
      <c r="L220597" s="472"/>
      <c r="M220597" s="472"/>
    </row>
    <row r="220669" spans="12:13" x14ac:dyDescent="0.25">
      <c r="L220669" s="472"/>
      <c r="M220669" s="472"/>
    </row>
    <row r="220670" spans="12:13" x14ac:dyDescent="0.25">
      <c r="L220670" s="472"/>
      <c r="M220670" s="472"/>
    </row>
    <row r="220671" spans="12:13" x14ac:dyDescent="0.25">
      <c r="L220671" s="472"/>
      <c r="M220671" s="472"/>
    </row>
    <row r="220743" spans="12:13" x14ac:dyDescent="0.25">
      <c r="L220743" s="472"/>
      <c r="M220743" s="472"/>
    </row>
    <row r="220744" spans="12:13" x14ac:dyDescent="0.25">
      <c r="L220744" s="472"/>
      <c r="M220744" s="472"/>
    </row>
    <row r="220745" spans="12:13" x14ac:dyDescent="0.25">
      <c r="L220745" s="472"/>
      <c r="M220745" s="472"/>
    </row>
    <row r="220817" spans="12:13" x14ac:dyDescent="0.25">
      <c r="L220817" s="472"/>
      <c r="M220817" s="472"/>
    </row>
    <row r="220818" spans="12:13" x14ac:dyDescent="0.25">
      <c r="L220818" s="472"/>
      <c r="M220818" s="472"/>
    </row>
    <row r="220819" spans="12:13" x14ac:dyDescent="0.25">
      <c r="L220819" s="472"/>
      <c r="M220819" s="472"/>
    </row>
    <row r="220891" spans="12:13" x14ac:dyDescent="0.25">
      <c r="L220891" s="472"/>
      <c r="M220891" s="472"/>
    </row>
    <row r="220892" spans="12:13" x14ac:dyDescent="0.25">
      <c r="L220892" s="472"/>
      <c r="M220892" s="472"/>
    </row>
    <row r="220893" spans="12:13" x14ac:dyDescent="0.25">
      <c r="L220893" s="472"/>
      <c r="M220893" s="472"/>
    </row>
    <row r="220965" spans="12:13" x14ac:dyDescent="0.25">
      <c r="L220965" s="472"/>
      <c r="M220965" s="472"/>
    </row>
    <row r="220966" spans="12:13" x14ac:dyDescent="0.25">
      <c r="L220966" s="472"/>
      <c r="M220966" s="472"/>
    </row>
    <row r="220967" spans="12:13" x14ac:dyDescent="0.25">
      <c r="L220967" s="472"/>
      <c r="M220967" s="472"/>
    </row>
    <row r="221039" spans="12:13" x14ac:dyDescent="0.25">
      <c r="L221039" s="472"/>
      <c r="M221039" s="472"/>
    </row>
    <row r="221040" spans="12:13" x14ac:dyDescent="0.25">
      <c r="L221040" s="472"/>
      <c r="M221040" s="472"/>
    </row>
    <row r="221041" spans="12:13" x14ac:dyDescent="0.25">
      <c r="L221041" s="472"/>
      <c r="M221041" s="472"/>
    </row>
    <row r="221113" spans="12:13" x14ac:dyDescent="0.25">
      <c r="L221113" s="472"/>
      <c r="M221113" s="472"/>
    </row>
    <row r="221114" spans="12:13" x14ac:dyDescent="0.25">
      <c r="L221114" s="472"/>
      <c r="M221114" s="472"/>
    </row>
    <row r="221115" spans="12:13" x14ac:dyDescent="0.25">
      <c r="L221115" s="472"/>
      <c r="M221115" s="472"/>
    </row>
    <row r="221187" spans="12:13" x14ac:dyDescent="0.25">
      <c r="L221187" s="472"/>
      <c r="M221187" s="472"/>
    </row>
    <row r="221188" spans="12:13" x14ac:dyDescent="0.25">
      <c r="L221188" s="472"/>
      <c r="M221188" s="472"/>
    </row>
    <row r="221189" spans="12:13" x14ac:dyDescent="0.25">
      <c r="L221189" s="472"/>
      <c r="M221189" s="472"/>
    </row>
    <row r="221261" spans="12:13" x14ac:dyDescent="0.25">
      <c r="L221261" s="472"/>
      <c r="M221261" s="472"/>
    </row>
    <row r="221262" spans="12:13" x14ac:dyDescent="0.25">
      <c r="L221262" s="472"/>
      <c r="M221262" s="472"/>
    </row>
    <row r="221263" spans="12:13" x14ac:dyDescent="0.25">
      <c r="L221263" s="472"/>
      <c r="M221263" s="472"/>
    </row>
    <row r="221335" spans="12:13" x14ac:dyDescent="0.25">
      <c r="L221335" s="472"/>
      <c r="M221335" s="472"/>
    </row>
    <row r="221336" spans="12:13" x14ac:dyDescent="0.25">
      <c r="L221336" s="472"/>
      <c r="M221336" s="472"/>
    </row>
    <row r="221337" spans="12:13" x14ac:dyDescent="0.25">
      <c r="L221337" s="472"/>
      <c r="M221337" s="472"/>
    </row>
    <row r="221409" spans="12:13" x14ac:dyDescent="0.25">
      <c r="L221409" s="472"/>
      <c r="M221409" s="472"/>
    </row>
    <row r="221410" spans="12:13" x14ac:dyDescent="0.25">
      <c r="L221410" s="472"/>
      <c r="M221410" s="472"/>
    </row>
    <row r="221411" spans="12:13" x14ac:dyDescent="0.25">
      <c r="L221411" s="472"/>
      <c r="M221411" s="472"/>
    </row>
    <row r="221483" spans="12:13" x14ac:dyDescent="0.25">
      <c r="L221483" s="472"/>
      <c r="M221483" s="472"/>
    </row>
    <row r="221484" spans="12:13" x14ac:dyDescent="0.25">
      <c r="L221484" s="472"/>
      <c r="M221484" s="472"/>
    </row>
    <row r="221485" spans="12:13" x14ac:dyDescent="0.25">
      <c r="L221485" s="472"/>
      <c r="M221485" s="472"/>
    </row>
    <row r="221557" spans="12:13" x14ac:dyDescent="0.25">
      <c r="L221557" s="472"/>
      <c r="M221557" s="472"/>
    </row>
    <row r="221558" spans="12:13" x14ac:dyDescent="0.25">
      <c r="L221558" s="472"/>
      <c r="M221558" s="472"/>
    </row>
    <row r="221559" spans="12:13" x14ac:dyDescent="0.25">
      <c r="L221559" s="472"/>
      <c r="M221559" s="472"/>
    </row>
    <row r="221631" spans="12:13" x14ac:dyDescent="0.25">
      <c r="L221631" s="472"/>
      <c r="M221631" s="472"/>
    </row>
    <row r="221632" spans="12:13" x14ac:dyDescent="0.25">
      <c r="L221632" s="472"/>
      <c r="M221632" s="472"/>
    </row>
    <row r="221633" spans="12:13" x14ac:dyDescent="0.25">
      <c r="L221633" s="472"/>
      <c r="M221633" s="472"/>
    </row>
    <row r="221705" spans="12:13" x14ac:dyDescent="0.25">
      <c r="L221705" s="472"/>
      <c r="M221705" s="472"/>
    </row>
    <row r="221706" spans="12:13" x14ac:dyDescent="0.25">
      <c r="L221706" s="472"/>
      <c r="M221706" s="472"/>
    </row>
    <row r="221707" spans="12:13" x14ac:dyDescent="0.25">
      <c r="L221707" s="472"/>
      <c r="M221707" s="472"/>
    </row>
    <row r="221779" spans="12:13" x14ac:dyDescent="0.25">
      <c r="L221779" s="472"/>
      <c r="M221779" s="472"/>
    </row>
    <row r="221780" spans="12:13" x14ac:dyDescent="0.25">
      <c r="L221780" s="472"/>
      <c r="M221780" s="472"/>
    </row>
    <row r="221781" spans="12:13" x14ac:dyDescent="0.25">
      <c r="L221781" s="472"/>
      <c r="M221781" s="472"/>
    </row>
    <row r="221853" spans="12:13" x14ac:dyDescent="0.25">
      <c r="L221853" s="472"/>
      <c r="M221853" s="472"/>
    </row>
    <row r="221854" spans="12:13" x14ac:dyDescent="0.25">
      <c r="L221854" s="472"/>
      <c r="M221854" s="472"/>
    </row>
    <row r="221855" spans="12:13" x14ac:dyDescent="0.25">
      <c r="L221855" s="472"/>
      <c r="M221855" s="472"/>
    </row>
    <row r="221927" spans="12:13" x14ac:dyDescent="0.25">
      <c r="L221927" s="472"/>
      <c r="M221927" s="472"/>
    </row>
    <row r="221928" spans="12:13" x14ac:dyDescent="0.25">
      <c r="L221928" s="472"/>
      <c r="M221928" s="472"/>
    </row>
    <row r="221929" spans="12:13" x14ac:dyDescent="0.25">
      <c r="L221929" s="472"/>
      <c r="M221929" s="472"/>
    </row>
    <row r="222001" spans="12:13" x14ac:dyDescent="0.25">
      <c r="L222001" s="472"/>
      <c r="M222001" s="472"/>
    </row>
    <row r="222002" spans="12:13" x14ac:dyDescent="0.25">
      <c r="L222002" s="472"/>
      <c r="M222002" s="472"/>
    </row>
    <row r="222003" spans="12:13" x14ac:dyDescent="0.25">
      <c r="L222003" s="472"/>
      <c r="M222003" s="472"/>
    </row>
    <row r="222075" spans="12:13" x14ac:dyDescent="0.25">
      <c r="L222075" s="472"/>
      <c r="M222075" s="472"/>
    </row>
    <row r="222076" spans="12:13" x14ac:dyDescent="0.25">
      <c r="L222076" s="472"/>
      <c r="M222076" s="472"/>
    </row>
    <row r="222077" spans="12:13" x14ac:dyDescent="0.25">
      <c r="L222077" s="472"/>
      <c r="M222077" s="472"/>
    </row>
    <row r="222149" spans="12:13" x14ac:dyDescent="0.25">
      <c r="L222149" s="472"/>
      <c r="M222149" s="472"/>
    </row>
    <row r="222150" spans="12:13" x14ac:dyDescent="0.25">
      <c r="L222150" s="472"/>
      <c r="M222150" s="472"/>
    </row>
    <row r="222151" spans="12:13" x14ac:dyDescent="0.25">
      <c r="L222151" s="472"/>
      <c r="M222151" s="472"/>
    </row>
    <row r="222223" spans="12:13" x14ac:dyDescent="0.25">
      <c r="L222223" s="472"/>
      <c r="M222223" s="472"/>
    </row>
    <row r="222224" spans="12:13" x14ac:dyDescent="0.25">
      <c r="L222224" s="472"/>
      <c r="M222224" s="472"/>
    </row>
    <row r="222225" spans="12:13" x14ac:dyDescent="0.25">
      <c r="L222225" s="472"/>
      <c r="M222225" s="472"/>
    </row>
    <row r="222297" spans="12:13" x14ac:dyDescent="0.25">
      <c r="L222297" s="472"/>
      <c r="M222297" s="472"/>
    </row>
    <row r="222298" spans="12:13" x14ac:dyDescent="0.25">
      <c r="L222298" s="472"/>
      <c r="M222298" s="472"/>
    </row>
    <row r="222299" spans="12:13" x14ac:dyDescent="0.25">
      <c r="L222299" s="472"/>
      <c r="M222299" s="472"/>
    </row>
    <row r="222371" spans="12:13" x14ac:dyDescent="0.25">
      <c r="L222371" s="472"/>
      <c r="M222371" s="472"/>
    </row>
    <row r="222372" spans="12:13" x14ac:dyDescent="0.25">
      <c r="L222372" s="472"/>
      <c r="M222372" s="472"/>
    </row>
    <row r="222373" spans="12:13" x14ac:dyDescent="0.25">
      <c r="L222373" s="472"/>
      <c r="M222373" s="472"/>
    </row>
    <row r="222445" spans="12:13" x14ac:dyDescent="0.25">
      <c r="L222445" s="472"/>
      <c r="M222445" s="472"/>
    </row>
    <row r="222446" spans="12:13" x14ac:dyDescent="0.25">
      <c r="L222446" s="472"/>
      <c r="M222446" s="472"/>
    </row>
    <row r="222447" spans="12:13" x14ac:dyDescent="0.25">
      <c r="L222447" s="472"/>
      <c r="M222447" s="472"/>
    </row>
    <row r="222519" spans="12:13" x14ac:dyDescent="0.25">
      <c r="L222519" s="472"/>
      <c r="M222519" s="472"/>
    </row>
    <row r="222520" spans="12:13" x14ac:dyDescent="0.25">
      <c r="L222520" s="472"/>
      <c r="M222520" s="472"/>
    </row>
    <row r="222521" spans="12:13" x14ac:dyDescent="0.25">
      <c r="L222521" s="472"/>
      <c r="M222521" s="472"/>
    </row>
    <row r="222593" spans="12:13" x14ac:dyDescent="0.25">
      <c r="L222593" s="472"/>
      <c r="M222593" s="472"/>
    </row>
    <row r="222594" spans="12:13" x14ac:dyDescent="0.25">
      <c r="L222594" s="472"/>
      <c r="M222594" s="472"/>
    </row>
    <row r="222595" spans="12:13" x14ac:dyDescent="0.25">
      <c r="L222595" s="472"/>
      <c r="M222595" s="472"/>
    </row>
    <row r="222667" spans="12:13" x14ac:dyDescent="0.25">
      <c r="L222667" s="472"/>
      <c r="M222667" s="472"/>
    </row>
    <row r="222668" spans="12:13" x14ac:dyDescent="0.25">
      <c r="L222668" s="472"/>
      <c r="M222668" s="472"/>
    </row>
    <row r="222669" spans="12:13" x14ac:dyDescent="0.25">
      <c r="L222669" s="472"/>
      <c r="M222669" s="472"/>
    </row>
    <row r="222741" spans="12:13" x14ac:dyDescent="0.25">
      <c r="L222741" s="472"/>
      <c r="M222741" s="472"/>
    </row>
    <row r="222742" spans="12:13" x14ac:dyDescent="0.25">
      <c r="L222742" s="472"/>
      <c r="M222742" s="472"/>
    </row>
    <row r="222743" spans="12:13" x14ac:dyDescent="0.25">
      <c r="L222743" s="472"/>
      <c r="M222743" s="472"/>
    </row>
    <row r="222815" spans="12:13" x14ac:dyDescent="0.25">
      <c r="L222815" s="472"/>
      <c r="M222815" s="472"/>
    </row>
    <row r="222816" spans="12:13" x14ac:dyDescent="0.25">
      <c r="L222816" s="472"/>
      <c r="M222816" s="472"/>
    </row>
    <row r="222817" spans="12:13" x14ac:dyDescent="0.25">
      <c r="L222817" s="472"/>
      <c r="M222817" s="472"/>
    </row>
    <row r="222889" spans="12:13" x14ac:dyDescent="0.25">
      <c r="L222889" s="472"/>
      <c r="M222889" s="472"/>
    </row>
    <row r="222890" spans="12:13" x14ac:dyDescent="0.25">
      <c r="L222890" s="472"/>
      <c r="M222890" s="472"/>
    </row>
    <row r="222891" spans="12:13" x14ac:dyDescent="0.25">
      <c r="L222891" s="472"/>
      <c r="M222891" s="472"/>
    </row>
    <row r="222963" spans="12:13" x14ac:dyDescent="0.25">
      <c r="L222963" s="472"/>
      <c r="M222963" s="472"/>
    </row>
    <row r="222964" spans="12:13" x14ac:dyDescent="0.25">
      <c r="L222964" s="472"/>
      <c r="M222964" s="472"/>
    </row>
    <row r="222965" spans="12:13" x14ac:dyDescent="0.25">
      <c r="L222965" s="472"/>
      <c r="M222965" s="472"/>
    </row>
    <row r="223037" spans="12:13" x14ac:dyDescent="0.25">
      <c r="L223037" s="472"/>
      <c r="M223037" s="472"/>
    </row>
    <row r="223038" spans="12:13" x14ac:dyDescent="0.25">
      <c r="L223038" s="472"/>
      <c r="M223038" s="472"/>
    </row>
    <row r="223039" spans="12:13" x14ac:dyDescent="0.25">
      <c r="L223039" s="472"/>
      <c r="M223039" s="472"/>
    </row>
    <row r="223111" spans="12:13" x14ac:dyDescent="0.25">
      <c r="L223111" s="472"/>
      <c r="M223111" s="472"/>
    </row>
    <row r="223112" spans="12:13" x14ac:dyDescent="0.25">
      <c r="L223112" s="472"/>
      <c r="M223112" s="472"/>
    </row>
    <row r="223113" spans="12:13" x14ac:dyDescent="0.25">
      <c r="L223113" s="472"/>
      <c r="M223113" s="472"/>
    </row>
    <row r="223185" spans="12:13" x14ac:dyDescent="0.25">
      <c r="L223185" s="472"/>
      <c r="M223185" s="472"/>
    </row>
    <row r="223186" spans="12:13" x14ac:dyDescent="0.25">
      <c r="L223186" s="472"/>
      <c r="M223186" s="472"/>
    </row>
    <row r="223187" spans="12:13" x14ac:dyDescent="0.25">
      <c r="L223187" s="472"/>
      <c r="M223187" s="472"/>
    </row>
    <row r="223259" spans="12:13" x14ac:dyDescent="0.25">
      <c r="L223259" s="472"/>
      <c r="M223259" s="472"/>
    </row>
    <row r="223260" spans="12:13" x14ac:dyDescent="0.25">
      <c r="L223260" s="472"/>
      <c r="M223260" s="472"/>
    </row>
    <row r="223261" spans="12:13" x14ac:dyDescent="0.25">
      <c r="L223261" s="472"/>
      <c r="M223261" s="472"/>
    </row>
    <row r="223333" spans="12:13" x14ac:dyDescent="0.25">
      <c r="L223333" s="472"/>
      <c r="M223333" s="472"/>
    </row>
    <row r="223334" spans="12:13" x14ac:dyDescent="0.25">
      <c r="L223334" s="472"/>
      <c r="M223334" s="472"/>
    </row>
    <row r="223335" spans="12:13" x14ac:dyDescent="0.25">
      <c r="L223335" s="472"/>
      <c r="M223335" s="472"/>
    </row>
    <row r="223407" spans="12:13" x14ac:dyDescent="0.25">
      <c r="L223407" s="472"/>
      <c r="M223407" s="472"/>
    </row>
    <row r="223408" spans="12:13" x14ac:dyDescent="0.25">
      <c r="L223408" s="472"/>
      <c r="M223408" s="472"/>
    </row>
    <row r="223409" spans="12:13" x14ac:dyDescent="0.25">
      <c r="L223409" s="472"/>
      <c r="M223409" s="472"/>
    </row>
    <row r="223481" spans="12:13" x14ac:dyDescent="0.25">
      <c r="L223481" s="472"/>
      <c r="M223481" s="472"/>
    </row>
    <row r="223482" spans="12:13" x14ac:dyDescent="0.25">
      <c r="L223482" s="472"/>
      <c r="M223482" s="472"/>
    </row>
    <row r="223483" spans="12:13" x14ac:dyDescent="0.25">
      <c r="L223483" s="472"/>
      <c r="M223483" s="472"/>
    </row>
    <row r="223555" spans="12:13" x14ac:dyDescent="0.25">
      <c r="L223555" s="472"/>
      <c r="M223555" s="472"/>
    </row>
    <row r="223556" spans="12:13" x14ac:dyDescent="0.25">
      <c r="L223556" s="472"/>
      <c r="M223556" s="472"/>
    </row>
    <row r="223557" spans="12:13" x14ac:dyDescent="0.25">
      <c r="L223557" s="472"/>
      <c r="M223557" s="472"/>
    </row>
    <row r="223629" spans="12:13" x14ac:dyDescent="0.25">
      <c r="L223629" s="472"/>
      <c r="M223629" s="472"/>
    </row>
    <row r="223630" spans="12:13" x14ac:dyDescent="0.25">
      <c r="L223630" s="472"/>
      <c r="M223630" s="472"/>
    </row>
    <row r="223631" spans="12:13" x14ac:dyDescent="0.25">
      <c r="L223631" s="472"/>
      <c r="M223631" s="472"/>
    </row>
    <row r="223703" spans="12:13" x14ac:dyDescent="0.25">
      <c r="L223703" s="472"/>
      <c r="M223703" s="472"/>
    </row>
    <row r="223704" spans="12:13" x14ac:dyDescent="0.25">
      <c r="L223704" s="472"/>
      <c r="M223704" s="472"/>
    </row>
    <row r="223705" spans="12:13" x14ac:dyDescent="0.25">
      <c r="L223705" s="472"/>
      <c r="M223705" s="472"/>
    </row>
    <row r="223777" spans="12:13" x14ac:dyDescent="0.25">
      <c r="L223777" s="472"/>
      <c r="M223777" s="472"/>
    </row>
    <row r="223778" spans="12:13" x14ac:dyDescent="0.25">
      <c r="L223778" s="472"/>
      <c r="M223778" s="472"/>
    </row>
    <row r="223779" spans="12:13" x14ac:dyDescent="0.25">
      <c r="L223779" s="472"/>
      <c r="M223779" s="472"/>
    </row>
    <row r="223851" spans="12:13" x14ac:dyDescent="0.25">
      <c r="L223851" s="472"/>
      <c r="M223851" s="472"/>
    </row>
    <row r="223852" spans="12:13" x14ac:dyDescent="0.25">
      <c r="L223852" s="472"/>
      <c r="M223852" s="472"/>
    </row>
    <row r="223853" spans="12:13" x14ac:dyDescent="0.25">
      <c r="L223853" s="472"/>
      <c r="M223853" s="472"/>
    </row>
    <row r="223925" spans="12:13" x14ac:dyDescent="0.25">
      <c r="L223925" s="472"/>
      <c r="M223925" s="472"/>
    </row>
    <row r="223926" spans="12:13" x14ac:dyDescent="0.25">
      <c r="L223926" s="472"/>
      <c r="M223926" s="472"/>
    </row>
    <row r="223927" spans="12:13" x14ac:dyDescent="0.25">
      <c r="L223927" s="472"/>
      <c r="M223927" s="472"/>
    </row>
    <row r="223999" spans="12:13" x14ac:dyDescent="0.25">
      <c r="L223999" s="472"/>
      <c r="M223999" s="472"/>
    </row>
    <row r="224000" spans="12:13" x14ac:dyDescent="0.25">
      <c r="L224000" s="472"/>
      <c r="M224000" s="472"/>
    </row>
    <row r="224001" spans="12:13" x14ac:dyDescent="0.25">
      <c r="L224001" s="472"/>
      <c r="M224001" s="472"/>
    </row>
    <row r="224073" spans="12:13" x14ac:dyDescent="0.25">
      <c r="L224073" s="472"/>
      <c r="M224073" s="472"/>
    </row>
    <row r="224074" spans="12:13" x14ac:dyDescent="0.25">
      <c r="L224074" s="472"/>
      <c r="M224074" s="472"/>
    </row>
    <row r="224075" spans="12:13" x14ac:dyDescent="0.25">
      <c r="L224075" s="472"/>
      <c r="M224075" s="472"/>
    </row>
    <row r="224147" spans="12:13" x14ac:dyDescent="0.25">
      <c r="L224147" s="472"/>
      <c r="M224147" s="472"/>
    </row>
    <row r="224148" spans="12:13" x14ac:dyDescent="0.25">
      <c r="L224148" s="472"/>
      <c r="M224148" s="472"/>
    </row>
    <row r="224149" spans="12:13" x14ac:dyDescent="0.25">
      <c r="L224149" s="472"/>
      <c r="M224149" s="472"/>
    </row>
    <row r="224221" spans="12:13" x14ac:dyDescent="0.25">
      <c r="L224221" s="472"/>
      <c r="M224221" s="472"/>
    </row>
    <row r="224222" spans="12:13" x14ac:dyDescent="0.25">
      <c r="L224222" s="472"/>
      <c r="M224222" s="472"/>
    </row>
    <row r="224223" spans="12:13" x14ac:dyDescent="0.25">
      <c r="L224223" s="472"/>
      <c r="M224223" s="472"/>
    </row>
    <row r="224295" spans="12:13" x14ac:dyDescent="0.25">
      <c r="L224295" s="472"/>
      <c r="M224295" s="472"/>
    </row>
    <row r="224296" spans="12:13" x14ac:dyDescent="0.25">
      <c r="L224296" s="472"/>
      <c r="M224296" s="472"/>
    </row>
    <row r="224297" spans="12:13" x14ac:dyDescent="0.25">
      <c r="L224297" s="472"/>
      <c r="M224297" s="472"/>
    </row>
    <row r="224369" spans="12:13" x14ac:dyDescent="0.25">
      <c r="L224369" s="472"/>
      <c r="M224369" s="472"/>
    </row>
    <row r="224370" spans="12:13" x14ac:dyDescent="0.25">
      <c r="L224370" s="472"/>
      <c r="M224370" s="472"/>
    </row>
    <row r="224371" spans="12:13" x14ac:dyDescent="0.25">
      <c r="L224371" s="472"/>
      <c r="M224371" s="472"/>
    </row>
    <row r="224443" spans="12:13" x14ac:dyDescent="0.25">
      <c r="L224443" s="472"/>
      <c r="M224443" s="472"/>
    </row>
    <row r="224444" spans="12:13" x14ac:dyDescent="0.25">
      <c r="L224444" s="472"/>
      <c r="M224444" s="472"/>
    </row>
    <row r="224445" spans="12:13" x14ac:dyDescent="0.25">
      <c r="L224445" s="472"/>
      <c r="M224445" s="472"/>
    </row>
    <row r="224517" spans="12:13" x14ac:dyDescent="0.25">
      <c r="L224517" s="472"/>
      <c r="M224517" s="472"/>
    </row>
    <row r="224518" spans="12:13" x14ac:dyDescent="0.25">
      <c r="L224518" s="472"/>
      <c r="M224518" s="472"/>
    </row>
    <row r="224519" spans="12:13" x14ac:dyDescent="0.25">
      <c r="L224519" s="472"/>
      <c r="M224519" s="472"/>
    </row>
    <row r="224591" spans="12:13" x14ac:dyDescent="0.25">
      <c r="L224591" s="472"/>
      <c r="M224591" s="472"/>
    </row>
    <row r="224592" spans="12:13" x14ac:dyDescent="0.25">
      <c r="L224592" s="472"/>
      <c r="M224592" s="472"/>
    </row>
    <row r="224593" spans="12:13" x14ac:dyDescent="0.25">
      <c r="L224593" s="472"/>
      <c r="M224593" s="472"/>
    </row>
    <row r="224665" spans="12:13" x14ac:dyDescent="0.25">
      <c r="L224665" s="472"/>
      <c r="M224665" s="472"/>
    </row>
    <row r="224666" spans="12:13" x14ac:dyDescent="0.25">
      <c r="L224666" s="472"/>
      <c r="M224666" s="472"/>
    </row>
    <row r="224667" spans="12:13" x14ac:dyDescent="0.25">
      <c r="L224667" s="472"/>
      <c r="M224667" s="472"/>
    </row>
    <row r="224739" spans="12:13" x14ac:dyDescent="0.25">
      <c r="L224739" s="472"/>
      <c r="M224739" s="472"/>
    </row>
    <row r="224740" spans="12:13" x14ac:dyDescent="0.25">
      <c r="L224740" s="472"/>
      <c r="M224740" s="472"/>
    </row>
    <row r="224741" spans="12:13" x14ac:dyDescent="0.25">
      <c r="L224741" s="472"/>
      <c r="M224741" s="472"/>
    </row>
    <row r="224813" spans="12:13" x14ac:dyDescent="0.25">
      <c r="L224813" s="472"/>
      <c r="M224813" s="472"/>
    </row>
    <row r="224814" spans="12:13" x14ac:dyDescent="0.25">
      <c r="L224814" s="472"/>
      <c r="M224814" s="472"/>
    </row>
    <row r="224815" spans="12:13" x14ac:dyDescent="0.25">
      <c r="L224815" s="472"/>
      <c r="M224815" s="472"/>
    </row>
    <row r="224887" spans="12:13" x14ac:dyDescent="0.25">
      <c r="L224887" s="472"/>
      <c r="M224887" s="472"/>
    </row>
    <row r="224888" spans="12:13" x14ac:dyDescent="0.25">
      <c r="L224888" s="472"/>
      <c r="M224888" s="472"/>
    </row>
    <row r="224889" spans="12:13" x14ac:dyDescent="0.25">
      <c r="L224889" s="472"/>
      <c r="M224889" s="472"/>
    </row>
    <row r="224961" spans="12:13" x14ac:dyDescent="0.25">
      <c r="L224961" s="472"/>
      <c r="M224961" s="472"/>
    </row>
    <row r="224962" spans="12:13" x14ac:dyDescent="0.25">
      <c r="L224962" s="472"/>
      <c r="M224962" s="472"/>
    </row>
    <row r="224963" spans="12:13" x14ac:dyDescent="0.25">
      <c r="L224963" s="472"/>
      <c r="M224963" s="472"/>
    </row>
    <row r="225035" spans="12:13" x14ac:dyDescent="0.25">
      <c r="L225035" s="472"/>
      <c r="M225035" s="472"/>
    </row>
    <row r="225036" spans="12:13" x14ac:dyDescent="0.25">
      <c r="L225036" s="472"/>
      <c r="M225036" s="472"/>
    </row>
    <row r="225037" spans="12:13" x14ac:dyDescent="0.25">
      <c r="L225037" s="472"/>
      <c r="M225037" s="472"/>
    </row>
    <row r="225109" spans="12:13" x14ac:dyDescent="0.25">
      <c r="L225109" s="472"/>
      <c r="M225109" s="472"/>
    </row>
    <row r="225110" spans="12:13" x14ac:dyDescent="0.25">
      <c r="L225110" s="472"/>
      <c r="M225110" s="472"/>
    </row>
    <row r="225111" spans="12:13" x14ac:dyDescent="0.25">
      <c r="L225111" s="472"/>
      <c r="M225111" s="472"/>
    </row>
    <row r="225183" spans="12:13" x14ac:dyDescent="0.25">
      <c r="L225183" s="472"/>
      <c r="M225183" s="472"/>
    </row>
    <row r="225184" spans="12:13" x14ac:dyDescent="0.25">
      <c r="L225184" s="472"/>
      <c r="M225184" s="472"/>
    </row>
    <row r="225185" spans="12:13" x14ac:dyDescent="0.25">
      <c r="L225185" s="472"/>
      <c r="M225185" s="472"/>
    </row>
    <row r="225257" spans="12:13" x14ac:dyDescent="0.25">
      <c r="L225257" s="472"/>
      <c r="M225257" s="472"/>
    </row>
    <row r="225258" spans="12:13" x14ac:dyDescent="0.25">
      <c r="L225258" s="472"/>
      <c r="M225258" s="472"/>
    </row>
    <row r="225259" spans="12:13" x14ac:dyDescent="0.25">
      <c r="L225259" s="472"/>
      <c r="M225259" s="472"/>
    </row>
    <row r="225331" spans="12:13" x14ac:dyDescent="0.25">
      <c r="L225331" s="472"/>
      <c r="M225331" s="472"/>
    </row>
    <row r="225332" spans="12:13" x14ac:dyDescent="0.25">
      <c r="L225332" s="472"/>
      <c r="M225332" s="472"/>
    </row>
    <row r="225333" spans="12:13" x14ac:dyDescent="0.25">
      <c r="L225333" s="472"/>
      <c r="M225333" s="472"/>
    </row>
    <row r="225405" spans="12:13" x14ac:dyDescent="0.25">
      <c r="L225405" s="472"/>
      <c r="M225405" s="472"/>
    </row>
    <row r="225406" spans="12:13" x14ac:dyDescent="0.25">
      <c r="L225406" s="472"/>
      <c r="M225406" s="472"/>
    </row>
    <row r="225407" spans="12:13" x14ac:dyDescent="0.25">
      <c r="L225407" s="472"/>
      <c r="M225407" s="472"/>
    </row>
    <row r="225479" spans="12:13" x14ac:dyDescent="0.25">
      <c r="L225479" s="472"/>
      <c r="M225479" s="472"/>
    </row>
    <row r="225480" spans="12:13" x14ac:dyDescent="0.25">
      <c r="L225480" s="472"/>
      <c r="M225480" s="472"/>
    </row>
    <row r="225481" spans="12:13" x14ac:dyDescent="0.25">
      <c r="L225481" s="472"/>
      <c r="M225481" s="472"/>
    </row>
    <row r="225553" spans="12:13" x14ac:dyDescent="0.25">
      <c r="L225553" s="472"/>
      <c r="M225553" s="472"/>
    </row>
    <row r="225554" spans="12:13" x14ac:dyDescent="0.25">
      <c r="L225554" s="472"/>
      <c r="M225554" s="472"/>
    </row>
    <row r="225555" spans="12:13" x14ac:dyDescent="0.25">
      <c r="L225555" s="472"/>
      <c r="M225555" s="472"/>
    </row>
    <row r="225627" spans="12:13" x14ac:dyDescent="0.25">
      <c r="L225627" s="472"/>
      <c r="M225627" s="472"/>
    </row>
    <row r="225628" spans="12:13" x14ac:dyDescent="0.25">
      <c r="L225628" s="472"/>
      <c r="M225628" s="472"/>
    </row>
    <row r="225629" spans="12:13" x14ac:dyDescent="0.25">
      <c r="L225629" s="472"/>
      <c r="M225629" s="472"/>
    </row>
    <row r="225701" spans="12:13" x14ac:dyDescent="0.25">
      <c r="L225701" s="472"/>
      <c r="M225701" s="472"/>
    </row>
    <row r="225702" spans="12:13" x14ac:dyDescent="0.25">
      <c r="L225702" s="472"/>
      <c r="M225702" s="472"/>
    </row>
    <row r="225703" spans="12:13" x14ac:dyDescent="0.25">
      <c r="L225703" s="472"/>
      <c r="M225703" s="472"/>
    </row>
    <row r="225775" spans="12:13" x14ac:dyDescent="0.25">
      <c r="L225775" s="472"/>
      <c r="M225775" s="472"/>
    </row>
    <row r="225776" spans="12:13" x14ac:dyDescent="0.25">
      <c r="L225776" s="472"/>
      <c r="M225776" s="472"/>
    </row>
    <row r="225777" spans="12:13" x14ac:dyDescent="0.25">
      <c r="L225777" s="472"/>
      <c r="M225777" s="472"/>
    </row>
    <row r="225849" spans="12:13" x14ac:dyDescent="0.25">
      <c r="L225849" s="472"/>
      <c r="M225849" s="472"/>
    </row>
    <row r="225850" spans="12:13" x14ac:dyDescent="0.25">
      <c r="L225850" s="472"/>
      <c r="M225850" s="472"/>
    </row>
    <row r="225851" spans="12:13" x14ac:dyDescent="0.25">
      <c r="L225851" s="472"/>
      <c r="M225851" s="472"/>
    </row>
    <row r="225923" spans="12:13" x14ac:dyDescent="0.25">
      <c r="L225923" s="472"/>
      <c r="M225923" s="472"/>
    </row>
    <row r="225924" spans="12:13" x14ac:dyDescent="0.25">
      <c r="L225924" s="472"/>
      <c r="M225924" s="472"/>
    </row>
    <row r="225925" spans="12:13" x14ac:dyDescent="0.25">
      <c r="L225925" s="472"/>
      <c r="M225925" s="472"/>
    </row>
    <row r="225997" spans="12:13" x14ac:dyDescent="0.25">
      <c r="L225997" s="472"/>
      <c r="M225997" s="472"/>
    </row>
    <row r="225998" spans="12:13" x14ac:dyDescent="0.25">
      <c r="L225998" s="472"/>
      <c r="M225998" s="472"/>
    </row>
    <row r="225999" spans="12:13" x14ac:dyDescent="0.25">
      <c r="L225999" s="472"/>
      <c r="M225999" s="472"/>
    </row>
    <row r="226071" spans="12:13" x14ac:dyDescent="0.25">
      <c r="L226071" s="472"/>
      <c r="M226071" s="472"/>
    </row>
    <row r="226072" spans="12:13" x14ac:dyDescent="0.25">
      <c r="L226072" s="472"/>
      <c r="M226072" s="472"/>
    </row>
    <row r="226073" spans="12:13" x14ac:dyDescent="0.25">
      <c r="L226073" s="472"/>
      <c r="M226073" s="472"/>
    </row>
    <row r="226145" spans="12:13" x14ac:dyDescent="0.25">
      <c r="L226145" s="472"/>
      <c r="M226145" s="472"/>
    </row>
    <row r="226146" spans="12:13" x14ac:dyDescent="0.25">
      <c r="L226146" s="472"/>
      <c r="M226146" s="472"/>
    </row>
    <row r="226147" spans="12:13" x14ac:dyDescent="0.25">
      <c r="L226147" s="472"/>
      <c r="M226147" s="472"/>
    </row>
    <row r="226219" spans="12:13" x14ac:dyDescent="0.25">
      <c r="L226219" s="472"/>
      <c r="M226219" s="472"/>
    </row>
    <row r="226220" spans="12:13" x14ac:dyDescent="0.25">
      <c r="L226220" s="472"/>
      <c r="M226220" s="472"/>
    </row>
    <row r="226221" spans="12:13" x14ac:dyDescent="0.25">
      <c r="L226221" s="472"/>
      <c r="M226221" s="472"/>
    </row>
    <row r="226293" spans="12:13" x14ac:dyDescent="0.25">
      <c r="L226293" s="472"/>
      <c r="M226293" s="472"/>
    </row>
    <row r="226294" spans="12:13" x14ac:dyDescent="0.25">
      <c r="L226294" s="472"/>
      <c r="M226294" s="472"/>
    </row>
    <row r="226295" spans="12:13" x14ac:dyDescent="0.25">
      <c r="L226295" s="472"/>
      <c r="M226295" s="472"/>
    </row>
    <row r="226367" spans="12:13" x14ac:dyDescent="0.25">
      <c r="L226367" s="472"/>
      <c r="M226367" s="472"/>
    </row>
    <row r="226368" spans="12:13" x14ac:dyDescent="0.25">
      <c r="L226368" s="472"/>
      <c r="M226368" s="472"/>
    </row>
    <row r="226369" spans="12:13" x14ac:dyDescent="0.25">
      <c r="L226369" s="472"/>
      <c r="M226369" s="472"/>
    </row>
    <row r="226441" spans="12:13" x14ac:dyDescent="0.25">
      <c r="L226441" s="472"/>
      <c r="M226441" s="472"/>
    </row>
    <row r="226442" spans="12:13" x14ac:dyDescent="0.25">
      <c r="L226442" s="472"/>
      <c r="M226442" s="472"/>
    </row>
    <row r="226443" spans="12:13" x14ac:dyDescent="0.25">
      <c r="L226443" s="472"/>
      <c r="M226443" s="472"/>
    </row>
    <row r="226515" spans="12:13" x14ac:dyDescent="0.25">
      <c r="L226515" s="472"/>
      <c r="M226515" s="472"/>
    </row>
    <row r="226516" spans="12:13" x14ac:dyDescent="0.25">
      <c r="L226516" s="472"/>
      <c r="M226516" s="472"/>
    </row>
    <row r="226517" spans="12:13" x14ac:dyDescent="0.25">
      <c r="L226517" s="472"/>
      <c r="M226517" s="472"/>
    </row>
    <row r="226589" spans="12:13" x14ac:dyDescent="0.25">
      <c r="L226589" s="472"/>
      <c r="M226589" s="472"/>
    </row>
    <row r="226590" spans="12:13" x14ac:dyDescent="0.25">
      <c r="L226590" s="472"/>
      <c r="M226590" s="472"/>
    </row>
    <row r="226591" spans="12:13" x14ac:dyDescent="0.25">
      <c r="L226591" s="472"/>
      <c r="M226591" s="472"/>
    </row>
    <row r="226663" spans="12:13" x14ac:dyDescent="0.25">
      <c r="L226663" s="472"/>
      <c r="M226663" s="472"/>
    </row>
    <row r="226664" spans="12:13" x14ac:dyDescent="0.25">
      <c r="L226664" s="472"/>
      <c r="M226664" s="472"/>
    </row>
    <row r="226665" spans="12:13" x14ac:dyDescent="0.25">
      <c r="L226665" s="472"/>
      <c r="M226665" s="472"/>
    </row>
    <row r="226737" spans="12:13" x14ac:dyDescent="0.25">
      <c r="L226737" s="472"/>
      <c r="M226737" s="472"/>
    </row>
    <row r="226738" spans="12:13" x14ac:dyDescent="0.25">
      <c r="L226738" s="472"/>
      <c r="M226738" s="472"/>
    </row>
    <row r="226739" spans="12:13" x14ac:dyDescent="0.25">
      <c r="L226739" s="472"/>
      <c r="M226739" s="472"/>
    </row>
    <row r="226811" spans="12:13" x14ac:dyDescent="0.25">
      <c r="L226811" s="472"/>
      <c r="M226811" s="472"/>
    </row>
    <row r="226812" spans="12:13" x14ac:dyDescent="0.25">
      <c r="L226812" s="472"/>
      <c r="M226812" s="472"/>
    </row>
    <row r="226813" spans="12:13" x14ac:dyDescent="0.25">
      <c r="L226813" s="472"/>
      <c r="M226813" s="472"/>
    </row>
    <row r="226885" spans="12:13" x14ac:dyDescent="0.25">
      <c r="L226885" s="472"/>
      <c r="M226885" s="472"/>
    </row>
    <row r="226886" spans="12:13" x14ac:dyDescent="0.25">
      <c r="L226886" s="472"/>
      <c r="M226886" s="472"/>
    </row>
    <row r="226887" spans="12:13" x14ac:dyDescent="0.25">
      <c r="L226887" s="472"/>
      <c r="M226887" s="472"/>
    </row>
    <row r="226959" spans="12:13" x14ac:dyDescent="0.25">
      <c r="L226959" s="472"/>
      <c r="M226959" s="472"/>
    </row>
    <row r="226960" spans="12:13" x14ac:dyDescent="0.25">
      <c r="L226960" s="472"/>
      <c r="M226960" s="472"/>
    </row>
    <row r="226961" spans="12:13" x14ac:dyDescent="0.25">
      <c r="L226961" s="472"/>
      <c r="M226961" s="472"/>
    </row>
    <row r="227033" spans="12:13" x14ac:dyDescent="0.25">
      <c r="L227033" s="472"/>
      <c r="M227033" s="472"/>
    </row>
    <row r="227034" spans="12:13" x14ac:dyDescent="0.25">
      <c r="L227034" s="472"/>
      <c r="M227034" s="472"/>
    </row>
    <row r="227035" spans="12:13" x14ac:dyDescent="0.25">
      <c r="L227035" s="472"/>
      <c r="M227035" s="472"/>
    </row>
    <row r="227107" spans="12:13" x14ac:dyDescent="0.25">
      <c r="L227107" s="472"/>
      <c r="M227107" s="472"/>
    </row>
    <row r="227108" spans="12:13" x14ac:dyDescent="0.25">
      <c r="L227108" s="472"/>
      <c r="M227108" s="472"/>
    </row>
    <row r="227109" spans="12:13" x14ac:dyDescent="0.25">
      <c r="L227109" s="472"/>
      <c r="M227109" s="472"/>
    </row>
    <row r="227181" spans="12:13" x14ac:dyDescent="0.25">
      <c r="L227181" s="472"/>
      <c r="M227181" s="472"/>
    </row>
    <row r="227182" spans="12:13" x14ac:dyDescent="0.25">
      <c r="L227182" s="472"/>
      <c r="M227182" s="472"/>
    </row>
    <row r="227183" spans="12:13" x14ac:dyDescent="0.25">
      <c r="L227183" s="472"/>
      <c r="M227183" s="472"/>
    </row>
    <row r="227255" spans="12:13" x14ac:dyDescent="0.25">
      <c r="L227255" s="472"/>
      <c r="M227255" s="472"/>
    </row>
    <row r="227256" spans="12:13" x14ac:dyDescent="0.25">
      <c r="L227256" s="472"/>
      <c r="M227256" s="472"/>
    </row>
    <row r="227257" spans="12:13" x14ac:dyDescent="0.25">
      <c r="L227257" s="472"/>
      <c r="M227257" s="472"/>
    </row>
    <row r="227329" spans="12:13" x14ac:dyDescent="0.25">
      <c r="L227329" s="472"/>
      <c r="M227329" s="472"/>
    </row>
    <row r="227330" spans="12:13" x14ac:dyDescent="0.25">
      <c r="L227330" s="472"/>
      <c r="M227330" s="472"/>
    </row>
    <row r="227331" spans="12:13" x14ac:dyDescent="0.25">
      <c r="L227331" s="472"/>
      <c r="M227331" s="472"/>
    </row>
    <row r="227403" spans="12:13" x14ac:dyDescent="0.25">
      <c r="L227403" s="472"/>
      <c r="M227403" s="472"/>
    </row>
    <row r="227404" spans="12:13" x14ac:dyDescent="0.25">
      <c r="L227404" s="472"/>
      <c r="M227404" s="472"/>
    </row>
    <row r="227405" spans="12:13" x14ac:dyDescent="0.25">
      <c r="L227405" s="472"/>
      <c r="M227405" s="472"/>
    </row>
    <row r="227477" spans="12:13" x14ac:dyDescent="0.25">
      <c r="L227477" s="472"/>
      <c r="M227477" s="472"/>
    </row>
    <row r="227478" spans="12:13" x14ac:dyDescent="0.25">
      <c r="L227478" s="472"/>
      <c r="M227478" s="472"/>
    </row>
    <row r="227479" spans="12:13" x14ac:dyDescent="0.25">
      <c r="L227479" s="472"/>
      <c r="M227479" s="472"/>
    </row>
    <row r="227551" spans="12:13" x14ac:dyDescent="0.25">
      <c r="L227551" s="472"/>
      <c r="M227551" s="472"/>
    </row>
    <row r="227552" spans="12:13" x14ac:dyDescent="0.25">
      <c r="L227552" s="472"/>
      <c r="M227552" s="472"/>
    </row>
    <row r="227553" spans="12:13" x14ac:dyDescent="0.25">
      <c r="L227553" s="472"/>
      <c r="M227553" s="472"/>
    </row>
    <row r="227625" spans="12:13" x14ac:dyDescent="0.25">
      <c r="L227625" s="472"/>
      <c r="M227625" s="472"/>
    </row>
    <row r="227626" spans="12:13" x14ac:dyDescent="0.25">
      <c r="L227626" s="472"/>
      <c r="M227626" s="472"/>
    </row>
    <row r="227627" spans="12:13" x14ac:dyDescent="0.25">
      <c r="L227627" s="472"/>
      <c r="M227627" s="472"/>
    </row>
    <row r="227699" spans="12:13" x14ac:dyDescent="0.25">
      <c r="L227699" s="472"/>
      <c r="M227699" s="472"/>
    </row>
    <row r="227700" spans="12:13" x14ac:dyDescent="0.25">
      <c r="L227700" s="472"/>
      <c r="M227700" s="472"/>
    </row>
    <row r="227701" spans="12:13" x14ac:dyDescent="0.25">
      <c r="L227701" s="472"/>
      <c r="M227701" s="472"/>
    </row>
    <row r="227773" spans="12:13" x14ac:dyDescent="0.25">
      <c r="L227773" s="472"/>
      <c r="M227773" s="472"/>
    </row>
    <row r="227774" spans="12:13" x14ac:dyDescent="0.25">
      <c r="L227774" s="472"/>
      <c r="M227774" s="472"/>
    </row>
    <row r="227775" spans="12:13" x14ac:dyDescent="0.25">
      <c r="L227775" s="472"/>
      <c r="M227775" s="472"/>
    </row>
    <row r="227847" spans="12:13" x14ac:dyDescent="0.25">
      <c r="L227847" s="472"/>
      <c r="M227847" s="472"/>
    </row>
    <row r="227848" spans="12:13" x14ac:dyDescent="0.25">
      <c r="L227848" s="472"/>
      <c r="M227848" s="472"/>
    </row>
    <row r="227849" spans="12:13" x14ac:dyDescent="0.25">
      <c r="L227849" s="472"/>
      <c r="M227849" s="472"/>
    </row>
    <row r="227921" spans="12:13" x14ac:dyDescent="0.25">
      <c r="L227921" s="472"/>
      <c r="M227921" s="472"/>
    </row>
    <row r="227922" spans="12:13" x14ac:dyDescent="0.25">
      <c r="L227922" s="472"/>
      <c r="M227922" s="472"/>
    </row>
    <row r="227923" spans="12:13" x14ac:dyDescent="0.25">
      <c r="L227923" s="472"/>
      <c r="M227923" s="472"/>
    </row>
    <row r="227995" spans="12:13" x14ac:dyDescent="0.25">
      <c r="L227995" s="472"/>
      <c r="M227995" s="472"/>
    </row>
    <row r="227996" spans="12:13" x14ac:dyDescent="0.25">
      <c r="L227996" s="472"/>
      <c r="M227996" s="472"/>
    </row>
    <row r="227997" spans="12:13" x14ac:dyDescent="0.25">
      <c r="L227997" s="472"/>
      <c r="M227997" s="472"/>
    </row>
    <row r="228069" spans="12:13" x14ac:dyDescent="0.25">
      <c r="L228069" s="472"/>
      <c r="M228069" s="472"/>
    </row>
    <row r="228070" spans="12:13" x14ac:dyDescent="0.25">
      <c r="L228070" s="472"/>
      <c r="M228070" s="472"/>
    </row>
    <row r="228071" spans="12:13" x14ac:dyDescent="0.25">
      <c r="L228071" s="472"/>
      <c r="M228071" s="472"/>
    </row>
    <row r="228143" spans="12:13" x14ac:dyDescent="0.25">
      <c r="L228143" s="472"/>
      <c r="M228143" s="472"/>
    </row>
    <row r="228144" spans="12:13" x14ac:dyDescent="0.25">
      <c r="L228144" s="472"/>
      <c r="M228144" s="472"/>
    </row>
    <row r="228145" spans="12:13" x14ac:dyDescent="0.25">
      <c r="L228145" s="472"/>
      <c r="M228145" s="472"/>
    </row>
    <row r="228217" spans="12:13" x14ac:dyDescent="0.25">
      <c r="L228217" s="472"/>
      <c r="M228217" s="472"/>
    </row>
    <row r="228218" spans="12:13" x14ac:dyDescent="0.25">
      <c r="L228218" s="472"/>
      <c r="M228218" s="472"/>
    </row>
    <row r="228219" spans="12:13" x14ac:dyDescent="0.25">
      <c r="L228219" s="472"/>
      <c r="M228219" s="472"/>
    </row>
    <row r="228291" spans="12:13" x14ac:dyDescent="0.25">
      <c r="L228291" s="472"/>
      <c r="M228291" s="472"/>
    </row>
    <row r="228292" spans="12:13" x14ac:dyDescent="0.25">
      <c r="L228292" s="472"/>
      <c r="M228292" s="472"/>
    </row>
    <row r="228293" spans="12:13" x14ac:dyDescent="0.25">
      <c r="L228293" s="472"/>
      <c r="M228293" s="472"/>
    </row>
    <row r="228365" spans="12:13" x14ac:dyDescent="0.25">
      <c r="L228365" s="472"/>
      <c r="M228365" s="472"/>
    </row>
    <row r="228366" spans="12:13" x14ac:dyDescent="0.25">
      <c r="L228366" s="472"/>
      <c r="M228366" s="472"/>
    </row>
    <row r="228367" spans="12:13" x14ac:dyDescent="0.25">
      <c r="L228367" s="472"/>
      <c r="M228367" s="472"/>
    </row>
    <row r="228439" spans="12:13" x14ac:dyDescent="0.25">
      <c r="L228439" s="472"/>
      <c r="M228439" s="472"/>
    </row>
    <row r="228440" spans="12:13" x14ac:dyDescent="0.25">
      <c r="L228440" s="472"/>
      <c r="M228440" s="472"/>
    </row>
    <row r="228441" spans="12:13" x14ac:dyDescent="0.25">
      <c r="L228441" s="472"/>
      <c r="M228441" s="472"/>
    </row>
    <row r="228513" spans="12:13" x14ac:dyDescent="0.25">
      <c r="L228513" s="472"/>
      <c r="M228513" s="472"/>
    </row>
    <row r="228514" spans="12:13" x14ac:dyDescent="0.25">
      <c r="L228514" s="472"/>
      <c r="M228514" s="472"/>
    </row>
    <row r="228515" spans="12:13" x14ac:dyDescent="0.25">
      <c r="L228515" s="472"/>
      <c r="M228515" s="472"/>
    </row>
    <row r="228587" spans="12:13" x14ac:dyDescent="0.25">
      <c r="L228587" s="472"/>
      <c r="M228587" s="472"/>
    </row>
    <row r="228588" spans="12:13" x14ac:dyDescent="0.25">
      <c r="L228588" s="472"/>
      <c r="M228588" s="472"/>
    </row>
    <row r="228589" spans="12:13" x14ac:dyDescent="0.25">
      <c r="L228589" s="472"/>
      <c r="M228589" s="472"/>
    </row>
    <row r="228661" spans="12:13" x14ac:dyDescent="0.25">
      <c r="L228661" s="472"/>
      <c r="M228661" s="472"/>
    </row>
    <row r="228662" spans="12:13" x14ac:dyDescent="0.25">
      <c r="L228662" s="472"/>
      <c r="M228662" s="472"/>
    </row>
    <row r="228663" spans="12:13" x14ac:dyDescent="0.25">
      <c r="L228663" s="472"/>
      <c r="M228663" s="472"/>
    </row>
    <row r="228735" spans="12:13" x14ac:dyDescent="0.25">
      <c r="L228735" s="472"/>
      <c r="M228735" s="472"/>
    </row>
    <row r="228736" spans="12:13" x14ac:dyDescent="0.25">
      <c r="L228736" s="472"/>
      <c r="M228736" s="472"/>
    </row>
    <row r="228737" spans="12:13" x14ac:dyDescent="0.25">
      <c r="L228737" s="472"/>
      <c r="M228737" s="472"/>
    </row>
    <row r="228809" spans="12:13" x14ac:dyDescent="0.25">
      <c r="L228809" s="472"/>
      <c r="M228809" s="472"/>
    </row>
    <row r="228810" spans="12:13" x14ac:dyDescent="0.25">
      <c r="L228810" s="472"/>
      <c r="M228810" s="472"/>
    </row>
    <row r="228811" spans="12:13" x14ac:dyDescent="0.25">
      <c r="L228811" s="472"/>
      <c r="M228811" s="472"/>
    </row>
    <row r="228883" spans="12:13" x14ac:dyDescent="0.25">
      <c r="L228883" s="472"/>
      <c r="M228883" s="472"/>
    </row>
    <row r="228884" spans="12:13" x14ac:dyDescent="0.25">
      <c r="L228884" s="472"/>
      <c r="M228884" s="472"/>
    </row>
    <row r="228885" spans="12:13" x14ac:dyDescent="0.25">
      <c r="L228885" s="472"/>
      <c r="M228885" s="472"/>
    </row>
    <row r="228957" spans="12:13" x14ac:dyDescent="0.25">
      <c r="L228957" s="472"/>
      <c r="M228957" s="472"/>
    </row>
    <row r="228958" spans="12:13" x14ac:dyDescent="0.25">
      <c r="L228958" s="472"/>
      <c r="M228958" s="472"/>
    </row>
    <row r="228959" spans="12:13" x14ac:dyDescent="0.25">
      <c r="L228959" s="472"/>
      <c r="M228959" s="472"/>
    </row>
    <row r="229031" spans="12:13" x14ac:dyDescent="0.25">
      <c r="L229031" s="472"/>
      <c r="M229031" s="472"/>
    </row>
    <row r="229032" spans="12:13" x14ac:dyDescent="0.25">
      <c r="L229032" s="472"/>
      <c r="M229032" s="472"/>
    </row>
    <row r="229033" spans="12:13" x14ac:dyDescent="0.25">
      <c r="L229033" s="472"/>
      <c r="M229033" s="472"/>
    </row>
    <row r="229105" spans="12:13" x14ac:dyDescent="0.25">
      <c r="L229105" s="472"/>
      <c r="M229105" s="472"/>
    </row>
    <row r="229106" spans="12:13" x14ac:dyDescent="0.25">
      <c r="L229106" s="472"/>
      <c r="M229106" s="472"/>
    </row>
    <row r="229107" spans="12:13" x14ac:dyDescent="0.25">
      <c r="L229107" s="472"/>
      <c r="M229107" s="472"/>
    </row>
    <row r="229179" spans="12:13" x14ac:dyDescent="0.25">
      <c r="L229179" s="472"/>
      <c r="M229179" s="472"/>
    </row>
    <row r="229180" spans="12:13" x14ac:dyDescent="0.25">
      <c r="L229180" s="472"/>
      <c r="M229180" s="472"/>
    </row>
    <row r="229181" spans="12:13" x14ac:dyDescent="0.25">
      <c r="L229181" s="472"/>
      <c r="M229181" s="472"/>
    </row>
    <row r="229253" spans="12:13" x14ac:dyDescent="0.25">
      <c r="L229253" s="472"/>
      <c r="M229253" s="472"/>
    </row>
    <row r="229254" spans="12:13" x14ac:dyDescent="0.25">
      <c r="L229254" s="472"/>
      <c r="M229254" s="472"/>
    </row>
    <row r="229255" spans="12:13" x14ac:dyDescent="0.25">
      <c r="L229255" s="472"/>
      <c r="M229255" s="472"/>
    </row>
    <row r="229327" spans="12:13" x14ac:dyDescent="0.25">
      <c r="L229327" s="472"/>
      <c r="M229327" s="472"/>
    </row>
    <row r="229328" spans="12:13" x14ac:dyDescent="0.25">
      <c r="L229328" s="472"/>
      <c r="M229328" s="472"/>
    </row>
    <row r="229329" spans="12:13" x14ac:dyDescent="0.25">
      <c r="L229329" s="472"/>
      <c r="M229329" s="472"/>
    </row>
    <row r="229401" spans="12:13" x14ac:dyDescent="0.25">
      <c r="L229401" s="472"/>
      <c r="M229401" s="472"/>
    </row>
    <row r="229402" spans="12:13" x14ac:dyDescent="0.25">
      <c r="L229402" s="472"/>
      <c r="M229402" s="472"/>
    </row>
    <row r="229403" spans="12:13" x14ac:dyDescent="0.25">
      <c r="L229403" s="472"/>
      <c r="M229403" s="472"/>
    </row>
    <row r="229475" spans="12:13" x14ac:dyDescent="0.25">
      <c r="L229475" s="472"/>
      <c r="M229475" s="472"/>
    </row>
    <row r="229476" spans="12:13" x14ac:dyDescent="0.25">
      <c r="L229476" s="472"/>
      <c r="M229476" s="472"/>
    </row>
    <row r="229477" spans="12:13" x14ac:dyDescent="0.25">
      <c r="L229477" s="472"/>
      <c r="M229477" s="472"/>
    </row>
    <row r="229549" spans="12:13" x14ac:dyDescent="0.25">
      <c r="L229549" s="472"/>
      <c r="M229549" s="472"/>
    </row>
    <row r="229550" spans="12:13" x14ac:dyDescent="0.25">
      <c r="L229550" s="472"/>
      <c r="M229550" s="472"/>
    </row>
    <row r="229551" spans="12:13" x14ac:dyDescent="0.25">
      <c r="L229551" s="472"/>
      <c r="M229551" s="472"/>
    </row>
    <row r="229623" spans="12:13" x14ac:dyDescent="0.25">
      <c r="L229623" s="472"/>
      <c r="M229623" s="472"/>
    </row>
    <row r="229624" spans="12:13" x14ac:dyDescent="0.25">
      <c r="L229624" s="472"/>
      <c r="M229624" s="472"/>
    </row>
    <row r="229625" spans="12:13" x14ac:dyDescent="0.25">
      <c r="L229625" s="472"/>
      <c r="M229625" s="472"/>
    </row>
    <row r="229697" spans="12:13" x14ac:dyDescent="0.25">
      <c r="L229697" s="472"/>
      <c r="M229697" s="472"/>
    </row>
    <row r="229698" spans="12:13" x14ac:dyDescent="0.25">
      <c r="L229698" s="472"/>
      <c r="M229698" s="472"/>
    </row>
    <row r="229699" spans="12:13" x14ac:dyDescent="0.25">
      <c r="L229699" s="472"/>
      <c r="M229699" s="472"/>
    </row>
    <row r="229771" spans="12:13" x14ac:dyDescent="0.25">
      <c r="L229771" s="472"/>
      <c r="M229771" s="472"/>
    </row>
    <row r="229772" spans="12:13" x14ac:dyDescent="0.25">
      <c r="L229772" s="472"/>
      <c r="M229772" s="472"/>
    </row>
    <row r="229773" spans="12:13" x14ac:dyDescent="0.25">
      <c r="L229773" s="472"/>
      <c r="M229773" s="472"/>
    </row>
    <row r="229845" spans="12:13" x14ac:dyDescent="0.25">
      <c r="L229845" s="472"/>
      <c r="M229845" s="472"/>
    </row>
    <row r="229846" spans="12:13" x14ac:dyDescent="0.25">
      <c r="L229846" s="472"/>
      <c r="M229846" s="472"/>
    </row>
    <row r="229847" spans="12:13" x14ac:dyDescent="0.25">
      <c r="L229847" s="472"/>
      <c r="M229847" s="472"/>
    </row>
    <row r="229919" spans="12:13" x14ac:dyDescent="0.25">
      <c r="L229919" s="472"/>
      <c r="M229919" s="472"/>
    </row>
    <row r="229920" spans="12:13" x14ac:dyDescent="0.25">
      <c r="L229920" s="472"/>
      <c r="M229920" s="472"/>
    </row>
    <row r="229921" spans="12:13" x14ac:dyDescent="0.25">
      <c r="L229921" s="472"/>
      <c r="M229921" s="472"/>
    </row>
    <row r="229993" spans="12:13" x14ac:dyDescent="0.25">
      <c r="L229993" s="472"/>
      <c r="M229993" s="472"/>
    </row>
    <row r="229994" spans="12:13" x14ac:dyDescent="0.25">
      <c r="L229994" s="472"/>
      <c r="M229994" s="472"/>
    </row>
    <row r="229995" spans="12:13" x14ac:dyDescent="0.25">
      <c r="L229995" s="472"/>
      <c r="M229995" s="472"/>
    </row>
    <row r="230067" spans="12:13" x14ac:dyDescent="0.25">
      <c r="L230067" s="472"/>
      <c r="M230067" s="472"/>
    </row>
    <row r="230068" spans="12:13" x14ac:dyDescent="0.25">
      <c r="L230068" s="472"/>
      <c r="M230068" s="472"/>
    </row>
    <row r="230069" spans="12:13" x14ac:dyDescent="0.25">
      <c r="L230069" s="472"/>
      <c r="M230069" s="472"/>
    </row>
    <row r="230141" spans="12:13" x14ac:dyDescent="0.25">
      <c r="L230141" s="472"/>
      <c r="M230141" s="472"/>
    </row>
    <row r="230142" spans="12:13" x14ac:dyDescent="0.25">
      <c r="L230142" s="472"/>
      <c r="M230142" s="472"/>
    </row>
    <row r="230143" spans="12:13" x14ac:dyDescent="0.25">
      <c r="L230143" s="472"/>
      <c r="M230143" s="472"/>
    </row>
    <row r="230215" spans="12:13" x14ac:dyDescent="0.25">
      <c r="L230215" s="472"/>
      <c r="M230215" s="472"/>
    </row>
    <row r="230216" spans="12:13" x14ac:dyDescent="0.25">
      <c r="L230216" s="472"/>
      <c r="M230216" s="472"/>
    </row>
    <row r="230217" spans="12:13" x14ac:dyDescent="0.25">
      <c r="L230217" s="472"/>
      <c r="M230217" s="472"/>
    </row>
    <row r="230289" spans="12:13" x14ac:dyDescent="0.25">
      <c r="L230289" s="472"/>
      <c r="M230289" s="472"/>
    </row>
    <row r="230290" spans="12:13" x14ac:dyDescent="0.25">
      <c r="L230290" s="472"/>
      <c r="M230290" s="472"/>
    </row>
    <row r="230291" spans="12:13" x14ac:dyDescent="0.25">
      <c r="L230291" s="472"/>
      <c r="M230291" s="472"/>
    </row>
    <row r="230363" spans="12:13" x14ac:dyDescent="0.25">
      <c r="L230363" s="472"/>
      <c r="M230363" s="472"/>
    </row>
    <row r="230364" spans="12:13" x14ac:dyDescent="0.25">
      <c r="L230364" s="472"/>
      <c r="M230364" s="472"/>
    </row>
    <row r="230365" spans="12:13" x14ac:dyDescent="0.25">
      <c r="L230365" s="472"/>
      <c r="M230365" s="472"/>
    </row>
    <row r="230437" spans="12:13" x14ac:dyDescent="0.25">
      <c r="L230437" s="472"/>
      <c r="M230437" s="472"/>
    </row>
    <row r="230438" spans="12:13" x14ac:dyDescent="0.25">
      <c r="L230438" s="472"/>
      <c r="M230438" s="472"/>
    </row>
    <row r="230439" spans="12:13" x14ac:dyDescent="0.25">
      <c r="L230439" s="472"/>
      <c r="M230439" s="472"/>
    </row>
    <row r="230511" spans="12:13" x14ac:dyDescent="0.25">
      <c r="L230511" s="472"/>
      <c r="M230511" s="472"/>
    </row>
    <row r="230512" spans="12:13" x14ac:dyDescent="0.25">
      <c r="L230512" s="472"/>
      <c r="M230512" s="472"/>
    </row>
    <row r="230513" spans="12:13" x14ac:dyDescent="0.25">
      <c r="L230513" s="472"/>
      <c r="M230513" s="472"/>
    </row>
    <row r="230585" spans="12:13" x14ac:dyDescent="0.25">
      <c r="L230585" s="472"/>
      <c r="M230585" s="472"/>
    </row>
    <row r="230586" spans="12:13" x14ac:dyDescent="0.25">
      <c r="L230586" s="472"/>
      <c r="M230586" s="472"/>
    </row>
    <row r="230587" spans="12:13" x14ac:dyDescent="0.25">
      <c r="L230587" s="472"/>
      <c r="M230587" s="472"/>
    </row>
    <row r="230659" spans="12:13" x14ac:dyDescent="0.25">
      <c r="L230659" s="472"/>
      <c r="M230659" s="472"/>
    </row>
    <row r="230660" spans="12:13" x14ac:dyDescent="0.25">
      <c r="L230660" s="472"/>
      <c r="M230660" s="472"/>
    </row>
    <row r="230661" spans="12:13" x14ac:dyDescent="0.25">
      <c r="L230661" s="472"/>
      <c r="M230661" s="472"/>
    </row>
    <row r="230733" spans="12:13" x14ac:dyDescent="0.25">
      <c r="L230733" s="472"/>
      <c r="M230733" s="472"/>
    </row>
    <row r="230734" spans="12:13" x14ac:dyDescent="0.25">
      <c r="L230734" s="472"/>
      <c r="M230734" s="472"/>
    </row>
    <row r="230735" spans="12:13" x14ac:dyDescent="0.25">
      <c r="L230735" s="472"/>
      <c r="M230735" s="472"/>
    </row>
    <row r="230807" spans="12:13" x14ac:dyDescent="0.25">
      <c r="L230807" s="472"/>
      <c r="M230807" s="472"/>
    </row>
    <row r="230808" spans="12:13" x14ac:dyDescent="0.25">
      <c r="L230808" s="472"/>
      <c r="M230808" s="472"/>
    </row>
    <row r="230809" spans="12:13" x14ac:dyDescent="0.25">
      <c r="L230809" s="472"/>
      <c r="M230809" s="472"/>
    </row>
    <row r="230881" spans="12:13" x14ac:dyDescent="0.25">
      <c r="L230881" s="472"/>
      <c r="M230881" s="472"/>
    </row>
    <row r="230882" spans="12:13" x14ac:dyDescent="0.25">
      <c r="L230882" s="472"/>
      <c r="M230882" s="472"/>
    </row>
    <row r="230883" spans="12:13" x14ac:dyDescent="0.25">
      <c r="L230883" s="472"/>
      <c r="M230883" s="472"/>
    </row>
    <row r="230955" spans="12:13" x14ac:dyDescent="0.25">
      <c r="L230955" s="472"/>
      <c r="M230955" s="472"/>
    </row>
    <row r="230956" spans="12:13" x14ac:dyDescent="0.25">
      <c r="L230956" s="472"/>
      <c r="M230956" s="472"/>
    </row>
    <row r="230957" spans="12:13" x14ac:dyDescent="0.25">
      <c r="L230957" s="472"/>
      <c r="M230957" s="472"/>
    </row>
    <row r="231029" spans="12:13" x14ac:dyDescent="0.25">
      <c r="L231029" s="472"/>
      <c r="M231029" s="472"/>
    </row>
    <row r="231030" spans="12:13" x14ac:dyDescent="0.25">
      <c r="L231030" s="472"/>
      <c r="M231030" s="472"/>
    </row>
    <row r="231031" spans="12:13" x14ac:dyDescent="0.25">
      <c r="L231031" s="472"/>
      <c r="M231031" s="472"/>
    </row>
    <row r="231103" spans="12:13" x14ac:dyDescent="0.25">
      <c r="L231103" s="472"/>
      <c r="M231103" s="472"/>
    </row>
    <row r="231104" spans="12:13" x14ac:dyDescent="0.25">
      <c r="L231104" s="472"/>
      <c r="M231104" s="472"/>
    </row>
    <row r="231105" spans="12:13" x14ac:dyDescent="0.25">
      <c r="L231105" s="472"/>
      <c r="M231105" s="472"/>
    </row>
    <row r="231177" spans="12:13" x14ac:dyDescent="0.25">
      <c r="L231177" s="472"/>
      <c r="M231177" s="472"/>
    </row>
    <row r="231178" spans="12:13" x14ac:dyDescent="0.25">
      <c r="L231178" s="472"/>
      <c r="M231178" s="472"/>
    </row>
    <row r="231179" spans="12:13" x14ac:dyDescent="0.25">
      <c r="L231179" s="472"/>
      <c r="M231179" s="472"/>
    </row>
    <row r="231251" spans="12:13" x14ac:dyDescent="0.25">
      <c r="L231251" s="472"/>
      <c r="M231251" s="472"/>
    </row>
    <row r="231252" spans="12:13" x14ac:dyDescent="0.25">
      <c r="L231252" s="472"/>
      <c r="M231252" s="472"/>
    </row>
    <row r="231253" spans="12:13" x14ac:dyDescent="0.25">
      <c r="L231253" s="472"/>
      <c r="M231253" s="472"/>
    </row>
    <row r="231325" spans="12:13" x14ac:dyDescent="0.25">
      <c r="L231325" s="472"/>
      <c r="M231325" s="472"/>
    </row>
    <row r="231326" spans="12:13" x14ac:dyDescent="0.25">
      <c r="L231326" s="472"/>
      <c r="M231326" s="472"/>
    </row>
    <row r="231327" spans="12:13" x14ac:dyDescent="0.25">
      <c r="L231327" s="472"/>
      <c r="M231327" s="472"/>
    </row>
    <row r="231399" spans="12:13" x14ac:dyDescent="0.25">
      <c r="L231399" s="472"/>
      <c r="M231399" s="472"/>
    </row>
    <row r="231400" spans="12:13" x14ac:dyDescent="0.25">
      <c r="L231400" s="472"/>
      <c r="M231400" s="472"/>
    </row>
    <row r="231401" spans="12:13" x14ac:dyDescent="0.25">
      <c r="L231401" s="472"/>
      <c r="M231401" s="472"/>
    </row>
    <row r="231473" spans="12:13" x14ac:dyDescent="0.25">
      <c r="L231473" s="472"/>
      <c r="M231473" s="472"/>
    </row>
    <row r="231474" spans="12:13" x14ac:dyDescent="0.25">
      <c r="L231474" s="472"/>
      <c r="M231474" s="472"/>
    </row>
    <row r="231475" spans="12:13" x14ac:dyDescent="0.25">
      <c r="L231475" s="472"/>
      <c r="M231475" s="472"/>
    </row>
    <row r="231547" spans="12:13" x14ac:dyDescent="0.25">
      <c r="L231547" s="472"/>
      <c r="M231547" s="472"/>
    </row>
    <row r="231548" spans="12:13" x14ac:dyDescent="0.25">
      <c r="L231548" s="472"/>
      <c r="M231548" s="472"/>
    </row>
    <row r="231549" spans="12:13" x14ac:dyDescent="0.25">
      <c r="L231549" s="472"/>
      <c r="M231549" s="472"/>
    </row>
    <row r="231621" spans="12:13" x14ac:dyDescent="0.25">
      <c r="L231621" s="472"/>
      <c r="M231621" s="472"/>
    </row>
    <row r="231622" spans="12:13" x14ac:dyDescent="0.25">
      <c r="L231622" s="472"/>
      <c r="M231622" s="472"/>
    </row>
    <row r="231623" spans="12:13" x14ac:dyDescent="0.25">
      <c r="L231623" s="472"/>
      <c r="M231623" s="472"/>
    </row>
    <row r="231695" spans="12:13" x14ac:dyDescent="0.25">
      <c r="L231695" s="472"/>
      <c r="M231695" s="472"/>
    </row>
    <row r="231696" spans="12:13" x14ac:dyDescent="0.25">
      <c r="L231696" s="472"/>
      <c r="M231696" s="472"/>
    </row>
    <row r="231697" spans="12:13" x14ac:dyDescent="0.25">
      <c r="L231697" s="472"/>
      <c r="M231697" s="472"/>
    </row>
    <row r="231769" spans="12:13" x14ac:dyDescent="0.25">
      <c r="L231769" s="472"/>
      <c r="M231769" s="472"/>
    </row>
    <row r="231770" spans="12:13" x14ac:dyDescent="0.25">
      <c r="L231770" s="472"/>
      <c r="M231770" s="472"/>
    </row>
    <row r="231771" spans="12:13" x14ac:dyDescent="0.25">
      <c r="L231771" s="472"/>
      <c r="M231771" s="472"/>
    </row>
    <row r="231843" spans="12:13" x14ac:dyDescent="0.25">
      <c r="L231843" s="472"/>
      <c r="M231843" s="472"/>
    </row>
    <row r="231844" spans="12:13" x14ac:dyDescent="0.25">
      <c r="L231844" s="472"/>
      <c r="M231844" s="472"/>
    </row>
    <row r="231845" spans="12:13" x14ac:dyDescent="0.25">
      <c r="L231845" s="472"/>
      <c r="M231845" s="472"/>
    </row>
    <row r="231917" spans="12:13" x14ac:dyDescent="0.25">
      <c r="L231917" s="472"/>
      <c r="M231917" s="472"/>
    </row>
    <row r="231918" spans="12:13" x14ac:dyDescent="0.25">
      <c r="L231918" s="472"/>
      <c r="M231918" s="472"/>
    </row>
    <row r="231919" spans="12:13" x14ac:dyDescent="0.25">
      <c r="L231919" s="472"/>
      <c r="M231919" s="472"/>
    </row>
    <row r="231991" spans="12:13" x14ac:dyDescent="0.25">
      <c r="L231991" s="472"/>
      <c r="M231991" s="472"/>
    </row>
    <row r="231992" spans="12:13" x14ac:dyDescent="0.25">
      <c r="L231992" s="472"/>
      <c r="M231992" s="472"/>
    </row>
    <row r="231993" spans="12:13" x14ac:dyDescent="0.25">
      <c r="L231993" s="472"/>
      <c r="M231993" s="472"/>
    </row>
    <row r="232065" spans="12:13" x14ac:dyDescent="0.25">
      <c r="L232065" s="472"/>
      <c r="M232065" s="472"/>
    </row>
    <row r="232066" spans="12:13" x14ac:dyDescent="0.25">
      <c r="L232066" s="472"/>
      <c r="M232066" s="472"/>
    </row>
    <row r="232067" spans="12:13" x14ac:dyDescent="0.25">
      <c r="L232067" s="472"/>
      <c r="M232067" s="472"/>
    </row>
    <row r="232139" spans="12:13" x14ac:dyDescent="0.25">
      <c r="L232139" s="472"/>
      <c r="M232139" s="472"/>
    </row>
    <row r="232140" spans="12:13" x14ac:dyDescent="0.25">
      <c r="L232140" s="472"/>
      <c r="M232140" s="472"/>
    </row>
    <row r="232141" spans="12:13" x14ac:dyDescent="0.25">
      <c r="L232141" s="472"/>
      <c r="M232141" s="472"/>
    </row>
    <row r="232213" spans="12:13" x14ac:dyDescent="0.25">
      <c r="L232213" s="472"/>
      <c r="M232213" s="472"/>
    </row>
    <row r="232214" spans="12:13" x14ac:dyDescent="0.25">
      <c r="L232214" s="472"/>
      <c r="M232214" s="472"/>
    </row>
    <row r="232215" spans="12:13" x14ac:dyDescent="0.25">
      <c r="L232215" s="472"/>
      <c r="M232215" s="472"/>
    </row>
    <row r="232287" spans="12:13" x14ac:dyDescent="0.25">
      <c r="L232287" s="472"/>
      <c r="M232287" s="472"/>
    </row>
    <row r="232288" spans="12:13" x14ac:dyDescent="0.25">
      <c r="L232288" s="472"/>
      <c r="M232288" s="472"/>
    </row>
    <row r="232289" spans="12:13" x14ac:dyDescent="0.25">
      <c r="L232289" s="472"/>
      <c r="M232289" s="472"/>
    </row>
    <row r="232361" spans="12:13" x14ac:dyDescent="0.25">
      <c r="L232361" s="472"/>
      <c r="M232361" s="472"/>
    </row>
    <row r="232362" spans="12:13" x14ac:dyDescent="0.25">
      <c r="L232362" s="472"/>
      <c r="M232362" s="472"/>
    </row>
    <row r="232363" spans="12:13" x14ac:dyDescent="0.25">
      <c r="L232363" s="472"/>
      <c r="M232363" s="472"/>
    </row>
    <row r="232435" spans="12:13" x14ac:dyDescent="0.25">
      <c r="L232435" s="472"/>
      <c r="M232435" s="472"/>
    </row>
    <row r="232436" spans="12:13" x14ac:dyDescent="0.25">
      <c r="L232436" s="472"/>
      <c r="M232436" s="472"/>
    </row>
    <row r="232437" spans="12:13" x14ac:dyDescent="0.25">
      <c r="L232437" s="472"/>
      <c r="M232437" s="472"/>
    </row>
    <row r="232509" spans="12:13" x14ac:dyDescent="0.25">
      <c r="L232509" s="472"/>
      <c r="M232509" s="472"/>
    </row>
    <row r="232510" spans="12:13" x14ac:dyDescent="0.25">
      <c r="L232510" s="472"/>
      <c r="M232510" s="472"/>
    </row>
    <row r="232511" spans="12:13" x14ac:dyDescent="0.25">
      <c r="L232511" s="472"/>
      <c r="M232511" s="472"/>
    </row>
    <row r="232583" spans="12:13" x14ac:dyDescent="0.25">
      <c r="L232583" s="472"/>
      <c r="M232583" s="472"/>
    </row>
    <row r="232584" spans="12:13" x14ac:dyDescent="0.25">
      <c r="L232584" s="472"/>
      <c r="M232584" s="472"/>
    </row>
    <row r="232585" spans="12:13" x14ac:dyDescent="0.25">
      <c r="L232585" s="472"/>
      <c r="M232585" s="472"/>
    </row>
    <row r="232657" spans="12:13" x14ac:dyDescent="0.25">
      <c r="L232657" s="472"/>
      <c r="M232657" s="472"/>
    </row>
    <row r="232658" spans="12:13" x14ac:dyDescent="0.25">
      <c r="L232658" s="472"/>
      <c r="M232658" s="472"/>
    </row>
    <row r="232659" spans="12:13" x14ac:dyDescent="0.25">
      <c r="L232659" s="472"/>
      <c r="M232659" s="472"/>
    </row>
    <row r="232731" spans="12:13" x14ac:dyDescent="0.25">
      <c r="L232731" s="472"/>
      <c r="M232731" s="472"/>
    </row>
    <row r="232732" spans="12:13" x14ac:dyDescent="0.25">
      <c r="L232732" s="472"/>
      <c r="M232732" s="472"/>
    </row>
    <row r="232733" spans="12:13" x14ac:dyDescent="0.25">
      <c r="L232733" s="472"/>
      <c r="M232733" s="472"/>
    </row>
    <row r="232805" spans="12:13" x14ac:dyDescent="0.25">
      <c r="L232805" s="472"/>
      <c r="M232805" s="472"/>
    </row>
    <row r="232806" spans="12:13" x14ac:dyDescent="0.25">
      <c r="L232806" s="472"/>
      <c r="M232806" s="472"/>
    </row>
    <row r="232807" spans="12:13" x14ac:dyDescent="0.25">
      <c r="L232807" s="472"/>
      <c r="M232807" s="472"/>
    </row>
    <row r="232879" spans="12:13" x14ac:dyDescent="0.25">
      <c r="L232879" s="472"/>
      <c r="M232879" s="472"/>
    </row>
    <row r="232880" spans="12:13" x14ac:dyDescent="0.25">
      <c r="L232880" s="472"/>
      <c r="M232880" s="472"/>
    </row>
    <row r="232881" spans="12:13" x14ac:dyDescent="0.25">
      <c r="L232881" s="472"/>
      <c r="M232881" s="472"/>
    </row>
    <row r="232953" spans="12:13" x14ac:dyDescent="0.25">
      <c r="L232953" s="472"/>
      <c r="M232953" s="472"/>
    </row>
    <row r="232954" spans="12:13" x14ac:dyDescent="0.25">
      <c r="L232954" s="472"/>
      <c r="M232954" s="472"/>
    </row>
    <row r="232955" spans="12:13" x14ac:dyDescent="0.25">
      <c r="L232955" s="472"/>
      <c r="M232955" s="472"/>
    </row>
    <row r="233027" spans="12:13" x14ac:dyDescent="0.25">
      <c r="L233027" s="472"/>
      <c r="M233027" s="472"/>
    </row>
    <row r="233028" spans="12:13" x14ac:dyDescent="0.25">
      <c r="L233028" s="472"/>
      <c r="M233028" s="472"/>
    </row>
    <row r="233029" spans="12:13" x14ac:dyDescent="0.25">
      <c r="L233029" s="472"/>
      <c r="M233029" s="472"/>
    </row>
    <row r="233101" spans="12:13" x14ac:dyDescent="0.25">
      <c r="L233101" s="472"/>
      <c r="M233101" s="472"/>
    </row>
    <row r="233102" spans="12:13" x14ac:dyDescent="0.25">
      <c r="L233102" s="472"/>
      <c r="M233102" s="472"/>
    </row>
    <row r="233103" spans="12:13" x14ac:dyDescent="0.25">
      <c r="L233103" s="472"/>
      <c r="M233103" s="472"/>
    </row>
    <row r="233175" spans="12:13" x14ac:dyDescent="0.25">
      <c r="L233175" s="472"/>
      <c r="M233175" s="472"/>
    </row>
    <row r="233176" spans="12:13" x14ac:dyDescent="0.25">
      <c r="L233176" s="472"/>
      <c r="M233176" s="472"/>
    </row>
    <row r="233177" spans="12:13" x14ac:dyDescent="0.25">
      <c r="L233177" s="472"/>
      <c r="M233177" s="472"/>
    </row>
    <row r="233249" spans="12:13" x14ac:dyDescent="0.25">
      <c r="L233249" s="472"/>
      <c r="M233249" s="472"/>
    </row>
    <row r="233250" spans="12:13" x14ac:dyDescent="0.25">
      <c r="L233250" s="472"/>
      <c r="M233250" s="472"/>
    </row>
    <row r="233251" spans="12:13" x14ac:dyDescent="0.25">
      <c r="L233251" s="472"/>
      <c r="M233251" s="472"/>
    </row>
    <row r="233323" spans="12:13" x14ac:dyDescent="0.25">
      <c r="L233323" s="472"/>
      <c r="M233323" s="472"/>
    </row>
    <row r="233324" spans="12:13" x14ac:dyDescent="0.25">
      <c r="L233324" s="472"/>
      <c r="M233324" s="472"/>
    </row>
    <row r="233325" spans="12:13" x14ac:dyDescent="0.25">
      <c r="L233325" s="472"/>
      <c r="M233325" s="472"/>
    </row>
    <row r="233397" spans="12:13" x14ac:dyDescent="0.25">
      <c r="L233397" s="472"/>
      <c r="M233397" s="472"/>
    </row>
    <row r="233398" spans="12:13" x14ac:dyDescent="0.25">
      <c r="L233398" s="472"/>
      <c r="M233398" s="472"/>
    </row>
    <row r="233399" spans="12:13" x14ac:dyDescent="0.25">
      <c r="L233399" s="472"/>
      <c r="M233399" s="472"/>
    </row>
    <row r="233471" spans="12:13" x14ac:dyDescent="0.25">
      <c r="L233471" s="472"/>
      <c r="M233471" s="472"/>
    </row>
    <row r="233472" spans="12:13" x14ac:dyDescent="0.25">
      <c r="L233472" s="472"/>
      <c r="M233472" s="472"/>
    </row>
    <row r="233473" spans="12:13" x14ac:dyDescent="0.25">
      <c r="L233473" s="472"/>
      <c r="M233473" s="472"/>
    </row>
    <row r="233545" spans="12:13" x14ac:dyDescent="0.25">
      <c r="L233545" s="472"/>
      <c r="M233545" s="472"/>
    </row>
    <row r="233546" spans="12:13" x14ac:dyDescent="0.25">
      <c r="L233546" s="472"/>
      <c r="M233546" s="472"/>
    </row>
    <row r="233547" spans="12:13" x14ac:dyDescent="0.25">
      <c r="L233547" s="472"/>
      <c r="M233547" s="472"/>
    </row>
    <row r="233619" spans="12:13" x14ac:dyDescent="0.25">
      <c r="L233619" s="472"/>
      <c r="M233619" s="472"/>
    </row>
    <row r="233620" spans="12:13" x14ac:dyDescent="0.25">
      <c r="L233620" s="472"/>
      <c r="M233620" s="472"/>
    </row>
    <row r="233621" spans="12:13" x14ac:dyDescent="0.25">
      <c r="L233621" s="472"/>
      <c r="M233621" s="472"/>
    </row>
    <row r="233693" spans="12:13" x14ac:dyDescent="0.25">
      <c r="L233693" s="472"/>
      <c r="M233693" s="472"/>
    </row>
    <row r="233694" spans="12:13" x14ac:dyDescent="0.25">
      <c r="L233694" s="472"/>
      <c r="M233694" s="472"/>
    </row>
    <row r="233695" spans="12:13" x14ac:dyDescent="0.25">
      <c r="L233695" s="472"/>
      <c r="M233695" s="472"/>
    </row>
    <row r="233767" spans="12:13" x14ac:dyDescent="0.25">
      <c r="L233767" s="472"/>
      <c r="M233767" s="472"/>
    </row>
    <row r="233768" spans="12:13" x14ac:dyDescent="0.25">
      <c r="L233768" s="472"/>
      <c r="M233768" s="472"/>
    </row>
    <row r="233769" spans="12:13" x14ac:dyDescent="0.25">
      <c r="L233769" s="472"/>
      <c r="M233769" s="472"/>
    </row>
    <row r="233841" spans="12:13" x14ac:dyDescent="0.25">
      <c r="L233841" s="472"/>
      <c r="M233841" s="472"/>
    </row>
    <row r="233842" spans="12:13" x14ac:dyDescent="0.25">
      <c r="L233842" s="472"/>
      <c r="M233842" s="472"/>
    </row>
    <row r="233843" spans="12:13" x14ac:dyDescent="0.25">
      <c r="L233843" s="472"/>
      <c r="M233843" s="472"/>
    </row>
    <row r="233915" spans="12:13" x14ac:dyDescent="0.25">
      <c r="L233915" s="472"/>
      <c r="M233915" s="472"/>
    </row>
    <row r="233916" spans="12:13" x14ac:dyDescent="0.25">
      <c r="L233916" s="472"/>
      <c r="M233916" s="472"/>
    </row>
    <row r="233917" spans="12:13" x14ac:dyDescent="0.25">
      <c r="L233917" s="472"/>
      <c r="M233917" s="472"/>
    </row>
    <row r="233989" spans="12:13" x14ac:dyDescent="0.25">
      <c r="L233989" s="472"/>
      <c r="M233989" s="472"/>
    </row>
    <row r="233990" spans="12:13" x14ac:dyDescent="0.25">
      <c r="L233990" s="472"/>
      <c r="M233990" s="472"/>
    </row>
    <row r="233991" spans="12:13" x14ac:dyDescent="0.25">
      <c r="L233991" s="472"/>
      <c r="M233991" s="472"/>
    </row>
    <row r="234063" spans="12:13" x14ac:dyDescent="0.25">
      <c r="L234063" s="472"/>
      <c r="M234063" s="472"/>
    </row>
    <row r="234064" spans="12:13" x14ac:dyDescent="0.25">
      <c r="L234064" s="472"/>
      <c r="M234064" s="472"/>
    </row>
    <row r="234065" spans="12:13" x14ac:dyDescent="0.25">
      <c r="L234065" s="472"/>
      <c r="M234065" s="472"/>
    </row>
    <row r="234137" spans="12:13" x14ac:dyDescent="0.25">
      <c r="L234137" s="472"/>
      <c r="M234137" s="472"/>
    </row>
    <row r="234138" spans="12:13" x14ac:dyDescent="0.25">
      <c r="L234138" s="472"/>
      <c r="M234138" s="472"/>
    </row>
    <row r="234139" spans="12:13" x14ac:dyDescent="0.25">
      <c r="L234139" s="472"/>
      <c r="M234139" s="472"/>
    </row>
    <row r="234211" spans="12:13" x14ac:dyDescent="0.25">
      <c r="L234211" s="472"/>
      <c r="M234211" s="472"/>
    </row>
    <row r="234212" spans="12:13" x14ac:dyDescent="0.25">
      <c r="L234212" s="472"/>
      <c r="M234212" s="472"/>
    </row>
    <row r="234213" spans="12:13" x14ac:dyDescent="0.25">
      <c r="L234213" s="472"/>
      <c r="M234213" s="472"/>
    </row>
    <row r="234285" spans="12:13" x14ac:dyDescent="0.25">
      <c r="L234285" s="472"/>
      <c r="M234285" s="472"/>
    </row>
    <row r="234286" spans="12:13" x14ac:dyDescent="0.25">
      <c r="L234286" s="472"/>
      <c r="M234286" s="472"/>
    </row>
    <row r="234287" spans="12:13" x14ac:dyDescent="0.25">
      <c r="L234287" s="472"/>
      <c r="M234287" s="472"/>
    </row>
    <row r="234359" spans="12:13" x14ac:dyDescent="0.25">
      <c r="L234359" s="472"/>
      <c r="M234359" s="472"/>
    </row>
    <row r="234360" spans="12:13" x14ac:dyDescent="0.25">
      <c r="L234360" s="472"/>
      <c r="M234360" s="472"/>
    </row>
    <row r="234361" spans="12:13" x14ac:dyDescent="0.25">
      <c r="L234361" s="472"/>
      <c r="M234361" s="472"/>
    </row>
    <row r="234433" spans="12:13" x14ac:dyDescent="0.25">
      <c r="L234433" s="472"/>
      <c r="M234433" s="472"/>
    </row>
    <row r="234434" spans="12:13" x14ac:dyDescent="0.25">
      <c r="L234434" s="472"/>
      <c r="M234434" s="472"/>
    </row>
    <row r="234435" spans="12:13" x14ac:dyDescent="0.25">
      <c r="L234435" s="472"/>
      <c r="M234435" s="472"/>
    </row>
    <row r="234507" spans="12:13" x14ac:dyDescent="0.25">
      <c r="L234507" s="472"/>
      <c r="M234507" s="472"/>
    </row>
    <row r="234508" spans="12:13" x14ac:dyDescent="0.25">
      <c r="L234508" s="472"/>
      <c r="M234508" s="472"/>
    </row>
    <row r="234509" spans="12:13" x14ac:dyDescent="0.25">
      <c r="L234509" s="472"/>
      <c r="M234509" s="472"/>
    </row>
    <row r="234581" spans="12:13" x14ac:dyDescent="0.25">
      <c r="L234581" s="472"/>
      <c r="M234581" s="472"/>
    </row>
    <row r="234582" spans="12:13" x14ac:dyDescent="0.25">
      <c r="L234582" s="472"/>
      <c r="M234582" s="472"/>
    </row>
    <row r="234583" spans="12:13" x14ac:dyDescent="0.25">
      <c r="L234583" s="472"/>
      <c r="M234583" s="472"/>
    </row>
    <row r="234655" spans="12:13" x14ac:dyDescent="0.25">
      <c r="L234655" s="472"/>
      <c r="M234655" s="472"/>
    </row>
    <row r="234656" spans="12:13" x14ac:dyDescent="0.25">
      <c r="L234656" s="472"/>
      <c r="M234656" s="472"/>
    </row>
    <row r="234657" spans="12:13" x14ac:dyDescent="0.25">
      <c r="L234657" s="472"/>
      <c r="M234657" s="472"/>
    </row>
    <row r="234729" spans="12:13" x14ac:dyDescent="0.25">
      <c r="L234729" s="472"/>
      <c r="M234729" s="472"/>
    </row>
    <row r="234730" spans="12:13" x14ac:dyDescent="0.25">
      <c r="L234730" s="472"/>
      <c r="M234730" s="472"/>
    </row>
    <row r="234731" spans="12:13" x14ac:dyDescent="0.25">
      <c r="L234731" s="472"/>
      <c r="M234731" s="472"/>
    </row>
    <row r="234803" spans="12:13" x14ac:dyDescent="0.25">
      <c r="L234803" s="472"/>
      <c r="M234803" s="472"/>
    </row>
    <row r="234804" spans="12:13" x14ac:dyDescent="0.25">
      <c r="L234804" s="472"/>
      <c r="M234804" s="472"/>
    </row>
    <row r="234805" spans="12:13" x14ac:dyDescent="0.25">
      <c r="L234805" s="472"/>
      <c r="M234805" s="472"/>
    </row>
    <row r="234877" spans="12:13" x14ac:dyDescent="0.25">
      <c r="L234877" s="472"/>
      <c r="M234877" s="472"/>
    </row>
    <row r="234878" spans="12:13" x14ac:dyDescent="0.25">
      <c r="L234878" s="472"/>
      <c r="M234878" s="472"/>
    </row>
    <row r="234879" spans="12:13" x14ac:dyDescent="0.25">
      <c r="L234879" s="472"/>
      <c r="M234879" s="472"/>
    </row>
    <row r="234951" spans="12:13" x14ac:dyDescent="0.25">
      <c r="L234951" s="472"/>
      <c r="M234951" s="472"/>
    </row>
    <row r="234952" spans="12:13" x14ac:dyDescent="0.25">
      <c r="L234952" s="472"/>
      <c r="M234952" s="472"/>
    </row>
    <row r="234953" spans="12:13" x14ac:dyDescent="0.25">
      <c r="L234953" s="472"/>
      <c r="M234953" s="472"/>
    </row>
    <row r="235025" spans="12:13" x14ac:dyDescent="0.25">
      <c r="L235025" s="472"/>
      <c r="M235025" s="472"/>
    </row>
    <row r="235026" spans="12:13" x14ac:dyDescent="0.25">
      <c r="L235026" s="472"/>
      <c r="M235026" s="472"/>
    </row>
    <row r="235027" spans="12:13" x14ac:dyDescent="0.25">
      <c r="L235027" s="472"/>
      <c r="M235027" s="472"/>
    </row>
    <row r="235099" spans="12:13" x14ac:dyDescent="0.25">
      <c r="L235099" s="472"/>
      <c r="M235099" s="472"/>
    </row>
    <row r="235100" spans="12:13" x14ac:dyDescent="0.25">
      <c r="L235100" s="472"/>
      <c r="M235100" s="472"/>
    </row>
    <row r="235101" spans="12:13" x14ac:dyDescent="0.25">
      <c r="L235101" s="472"/>
      <c r="M235101" s="472"/>
    </row>
    <row r="235173" spans="12:13" x14ac:dyDescent="0.25">
      <c r="L235173" s="472"/>
      <c r="M235173" s="472"/>
    </row>
    <row r="235174" spans="12:13" x14ac:dyDescent="0.25">
      <c r="L235174" s="472"/>
      <c r="M235174" s="472"/>
    </row>
    <row r="235175" spans="12:13" x14ac:dyDescent="0.25">
      <c r="L235175" s="472"/>
      <c r="M235175" s="472"/>
    </row>
    <row r="235247" spans="12:13" x14ac:dyDescent="0.25">
      <c r="L235247" s="472"/>
      <c r="M235247" s="472"/>
    </row>
    <row r="235248" spans="12:13" x14ac:dyDescent="0.25">
      <c r="L235248" s="472"/>
      <c r="M235248" s="472"/>
    </row>
    <row r="235249" spans="12:13" x14ac:dyDescent="0.25">
      <c r="L235249" s="472"/>
      <c r="M235249" s="472"/>
    </row>
    <row r="235321" spans="12:13" x14ac:dyDescent="0.25">
      <c r="L235321" s="472"/>
      <c r="M235321" s="472"/>
    </row>
    <row r="235322" spans="12:13" x14ac:dyDescent="0.25">
      <c r="L235322" s="472"/>
      <c r="M235322" s="472"/>
    </row>
    <row r="235323" spans="12:13" x14ac:dyDescent="0.25">
      <c r="L235323" s="472"/>
      <c r="M235323" s="472"/>
    </row>
    <row r="235395" spans="12:13" x14ac:dyDescent="0.25">
      <c r="L235395" s="472"/>
      <c r="M235395" s="472"/>
    </row>
    <row r="235396" spans="12:13" x14ac:dyDescent="0.25">
      <c r="L235396" s="472"/>
      <c r="M235396" s="472"/>
    </row>
    <row r="235397" spans="12:13" x14ac:dyDescent="0.25">
      <c r="L235397" s="472"/>
      <c r="M235397" s="472"/>
    </row>
    <row r="235469" spans="12:13" x14ac:dyDescent="0.25">
      <c r="L235469" s="472"/>
      <c r="M235469" s="472"/>
    </row>
    <row r="235470" spans="12:13" x14ac:dyDescent="0.25">
      <c r="L235470" s="472"/>
      <c r="M235470" s="472"/>
    </row>
    <row r="235471" spans="12:13" x14ac:dyDescent="0.25">
      <c r="L235471" s="472"/>
      <c r="M235471" s="472"/>
    </row>
    <row r="235543" spans="12:13" x14ac:dyDescent="0.25">
      <c r="L235543" s="472"/>
      <c r="M235543" s="472"/>
    </row>
    <row r="235544" spans="12:13" x14ac:dyDescent="0.25">
      <c r="L235544" s="472"/>
      <c r="M235544" s="472"/>
    </row>
    <row r="235545" spans="12:13" x14ac:dyDescent="0.25">
      <c r="L235545" s="472"/>
      <c r="M235545" s="472"/>
    </row>
    <row r="235617" spans="12:13" x14ac:dyDescent="0.25">
      <c r="L235617" s="472"/>
      <c r="M235617" s="472"/>
    </row>
    <row r="235618" spans="12:13" x14ac:dyDescent="0.25">
      <c r="L235618" s="472"/>
      <c r="M235618" s="472"/>
    </row>
    <row r="235619" spans="12:13" x14ac:dyDescent="0.25">
      <c r="L235619" s="472"/>
      <c r="M235619" s="472"/>
    </row>
    <row r="235691" spans="12:13" x14ac:dyDescent="0.25">
      <c r="L235691" s="472"/>
      <c r="M235691" s="472"/>
    </row>
    <row r="235692" spans="12:13" x14ac:dyDescent="0.25">
      <c r="L235692" s="472"/>
      <c r="M235692" s="472"/>
    </row>
    <row r="235693" spans="12:13" x14ac:dyDescent="0.25">
      <c r="L235693" s="472"/>
      <c r="M235693" s="472"/>
    </row>
    <row r="235765" spans="12:13" x14ac:dyDescent="0.25">
      <c r="L235765" s="472"/>
      <c r="M235765" s="472"/>
    </row>
    <row r="235766" spans="12:13" x14ac:dyDescent="0.25">
      <c r="L235766" s="472"/>
      <c r="M235766" s="472"/>
    </row>
    <row r="235767" spans="12:13" x14ac:dyDescent="0.25">
      <c r="L235767" s="472"/>
      <c r="M235767" s="472"/>
    </row>
    <row r="235839" spans="12:13" x14ac:dyDescent="0.25">
      <c r="L235839" s="472"/>
      <c r="M235839" s="472"/>
    </row>
    <row r="235840" spans="12:13" x14ac:dyDescent="0.25">
      <c r="L235840" s="472"/>
      <c r="M235840" s="472"/>
    </row>
    <row r="235841" spans="12:13" x14ac:dyDescent="0.25">
      <c r="L235841" s="472"/>
      <c r="M235841" s="472"/>
    </row>
    <row r="235913" spans="12:13" x14ac:dyDescent="0.25">
      <c r="L235913" s="472"/>
      <c r="M235913" s="472"/>
    </row>
    <row r="235914" spans="12:13" x14ac:dyDescent="0.25">
      <c r="L235914" s="472"/>
      <c r="M235914" s="472"/>
    </row>
    <row r="235915" spans="12:13" x14ac:dyDescent="0.25">
      <c r="L235915" s="472"/>
      <c r="M235915" s="472"/>
    </row>
    <row r="235987" spans="12:13" x14ac:dyDescent="0.25">
      <c r="L235987" s="472"/>
      <c r="M235987" s="472"/>
    </row>
    <row r="235988" spans="12:13" x14ac:dyDescent="0.25">
      <c r="L235988" s="472"/>
      <c r="M235988" s="472"/>
    </row>
    <row r="235989" spans="12:13" x14ac:dyDescent="0.25">
      <c r="L235989" s="472"/>
      <c r="M235989" s="472"/>
    </row>
    <row r="236061" spans="12:13" x14ac:dyDescent="0.25">
      <c r="L236061" s="472"/>
      <c r="M236061" s="472"/>
    </row>
    <row r="236062" spans="12:13" x14ac:dyDescent="0.25">
      <c r="L236062" s="472"/>
      <c r="M236062" s="472"/>
    </row>
    <row r="236063" spans="12:13" x14ac:dyDescent="0.25">
      <c r="L236063" s="472"/>
      <c r="M236063" s="472"/>
    </row>
    <row r="236135" spans="12:13" x14ac:dyDescent="0.25">
      <c r="L236135" s="472"/>
      <c r="M236135" s="472"/>
    </row>
    <row r="236136" spans="12:13" x14ac:dyDescent="0.25">
      <c r="L236136" s="472"/>
      <c r="M236136" s="472"/>
    </row>
    <row r="236137" spans="12:13" x14ac:dyDescent="0.25">
      <c r="L236137" s="472"/>
      <c r="M236137" s="472"/>
    </row>
    <row r="236209" spans="12:13" x14ac:dyDescent="0.25">
      <c r="L236209" s="472"/>
      <c r="M236209" s="472"/>
    </row>
    <row r="236210" spans="12:13" x14ac:dyDescent="0.25">
      <c r="L236210" s="472"/>
      <c r="M236210" s="472"/>
    </row>
    <row r="236211" spans="12:13" x14ac:dyDescent="0.25">
      <c r="L236211" s="472"/>
      <c r="M236211" s="472"/>
    </row>
    <row r="236283" spans="12:13" x14ac:dyDescent="0.25">
      <c r="L236283" s="472"/>
      <c r="M236283" s="472"/>
    </row>
    <row r="236284" spans="12:13" x14ac:dyDescent="0.25">
      <c r="L236284" s="472"/>
      <c r="M236284" s="472"/>
    </row>
    <row r="236285" spans="12:13" x14ac:dyDescent="0.25">
      <c r="L236285" s="472"/>
      <c r="M236285" s="472"/>
    </row>
    <row r="236357" spans="12:13" x14ac:dyDescent="0.25">
      <c r="L236357" s="472"/>
      <c r="M236357" s="472"/>
    </row>
    <row r="236358" spans="12:13" x14ac:dyDescent="0.25">
      <c r="L236358" s="472"/>
      <c r="M236358" s="472"/>
    </row>
    <row r="236359" spans="12:13" x14ac:dyDescent="0.25">
      <c r="L236359" s="472"/>
      <c r="M236359" s="472"/>
    </row>
    <row r="236431" spans="12:13" x14ac:dyDescent="0.25">
      <c r="L236431" s="472"/>
      <c r="M236431" s="472"/>
    </row>
    <row r="236432" spans="12:13" x14ac:dyDescent="0.25">
      <c r="L236432" s="472"/>
      <c r="M236432" s="472"/>
    </row>
    <row r="236433" spans="12:13" x14ac:dyDescent="0.25">
      <c r="L236433" s="472"/>
      <c r="M236433" s="472"/>
    </row>
    <row r="236505" spans="12:13" x14ac:dyDescent="0.25">
      <c r="L236505" s="472"/>
      <c r="M236505" s="472"/>
    </row>
    <row r="236506" spans="12:13" x14ac:dyDescent="0.25">
      <c r="L236506" s="472"/>
      <c r="M236506" s="472"/>
    </row>
    <row r="236507" spans="12:13" x14ac:dyDescent="0.25">
      <c r="L236507" s="472"/>
      <c r="M236507" s="472"/>
    </row>
    <row r="236579" spans="12:13" x14ac:dyDescent="0.25">
      <c r="L236579" s="472"/>
      <c r="M236579" s="472"/>
    </row>
    <row r="236580" spans="12:13" x14ac:dyDescent="0.25">
      <c r="L236580" s="472"/>
      <c r="M236580" s="472"/>
    </row>
    <row r="236581" spans="12:13" x14ac:dyDescent="0.25">
      <c r="L236581" s="472"/>
      <c r="M236581" s="472"/>
    </row>
    <row r="236653" spans="12:13" x14ac:dyDescent="0.25">
      <c r="L236653" s="472"/>
      <c r="M236653" s="472"/>
    </row>
    <row r="236654" spans="12:13" x14ac:dyDescent="0.25">
      <c r="L236654" s="472"/>
      <c r="M236654" s="472"/>
    </row>
    <row r="236655" spans="12:13" x14ac:dyDescent="0.25">
      <c r="L236655" s="472"/>
      <c r="M236655" s="472"/>
    </row>
    <row r="236727" spans="12:13" x14ac:dyDescent="0.25">
      <c r="L236727" s="472"/>
      <c r="M236727" s="472"/>
    </row>
    <row r="236728" spans="12:13" x14ac:dyDescent="0.25">
      <c r="L236728" s="472"/>
      <c r="M236728" s="472"/>
    </row>
    <row r="236729" spans="12:13" x14ac:dyDescent="0.25">
      <c r="L236729" s="472"/>
      <c r="M236729" s="472"/>
    </row>
    <row r="236801" spans="12:13" x14ac:dyDescent="0.25">
      <c r="L236801" s="472"/>
      <c r="M236801" s="472"/>
    </row>
    <row r="236802" spans="12:13" x14ac:dyDescent="0.25">
      <c r="L236802" s="472"/>
      <c r="M236802" s="472"/>
    </row>
    <row r="236803" spans="12:13" x14ac:dyDescent="0.25">
      <c r="L236803" s="472"/>
      <c r="M236803" s="472"/>
    </row>
    <row r="236875" spans="12:13" x14ac:dyDescent="0.25">
      <c r="L236875" s="472"/>
      <c r="M236875" s="472"/>
    </row>
    <row r="236876" spans="12:13" x14ac:dyDescent="0.25">
      <c r="L236876" s="472"/>
      <c r="M236876" s="472"/>
    </row>
    <row r="236877" spans="12:13" x14ac:dyDescent="0.25">
      <c r="L236877" s="472"/>
      <c r="M236877" s="472"/>
    </row>
    <row r="236949" spans="12:13" x14ac:dyDescent="0.25">
      <c r="L236949" s="472"/>
      <c r="M236949" s="472"/>
    </row>
    <row r="236950" spans="12:13" x14ac:dyDescent="0.25">
      <c r="L236950" s="472"/>
      <c r="M236950" s="472"/>
    </row>
    <row r="236951" spans="12:13" x14ac:dyDescent="0.25">
      <c r="L236951" s="472"/>
      <c r="M236951" s="472"/>
    </row>
    <row r="237023" spans="12:13" x14ac:dyDescent="0.25">
      <c r="L237023" s="472"/>
      <c r="M237023" s="472"/>
    </row>
    <row r="237024" spans="12:13" x14ac:dyDescent="0.25">
      <c r="L237024" s="472"/>
      <c r="M237024" s="472"/>
    </row>
    <row r="237025" spans="12:13" x14ac:dyDescent="0.25">
      <c r="L237025" s="472"/>
      <c r="M237025" s="472"/>
    </row>
    <row r="237097" spans="12:13" x14ac:dyDescent="0.25">
      <c r="L237097" s="472"/>
      <c r="M237097" s="472"/>
    </row>
    <row r="237098" spans="12:13" x14ac:dyDescent="0.25">
      <c r="L237098" s="472"/>
      <c r="M237098" s="472"/>
    </row>
    <row r="237099" spans="12:13" x14ac:dyDescent="0.25">
      <c r="L237099" s="472"/>
      <c r="M237099" s="472"/>
    </row>
    <row r="237171" spans="12:13" x14ac:dyDescent="0.25">
      <c r="L237171" s="472"/>
      <c r="M237171" s="472"/>
    </row>
    <row r="237172" spans="12:13" x14ac:dyDescent="0.25">
      <c r="L237172" s="472"/>
      <c r="M237172" s="472"/>
    </row>
    <row r="237173" spans="12:13" x14ac:dyDescent="0.25">
      <c r="L237173" s="472"/>
      <c r="M237173" s="472"/>
    </row>
    <row r="237245" spans="12:13" x14ac:dyDescent="0.25">
      <c r="L237245" s="472"/>
      <c r="M237245" s="472"/>
    </row>
    <row r="237246" spans="12:13" x14ac:dyDescent="0.25">
      <c r="L237246" s="472"/>
      <c r="M237246" s="472"/>
    </row>
    <row r="237247" spans="12:13" x14ac:dyDescent="0.25">
      <c r="L237247" s="472"/>
      <c r="M237247" s="472"/>
    </row>
    <row r="237319" spans="12:13" x14ac:dyDescent="0.25">
      <c r="L237319" s="472"/>
      <c r="M237319" s="472"/>
    </row>
    <row r="237320" spans="12:13" x14ac:dyDescent="0.25">
      <c r="L237320" s="472"/>
      <c r="M237320" s="472"/>
    </row>
    <row r="237321" spans="12:13" x14ac:dyDescent="0.25">
      <c r="L237321" s="472"/>
      <c r="M237321" s="472"/>
    </row>
    <row r="237393" spans="12:13" x14ac:dyDescent="0.25">
      <c r="L237393" s="472"/>
      <c r="M237393" s="472"/>
    </row>
    <row r="237394" spans="12:13" x14ac:dyDescent="0.25">
      <c r="L237394" s="472"/>
      <c r="M237394" s="472"/>
    </row>
    <row r="237395" spans="12:13" x14ac:dyDescent="0.25">
      <c r="L237395" s="472"/>
      <c r="M237395" s="472"/>
    </row>
    <row r="237467" spans="12:13" x14ac:dyDescent="0.25">
      <c r="L237467" s="472"/>
      <c r="M237467" s="472"/>
    </row>
    <row r="237468" spans="12:13" x14ac:dyDescent="0.25">
      <c r="L237468" s="472"/>
      <c r="M237468" s="472"/>
    </row>
    <row r="237469" spans="12:13" x14ac:dyDescent="0.25">
      <c r="L237469" s="472"/>
      <c r="M237469" s="472"/>
    </row>
    <row r="237541" spans="12:13" x14ac:dyDescent="0.25">
      <c r="L237541" s="472"/>
      <c r="M237541" s="472"/>
    </row>
    <row r="237542" spans="12:13" x14ac:dyDescent="0.25">
      <c r="L237542" s="472"/>
      <c r="M237542" s="472"/>
    </row>
    <row r="237543" spans="12:13" x14ac:dyDescent="0.25">
      <c r="L237543" s="472"/>
      <c r="M237543" s="472"/>
    </row>
    <row r="237615" spans="12:13" x14ac:dyDescent="0.25">
      <c r="L237615" s="472"/>
      <c r="M237615" s="472"/>
    </row>
    <row r="237616" spans="12:13" x14ac:dyDescent="0.25">
      <c r="L237616" s="472"/>
      <c r="M237616" s="472"/>
    </row>
    <row r="237617" spans="12:13" x14ac:dyDescent="0.25">
      <c r="L237617" s="472"/>
      <c r="M237617" s="472"/>
    </row>
    <row r="237689" spans="12:13" x14ac:dyDescent="0.25">
      <c r="L237689" s="472"/>
      <c r="M237689" s="472"/>
    </row>
    <row r="237690" spans="12:13" x14ac:dyDescent="0.25">
      <c r="L237690" s="472"/>
      <c r="M237690" s="472"/>
    </row>
    <row r="237691" spans="12:13" x14ac:dyDescent="0.25">
      <c r="L237691" s="472"/>
      <c r="M237691" s="472"/>
    </row>
    <row r="237763" spans="12:13" x14ac:dyDescent="0.25">
      <c r="L237763" s="472"/>
      <c r="M237763" s="472"/>
    </row>
    <row r="237764" spans="12:13" x14ac:dyDescent="0.25">
      <c r="L237764" s="472"/>
      <c r="M237764" s="472"/>
    </row>
    <row r="237765" spans="12:13" x14ac:dyDescent="0.25">
      <c r="L237765" s="472"/>
      <c r="M237765" s="472"/>
    </row>
    <row r="237837" spans="12:13" x14ac:dyDescent="0.25">
      <c r="L237837" s="472"/>
      <c r="M237837" s="472"/>
    </row>
    <row r="237838" spans="12:13" x14ac:dyDescent="0.25">
      <c r="L237838" s="472"/>
      <c r="M237838" s="472"/>
    </row>
    <row r="237839" spans="12:13" x14ac:dyDescent="0.25">
      <c r="L237839" s="472"/>
      <c r="M237839" s="472"/>
    </row>
    <row r="237911" spans="12:13" x14ac:dyDescent="0.25">
      <c r="L237911" s="472"/>
      <c r="M237911" s="472"/>
    </row>
    <row r="237912" spans="12:13" x14ac:dyDescent="0.25">
      <c r="L237912" s="472"/>
      <c r="M237912" s="472"/>
    </row>
    <row r="237913" spans="12:13" x14ac:dyDescent="0.25">
      <c r="L237913" s="472"/>
      <c r="M237913" s="472"/>
    </row>
    <row r="237985" spans="12:13" x14ac:dyDescent="0.25">
      <c r="L237985" s="472"/>
      <c r="M237985" s="472"/>
    </row>
    <row r="237986" spans="12:13" x14ac:dyDescent="0.25">
      <c r="L237986" s="472"/>
      <c r="M237986" s="472"/>
    </row>
    <row r="237987" spans="12:13" x14ac:dyDescent="0.25">
      <c r="L237987" s="472"/>
      <c r="M237987" s="472"/>
    </row>
    <row r="238059" spans="12:13" x14ac:dyDescent="0.25">
      <c r="L238059" s="472"/>
      <c r="M238059" s="472"/>
    </row>
    <row r="238060" spans="12:13" x14ac:dyDescent="0.25">
      <c r="L238060" s="472"/>
      <c r="M238060" s="472"/>
    </row>
    <row r="238061" spans="12:13" x14ac:dyDescent="0.25">
      <c r="L238061" s="472"/>
      <c r="M238061" s="472"/>
    </row>
    <row r="238133" spans="12:13" x14ac:dyDescent="0.25">
      <c r="L238133" s="472"/>
      <c r="M238133" s="472"/>
    </row>
    <row r="238134" spans="12:13" x14ac:dyDescent="0.25">
      <c r="L238134" s="472"/>
      <c r="M238134" s="472"/>
    </row>
    <row r="238135" spans="12:13" x14ac:dyDescent="0.25">
      <c r="L238135" s="472"/>
      <c r="M238135" s="472"/>
    </row>
    <row r="238207" spans="12:13" x14ac:dyDescent="0.25">
      <c r="L238207" s="472"/>
      <c r="M238207" s="472"/>
    </row>
    <row r="238208" spans="12:13" x14ac:dyDescent="0.25">
      <c r="L238208" s="472"/>
      <c r="M238208" s="472"/>
    </row>
    <row r="238209" spans="12:13" x14ac:dyDescent="0.25">
      <c r="L238209" s="472"/>
      <c r="M238209" s="472"/>
    </row>
    <row r="238281" spans="12:13" x14ac:dyDescent="0.25">
      <c r="L238281" s="472"/>
      <c r="M238281" s="472"/>
    </row>
    <row r="238282" spans="12:13" x14ac:dyDescent="0.25">
      <c r="L238282" s="472"/>
      <c r="M238282" s="472"/>
    </row>
    <row r="238283" spans="12:13" x14ac:dyDescent="0.25">
      <c r="L238283" s="472"/>
      <c r="M238283" s="472"/>
    </row>
    <row r="238355" spans="12:13" x14ac:dyDescent="0.25">
      <c r="L238355" s="472"/>
      <c r="M238355" s="472"/>
    </row>
    <row r="238356" spans="12:13" x14ac:dyDescent="0.25">
      <c r="L238356" s="472"/>
      <c r="M238356" s="472"/>
    </row>
    <row r="238357" spans="12:13" x14ac:dyDescent="0.25">
      <c r="L238357" s="472"/>
      <c r="M238357" s="472"/>
    </row>
    <row r="238429" spans="12:13" x14ac:dyDescent="0.25">
      <c r="L238429" s="472"/>
      <c r="M238429" s="472"/>
    </row>
    <row r="238430" spans="12:13" x14ac:dyDescent="0.25">
      <c r="L238430" s="472"/>
      <c r="M238430" s="472"/>
    </row>
    <row r="238431" spans="12:13" x14ac:dyDescent="0.25">
      <c r="L238431" s="472"/>
      <c r="M238431" s="472"/>
    </row>
    <row r="238503" spans="12:13" x14ac:dyDescent="0.25">
      <c r="L238503" s="472"/>
      <c r="M238503" s="472"/>
    </row>
    <row r="238504" spans="12:13" x14ac:dyDescent="0.25">
      <c r="L238504" s="472"/>
      <c r="M238504" s="472"/>
    </row>
    <row r="238505" spans="12:13" x14ac:dyDescent="0.25">
      <c r="L238505" s="472"/>
      <c r="M238505" s="472"/>
    </row>
    <row r="238577" spans="12:13" x14ac:dyDescent="0.25">
      <c r="L238577" s="472"/>
      <c r="M238577" s="472"/>
    </row>
    <row r="238578" spans="12:13" x14ac:dyDescent="0.25">
      <c r="L238578" s="472"/>
      <c r="M238578" s="472"/>
    </row>
    <row r="238579" spans="12:13" x14ac:dyDescent="0.25">
      <c r="L238579" s="472"/>
      <c r="M238579" s="472"/>
    </row>
    <row r="238651" spans="12:13" x14ac:dyDescent="0.25">
      <c r="L238651" s="472"/>
      <c r="M238651" s="472"/>
    </row>
    <row r="238652" spans="12:13" x14ac:dyDescent="0.25">
      <c r="L238652" s="472"/>
      <c r="M238652" s="472"/>
    </row>
    <row r="238653" spans="12:13" x14ac:dyDescent="0.25">
      <c r="L238653" s="472"/>
      <c r="M238653" s="472"/>
    </row>
    <row r="238725" spans="12:13" x14ac:dyDescent="0.25">
      <c r="L238725" s="472"/>
      <c r="M238725" s="472"/>
    </row>
    <row r="238726" spans="12:13" x14ac:dyDescent="0.25">
      <c r="L238726" s="472"/>
      <c r="M238726" s="472"/>
    </row>
    <row r="238727" spans="12:13" x14ac:dyDescent="0.25">
      <c r="L238727" s="472"/>
      <c r="M238727" s="472"/>
    </row>
    <row r="238799" spans="12:13" x14ac:dyDescent="0.25">
      <c r="L238799" s="472"/>
      <c r="M238799" s="472"/>
    </row>
    <row r="238800" spans="12:13" x14ac:dyDescent="0.25">
      <c r="L238800" s="472"/>
      <c r="M238800" s="472"/>
    </row>
    <row r="238801" spans="12:13" x14ac:dyDescent="0.25">
      <c r="L238801" s="472"/>
      <c r="M238801" s="472"/>
    </row>
    <row r="238873" spans="12:13" x14ac:dyDescent="0.25">
      <c r="L238873" s="472"/>
      <c r="M238873" s="472"/>
    </row>
    <row r="238874" spans="12:13" x14ac:dyDescent="0.25">
      <c r="L238874" s="472"/>
      <c r="M238874" s="472"/>
    </row>
    <row r="238875" spans="12:13" x14ac:dyDescent="0.25">
      <c r="L238875" s="472"/>
      <c r="M238875" s="472"/>
    </row>
    <row r="238947" spans="12:13" x14ac:dyDescent="0.25">
      <c r="L238947" s="472"/>
      <c r="M238947" s="472"/>
    </row>
    <row r="238948" spans="12:13" x14ac:dyDescent="0.25">
      <c r="L238948" s="472"/>
      <c r="M238948" s="472"/>
    </row>
    <row r="238949" spans="12:13" x14ac:dyDescent="0.25">
      <c r="L238949" s="472"/>
      <c r="M238949" s="472"/>
    </row>
    <row r="239021" spans="12:13" x14ac:dyDescent="0.25">
      <c r="L239021" s="472"/>
      <c r="M239021" s="472"/>
    </row>
    <row r="239022" spans="12:13" x14ac:dyDescent="0.25">
      <c r="L239022" s="472"/>
      <c r="M239022" s="472"/>
    </row>
    <row r="239023" spans="12:13" x14ac:dyDescent="0.25">
      <c r="L239023" s="472"/>
      <c r="M239023" s="472"/>
    </row>
    <row r="239095" spans="12:13" x14ac:dyDescent="0.25">
      <c r="L239095" s="472"/>
      <c r="M239095" s="472"/>
    </row>
    <row r="239096" spans="12:13" x14ac:dyDescent="0.25">
      <c r="L239096" s="472"/>
      <c r="M239096" s="472"/>
    </row>
    <row r="239097" spans="12:13" x14ac:dyDescent="0.25">
      <c r="L239097" s="472"/>
      <c r="M239097" s="472"/>
    </row>
    <row r="239169" spans="12:13" x14ac:dyDescent="0.25">
      <c r="L239169" s="472"/>
      <c r="M239169" s="472"/>
    </row>
    <row r="239170" spans="12:13" x14ac:dyDescent="0.25">
      <c r="L239170" s="472"/>
      <c r="M239170" s="472"/>
    </row>
    <row r="239171" spans="12:13" x14ac:dyDescent="0.25">
      <c r="L239171" s="472"/>
      <c r="M239171" s="472"/>
    </row>
    <row r="239243" spans="12:13" x14ac:dyDescent="0.25">
      <c r="L239243" s="472"/>
      <c r="M239243" s="472"/>
    </row>
    <row r="239244" spans="12:13" x14ac:dyDescent="0.25">
      <c r="L239244" s="472"/>
      <c r="M239244" s="472"/>
    </row>
    <row r="239245" spans="12:13" x14ac:dyDescent="0.25">
      <c r="L239245" s="472"/>
      <c r="M239245" s="472"/>
    </row>
    <row r="239317" spans="12:13" x14ac:dyDescent="0.25">
      <c r="L239317" s="472"/>
      <c r="M239317" s="472"/>
    </row>
    <row r="239318" spans="12:13" x14ac:dyDescent="0.25">
      <c r="L239318" s="472"/>
      <c r="M239318" s="472"/>
    </row>
    <row r="239319" spans="12:13" x14ac:dyDescent="0.25">
      <c r="L239319" s="472"/>
      <c r="M239319" s="472"/>
    </row>
    <row r="239391" spans="12:13" x14ac:dyDescent="0.25">
      <c r="L239391" s="472"/>
      <c r="M239391" s="472"/>
    </row>
    <row r="239392" spans="12:13" x14ac:dyDescent="0.25">
      <c r="L239392" s="472"/>
      <c r="M239392" s="472"/>
    </row>
    <row r="239393" spans="12:13" x14ac:dyDescent="0.25">
      <c r="L239393" s="472"/>
      <c r="M239393" s="472"/>
    </row>
    <row r="239465" spans="12:13" x14ac:dyDescent="0.25">
      <c r="L239465" s="472"/>
      <c r="M239465" s="472"/>
    </row>
    <row r="239466" spans="12:13" x14ac:dyDescent="0.25">
      <c r="L239466" s="472"/>
      <c r="M239466" s="472"/>
    </row>
    <row r="239467" spans="12:13" x14ac:dyDescent="0.25">
      <c r="L239467" s="472"/>
      <c r="M239467" s="472"/>
    </row>
    <row r="239539" spans="12:13" x14ac:dyDescent="0.25">
      <c r="L239539" s="472"/>
      <c r="M239539" s="472"/>
    </row>
    <row r="239540" spans="12:13" x14ac:dyDescent="0.25">
      <c r="L239540" s="472"/>
      <c r="M239540" s="472"/>
    </row>
    <row r="239541" spans="12:13" x14ac:dyDescent="0.25">
      <c r="L239541" s="472"/>
      <c r="M239541" s="472"/>
    </row>
    <row r="239613" spans="12:13" x14ac:dyDescent="0.25">
      <c r="L239613" s="472"/>
      <c r="M239613" s="472"/>
    </row>
    <row r="239614" spans="12:13" x14ac:dyDescent="0.25">
      <c r="L239614" s="472"/>
      <c r="M239614" s="472"/>
    </row>
    <row r="239615" spans="12:13" x14ac:dyDescent="0.25">
      <c r="L239615" s="472"/>
      <c r="M239615" s="472"/>
    </row>
    <row r="239687" spans="12:13" x14ac:dyDescent="0.25">
      <c r="L239687" s="472"/>
      <c r="M239687" s="472"/>
    </row>
    <row r="239688" spans="12:13" x14ac:dyDescent="0.25">
      <c r="L239688" s="472"/>
      <c r="M239688" s="472"/>
    </row>
    <row r="239689" spans="12:13" x14ac:dyDescent="0.25">
      <c r="L239689" s="472"/>
      <c r="M239689" s="472"/>
    </row>
    <row r="239761" spans="12:13" x14ac:dyDescent="0.25">
      <c r="L239761" s="472"/>
      <c r="M239761" s="472"/>
    </row>
    <row r="239762" spans="12:13" x14ac:dyDescent="0.25">
      <c r="L239762" s="472"/>
      <c r="M239762" s="472"/>
    </row>
    <row r="239763" spans="12:13" x14ac:dyDescent="0.25">
      <c r="L239763" s="472"/>
      <c r="M239763" s="472"/>
    </row>
    <row r="239835" spans="12:13" x14ac:dyDescent="0.25">
      <c r="L239835" s="472"/>
      <c r="M239835" s="472"/>
    </row>
    <row r="239836" spans="12:13" x14ac:dyDescent="0.25">
      <c r="L239836" s="472"/>
      <c r="M239836" s="472"/>
    </row>
    <row r="239837" spans="12:13" x14ac:dyDescent="0.25">
      <c r="L239837" s="472"/>
      <c r="M239837" s="472"/>
    </row>
    <row r="239909" spans="12:13" x14ac:dyDescent="0.25">
      <c r="L239909" s="472"/>
      <c r="M239909" s="472"/>
    </row>
    <row r="239910" spans="12:13" x14ac:dyDescent="0.25">
      <c r="L239910" s="472"/>
      <c r="M239910" s="472"/>
    </row>
    <row r="239911" spans="12:13" x14ac:dyDescent="0.25">
      <c r="L239911" s="472"/>
      <c r="M239911" s="472"/>
    </row>
    <row r="239983" spans="12:13" x14ac:dyDescent="0.25">
      <c r="L239983" s="472"/>
      <c r="M239983" s="472"/>
    </row>
    <row r="239984" spans="12:13" x14ac:dyDescent="0.25">
      <c r="L239984" s="472"/>
      <c r="M239984" s="472"/>
    </row>
    <row r="239985" spans="12:13" x14ac:dyDescent="0.25">
      <c r="L239985" s="472"/>
      <c r="M239985" s="472"/>
    </row>
    <row r="240057" spans="12:13" x14ac:dyDescent="0.25">
      <c r="L240057" s="472"/>
      <c r="M240057" s="472"/>
    </row>
    <row r="240058" spans="12:13" x14ac:dyDescent="0.25">
      <c r="L240058" s="472"/>
      <c r="M240058" s="472"/>
    </row>
    <row r="240059" spans="12:13" x14ac:dyDescent="0.25">
      <c r="L240059" s="472"/>
      <c r="M240059" s="472"/>
    </row>
    <row r="240131" spans="12:13" x14ac:dyDescent="0.25">
      <c r="L240131" s="472"/>
      <c r="M240131" s="472"/>
    </row>
    <row r="240132" spans="12:13" x14ac:dyDescent="0.25">
      <c r="L240132" s="472"/>
      <c r="M240132" s="472"/>
    </row>
    <row r="240133" spans="12:13" x14ac:dyDescent="0.25">
      <c r="L240133" s="472"/>
      <c r="M240133" s="472"/>
    </row>
    <row r="240205" spans="12:13" x14ac:dyDescent="0.25">
      <c r="L240205" s="472"/>
      <c r="M240205" s="472"/>
    </row>
    <row r="240206" spans="12:13" x14ac:dyDescent="0.25">
      <c r="L240206" s="472"/>
      <c r="M240206" s="472"/>
    </row>
    <row r="240207" spans="12:13" x14ac:dyDescent="0.25">
      <c r="L240207" s="472"/>
      <c r="M240207" s="472"/>
    </row>
    <row r="240279" spans="12:13" x14ac:dyDescent="0.25">
      <c r="L240279" s="472"/>
      <c r="M240279" s="472"/>
    </row>
    <row r="240280" spans="12:13" x14ac:dyDescent="0.25">
      <c r="L240280" s="472"/>
      <c r="M240280" s="472"/>
    </row>
    <row r="240281" spans="12:13" x14ac:dyDescent="0.25">
      <c r="L240281" s="472"/>
      <c r="M240281" s="472"/>
    </row>
    <row r="240353" spans="12:13" x14ac:dyDescent="0.25">
      <c r="L240353" s="472"/>
      <c r="M240353" s="472"/>
    </row>
    <row r="240354" spans="12:13" x14ac:dyDescent="0.25">
      <c r="L240354" s="472"/>
      <c r="M240354" s="472"/>
    </row>
    <row r="240355" spans="12:13" x14ac:dyDescent="0.25">
      <c r="L240355" s="472"/>
      <c r="M240355" s="472"/>
    </row>
    <row r="240427" spans="12:13" x14ac:dyDescent="0.25">
      <c r="L240427" s="472"/>
      <c r="M240427" s="472"/>
    </row>
    <row r="240428" spans="12:13" x14ac:dyDescent="0.25">
      <c r="L240428" s="472"/>
      <c r="M240428" s="472"/>
    </row>
    <row r="240429" spans="12:13" x14ac:dyDescent="0.25">
      <c r="L240429" s="472"/>
      <c r="M240429" s="472"/>
    </row>
    <row r="240501" spans="12:13" x14ac:dyDescent="0.25">
      <c r="L240501" s="472"/>
      <c r="M240501" s="472"/>
    </row>
    <row r="240502" spans="12:13" x14ac:dyDescent="0.25">
      <c r="L240502" s="472"/>
      <c r="M240502" s="472"/>
    </row>
    <row r="240503" spans="12:13" x14ac:dyDescent="0.25">
      <c r="L240503" s="472"/>
      <c r="M240503" s="472"/>
    </row>
    <row r="240575" spans="12:13" x14ac:dyDescent="0.25">
      <c r="L240575" s="472"/>
      <c r="M240575" s="472"/>
    </row>
    <row r="240576" spans="12:13" x14ac:dyDescent="0.25">
      <c r="L240576" s="472"/>
      <c r="M240576" s="472"/>
    </row>
    <row r="240577" spans="12:13" x14ac:dyDescent="0.25">
      <c r="L240577" s="472"/>
      <c r="M240577" s="472"/>
    </row>
    <row r="240649" spans="12:13" x14ac:dyDescent="0.25">
      <c r="L240649" s="472"/>
      <c r="M240649" s="472"/>
    </row>
    <row r="240650" spans="12:13" x14ac:dyDescent="0.25">
      <c r="L240650" s="472"/>
      <c r="M240650" s="472"/>
    </row>
    <row r="240651" spans="12:13" x14ac:dyDescent="0.25">
      <c r="L240651" s="472"/>
      <c r="M240651" s="472"/>
    </row>
    <row r="240723" spans="12:13" x14ac:dyDescent="0.25">
      <c r="L240723" s="472"/>
      <c r="M240723" s="472"/>
    </row>
    <row r="240724" spans="12:13" x14ac:dyDescent="0.25">
      <c r="L240724" s="472"/>
      <c r="M240724" s="472"/>
    </row>
    <row r="240725" spans="12:13" x14ac:dyDescent="0.25">
      <c r="L240725" s="472"/>
      <c r="M240725" s="472"/>
    </row>
    <row r="240797" spans="12:13" x14ac:dyDescent="0.25">
      <c r="L240797" s="472"/>
      <c r="M240797" s="472"/>
    </row>
    <row r="240798" spans="12:13" x14ac:dyDescent="0.25">
      <c r="L240798" s="472"/>
      <c r="M240798" s="472"/>
    </row>
    <row r="240799" spans="12:13" x14ac:dyDescent="0.25">
      <c r="L240799" s="472"/>
      <c r="M240799" s="472"/>
    </row>
    <row r="240871" spans="12:13" x14ac:dyDescent="0.25">
      <c r="L240871" s="472"/>
      <c r="M240871" s="472"/>
    </row>
    <row r="240872" spans="12:13" x14ac:dyDescent="0.25">
      <c r="L240872" s="472"/>
      <c r="M240872" s="472"/>
    </row>
    <row r="240873" spans="12:13" x14ac:dyDescent="0.25">
      <c r="L240873" s="472"/>
      <c r="M240873" s="472"/>
    </row>
    <row r="240945" spans="12:13" x14ac:dyDescent="0.25">
      <c r="L240945" s="472"/>
      <c r="M240945" s="472"/>
    </row>
    <row r="240946" spans="12:13" x14ac:dyDescent="0.25">
      <c r="L240946" s="472"/>
      <c r="M240946" s="472"/>
    </row>
    <row r="240947" spans="12:13" x14ac:dyDescent="0.25">
      <c r="L240947" s="472"/>
      <c r="M240947" s="472"/>
    </row>
    <row r="241019" spans="12:13" x14ac:dyDescent="0.25">
      <c r="L241019" s="472"/>
      <c r="M241019" s="472"/>
    </row>
    <row r="241020" spans="12:13" x14ac:dyDescent="0.25">
      <c r="L241020" s="472"/>
      <c r="M241020" s="472"/>
    </row>
    <row r="241021" spans="12:13" x14ac:dyDescent="0.25">
      <c r="L241021" s="472"/>
      <c r="M241021" s="472"/>
    </row>
    <row r="241093" spans="12:13" x14ac:dyDescent="0.25">
      <c r="L241093" s="472"/>
      <c r="M241093" s="472"/>
    </row>
    <row r="241094" spans="12:13" x14ac:dyDescent="0.25">
      <c r="L241094" s="472"/>
      <c r="M241094" s="472"/>
    </row>
    <row r="241095" spans="12:13" x14ac:dyDescent="0.25">
      <c r="L241095" s="472"/>
      <c r="M241095" s="472"/>
    </row>
    <row r="241167" spans="12:13" x14ac:dyDescent="0.25">
      <c r="L241167" s="472"/>
      <c r="M241167" s="472"/>
    </row>
    <row r="241168" spans="12:13" x14ac:dyDescent="0.25">
      <c r="L241168" s="472"/>
      <c r="M241168" s="472"/>
    </row>
    <row r="241169" spans="12:13" x14ac:dyDescent="0.25">
      <c r="L241169" s="472"/>
      <c r="M241169" s="472"/>
    </row>
    <row r="241241" spans="12:13" x14ac:dyDescent="0.25">
      <c r="L241241" s="472"/>
      <c r="M241241" s="472"/>
    </row>
    <row r="241242" spans="12:13" x14ac:dyDescent="0.25">
      <c r="L241242" s="472"/>
      <c r="M241242" s="472"/>
    </row>
    <row r="241243" spans="12:13" x14ac:dyDescent="0.25">
      <c r="L241243" s="472"/>
      <c r="M241243" s="472"/>
    </row>
    <row r="241315" spans="12:13" x14ac:dyDescent="0.25">
      <c r="L241315" s="472"/>
      <c r="M241315" s="472"/>
    </row>
    <row r="241316" spans="12:13" x14ac:dyDescent="0.25">
      <c r="L241316" s="472"/>
      <c r="M241316" s="472"/>
    </row>
    <row r="241317" spans="12:13" x14ac:dyDescent="0.25">
      <c r="L241317" s="472"/>
      <c r="M241317" s="472"/>
    </row>
    <row r="241389" spans="12:13" x14ac:dyDescent="0.25">
      <c r="L241389" s="472"/>
      <c r="M241389" s="472"/>
    </row>
    <row r="241390" spans="12:13" x14ac:dyDescent="0.25">
      <c r="L241390" s="472"/>
      <c r="M241390" s="472"/>
    </row>
    <row r="241391" spans="12:13" x14ac:dyDescent="0.25">
      <c r="L241391" s="472"/>
      <c r="M241391" s="472"/>
    </row>
    <row r="241463" spans="12:13" x14ac:dyDescent="0.25">
      <c r="L241463" s="472"/>
      <c r="M241463" s="472"/>
    </row>
    <row r="241464" spans="12:13" x14ac:dyDescent="0.25">
      <c r="L241464" s="472"/>
      <c r="M241464" s="472"/>
    </row>
    <row r="241465" spans="12:13" x14ac:dyDescent="0.25">
      <c r="L241465" s="472"/>
      <c r="M241465" s="472"/>
    </row>
    <row r="241537" spans="12:13" x14ac:dyDescent="0.25">
      <c r="L241537" s="472"/>
      <c r="M241537" s="472"/>
    </row>
    <row r="241538" spans="12:13" x14ac:dyDescent="0.25">
      <c r="L241538" s="472"/>
      <c r="M241538" s="472"/>
    </row>
    <row r="241539" spans="12:13" x14ac:dyDescent="0.25">
      <c r="L241539" s="472"/>
      <c r="M241539" s="472"/>
    </row>
    <row r="241611" spans="12:13" x14ac:dyDescent="0.25">
      <c r="L241611" s="472"/>
      <c r="M241611" s="472"/>
    </row>
    <row r="241612" spans="12:13" x14ac:dyDescent="0.25">
      <c r="L241612" s="472"/>
      <c r="M241612" s="472"/>
    </row>
    <row r="241613" spans="12:13" x14ac:dyDescent="0.25">
      <c r="L241613" s="472"/>
      <c r="M241613" s="472"/>
    </row>
    <row r="241685" spans="12:13" x14ac:dyDescent="0.25">
      <c r="L241685" s="472"/>
      <c r="M241685" s="472"/>
    </row>
    <row r="241686" spans="12:13" x14ac:dyDescent="0.25">
      <c r="L241686" s="472"/>
      <c r="M241686" s="472"/>
    </row>
    <row r="241687" spans="12:13" x14ac:dyDescent="0.25">
      <c r="L241687" s="472"/>
      <c r="M241687" s="472"/>
    </row>
    <row r="241759" spans="12:13" x14ac:dyDescent="0.25">
      <c r="L241759" s="472"/>
      <c r="M241759" s="472"/>
    </row>
    <row r="241760" spans="12:13" x14ac:dyDescent="0.25">
      <c r="L241760" s="472"/>
      <c r="M241760" s="472"/>
    </row>
    <row r="241761" spans="12:13" x14ac:dyDescent="0.25">
      <c r="L241761" s="472"/>
      <c r="M241761" s="472"/>
    </row>
    <row r="241833" spans="12:13" x14ac:dyDescent="0.25">
      <c r="L241833" s="472"/>
      <c r="M241833" s="472"/>
    </row>
    <row r="241834" spans="12:13" x14ac:dyDescent="0.25">
      <c r="L241834" s="472"/>
      <c r="M241834" s="472"/>
    </row>
    <row r="241835" spans="12:13" x14ac:dyDescent="0.25">
      <c r="L241835" s="472"/>
      <c r="M241835" s="472"/>
    </row>
    <row r="241907" spans="12:13" x14ac:dyDescent="0.25">
      <c r="L241907" s="472"/>
      <c r="M241907" s="472"/>
    </row>
    <row r="241908" spans="12:13" x14ac:dyDescent="0.25">
      <c r="L241908" s="472"/>
      <c r="M241908" s="472"/>
    </row>
    <row r="241909" spans="12:13" x14ac:dyDescent="0.25">
      <c r="L241909" s="472"/>
      <c r="M241909" s="472"/>
    </row>
    <row r="241981" spans="12:13" x14ac:dyDescent="0.25">
      <c r="L241981" s="472"/>
      <c r="M241981" s="472"/>
    </row>
    <row r="241982" spans="12:13" x14ac:dyDescent="0.25">
      <c r="L241982" s="472"/>
      <c r="M241982" s="472"/>
    </row>
    <row r="241983" spans="12:13" x14ac:dyDescent="0.25">
      <c r="L241983" s="472"/>
      <c r="M241983" s="472"/>
    </row>
    <row r="242055" spans="12:13" x14ac:dyDescent="0.25">
      <c r="L242055" s="472"/>
      <c r="M242055" s="472"/>
    </row>
    <row r="242056" spans="12:13" x14ac:dyDescent="0.25">
      <c r="L242056" s="472"/>
      <c r="M242056" s="472"/>
    </row>
    <row r="242057" spans="12:13" x14ac:dyDescent="0.25">
      <c r="L242057" s="472"/>
      <c r="M242057" s="472"/>
    </row>
    <row r="242129" spans="12:13" x14ac:dyDescent="0.25">
      <c r="L242129" s="472"/>
      <c r="M242129" s="472"/>
    </row>
    <row r="242130" spans="12:13" x14ac:dyDescent="0.25">
      <c r="L242130" s="472"/>
      <c r="M242130" s="472"/>
    </row>
    <row r="242131" spans="12:13" x14ac:dyDescent="0.25">
      <c r="L242131" s="472"/>
      <c r="M242131" s="472"/>
    </row>
    <row r="242203" spans="12:13" x14ac:dyDescent="0.25">
      <c r="L242203" s="472"/>
      <c r="M242203" s="472"/>
    </row>
    <row r="242204" spans="12:13" x14ac:dyDescent="0.25">
      <c r="L242204" s="472"/>
      <c r="M242204" s="472"/>
    </row>
    <row r="242205" spans="12:13" x14ac:dyDescent="0.25">
      <c r="L242205" s="472"/>
      <c r="M242205" s="472"/>
    </row>
    <row r="242277" spans="12:13" x14ac:dyDescent="0.25">
      <c r="L242277" s="472"/>
      <c r="M242277" s="472"/>
    </row>
    <row r="242278" spans="12:13" x14ac:dyDescent="0.25">
      <c r="L242278" s="472"/>
      <c r="M242278" s="472"/>
    </row>
    <row r="242279" spans="12:13" x14ac:dyDescent="0.25">
      <c r="L242279" s="472"/>
      <c r="M242279" s="472"/>
    </row>
    <row r="242351" spans="12:13" x14ac:dyDescent="0.25">
      <c r="L242351" s="472"/>
      <c r="M242351" s="472"/>
    </row>
    <row r="242352" spans="12:13" x14ac:dyDescent="0.25">
      <c r="L242352" s="472"/>
      <c r="M242352" s="472"/>
    </row>
    <row r="242353" spans="12:13" x14ac:dyDescent="0.25">
      <c r="L242353" s="472"/>
      <c r="M242353" s="472"/>
    </row>
    <row r="242425" spans="12:13" x14ac:dyDescent="0.25">
      <c r="L242425" s="472"/>
      <c r="M242425" s="472"/>
    </row>
    <row r="242426" spans="12:13" x14ac:dyDescent="0.25">
      <c r="L242426" s="472"/>
      <c r="M242426" s="472"/>
    </row>
    <row r="242427" spans="12:13" x14ac:dyDescent="0.25">
      <c r="L242427" s="472"/>
      <c r="M242427" s="472"/>
    </row>
    <row r="242499" spans="12:13" x14ac:dyDescent="0.25">
      <c r="L242499" s="472"/>
      <c r="M242499" s="472"/>
    </row>
    <row r="242500" spans="12:13" x14ac:dyDescent="0.25">
      <c r="L242500" s="472"/>
      <c r="M242500" s="472"/>
    </row>
    <row r="242501" spans="12:13" x14ac:dyDescent="0.25">
      <c r="L242501" s="472"/>
      <c r="M242501" s="472"/>
    </row>
    <row r="242573" spans="12:13" x14ac:dyDescent="0.25">
      <c r="L242573" s="472"/>
      <c r="M242573" s="472"/>
    </row>
    <row r="242574" spans="12:13" x14ac:dyDescent="0.25">
      <c r="L242574" s="472"/>
      <c r="M242574" s="472"/>
    </row>
    <row r="242575" spans="12:13" x14ac:dyDescent="0.25">
      <c r="L242575" s="472"/>
      <c r="M242575" s="472"/>
    </row>
    <row r="242647" spans="12:13" x14ac:dyDescent="0.25">
      <c r="L242647" s="472"/>
      <c r="M242647" s="472"/>
    </row>
    <row r="242648" spans="12:13" x14ac:dyDescent="0.25">
      <c r="L242648" s="472"/>
      <c r="M242648" s="472"/>
    </row>
    <row r="242649" spans="12:13" x14ac:dyDescent="0.25">
      <c r="L242649" s="472"/>
      <c r="M242649" s="472"/>
    </row>
    <row r="242721" spans="12:13" x14ac:dyDescent="0.25">
      <c r="L242721" s="472"/>
      <c r="M242721" s="472"/>
    </row>
    <row r="242722" spans="12:13" x14ac:dyDescent="0.25">
      <c r="L242722" s="472"/>
      <c r="M242722" s="472"/>
    </row>
    <row r="242723" spans="12:13" x14ac:dyDescent="0.25">
      <c r="L242723" s="472"/>
      <c r="M242723" s="472"/>
    </row>
    <row r="242795" spans="12:13" x14ac:dyDescent="0.25">
      <c r="L242795" s="472"/>
      <c r="M242795" s="472"/>
    </row>
    <row r="242796" spans="12:13" x14ac:dyDescent="0.25">
      <c r="L242796" s="472"/>
      <c r="M242796" s="472"/>
    </row>
    <row r="242797" spans="12:13" x14ac:dyDescent="0.25">
      <c r="L242797" s="472"/>
      <c r="M242797" s="472"/>
    </row>
    <row r="242869" spans="12:13" x14ac:dyDescent="0.25">
      <c r="L242869" s="472"/>
      <c r="M242869" s="472"/>
    </row>
    <row r="242870" spans="12:13" x14ac:dyDescent="0.25">
      <c r="L242870" s="472"/>
      <c r="M242870" s="472"/>
    </row>
    <row r="242871" spans="12:13" x14ac:dyDescent="0.25">
      <c r="L242871" s="472"/>
      <c r="M242871" s="472"/>
    </row>
    <row r="242943" spans="12:13" x14ac:dyDescent="0.25">
      <c r="L242943" s="472"/>
      <c r="M242943" s="472"/>
    </row>
    <row r="242944" spans="12:13" x14ac:dyDescent="0.25">
      <c r="L242944" s="472"/>
      <c r="M242944" s="472"/>
    </row>
    <row r="242945" spans="12:13" x14ac:dyDescent="0.25">
      <c r="L242945" s="472"/>
      <c r="M242945" s="472"/>
    </row>
    <row r="243017" spans="12:13" x14ac:dyDescent="0.25">
      <c r="L243017" s="472"/>
      <c r="M243017" s="472"/>
    </row>
    <row r="243018" spans="12:13" x14ac:dyDescent="0.25">
      <c r="L243018" s="472"/>
      <c r="M243018" s="472"/>
    </row>
    <row r="243019" spans="12:13" x14ac:dyDescent="0.25">
      <c r="L243019" s="472"/>
      <c r="M243019" s="472"/>
    </row>
    <row r="243091" spans="12:13" x14ac:dyDescent="0.25">
      <c r="L243091" s="472"/>
      <c r="M243091" s="472"/>
    </row>
    <row r="243092" spans="12:13" x14ac:dyDescent="0.25">
      <c r="L243092" s="472"/>
      <c r="M243092" s="472"/>
    </row>
    <row r="243093" spans="12:13" x14ac:dyDescent="0.25">
      <c r="L243093" s="472"/>
      <c r="M243093" s="472"/>
    </row>
    <row r="243165" spans="12:13" x14ac:dyDescent="0.25">
      <c r="L243165" s="472"/>
      <c r="M243165" s="472"/>
    </row>
    <row r="243166" spans="12:13" x14ac:dyDescent="0.25">
      <c r="L243166" s="472"/>
      <c r="M243166" s="472"/>
    </row>
    <row r="243167" spans="12:13" x14ac:dyDescent="0.25">
      <c r="L243167" s="472"/>
      <c r="M243167" s="472"/>
    </row>
    <row r="243239" spans="12:13" x14ac:dyDescent="0.25">
      <c r="L243239" s="472"/>
      <c r="M243239" s="472"/>
    </row>
    <row r="243240" spans="12:13" x14ac:dyDescent="0.25">
      <c r="L243240" s="472"/>
      <c r="M243240" s="472"/>
    </row>
    <row r="243241" spans="12:13" x14ac:dyDescent="0.25">
      <c r="L243241" s="472"/>
      <c r="M243241" s="472"/>
    </row>
    <row r="243313" spans="12:13" x14ac:dyDescent="0.25">
      <c r="L243313" s="472"/>
      <c r="M243313" s="472"/>
    </row>
    <row r="243314" spans="12:13" x14ac:dyDescent="0.25">
      <c r="L243314" s="472"/>
      <c r="M243314" s="472"/>
    </row>
    <row r="243315" spans="12:13" x14ac:dyDescent="0.25">
      <c r="L243315" s="472"/>
      <c r="M243315" s="472"/>
    </row>
    <row r="243387" spans="12:13" x14ac:dyDescent="0.25">
      <c r="L243387" s="472"/>
      <c r="M243387" s="472"/>
    </row>
    <row r="243388" spans="12:13" x14ac:dyDescent="0.25">
      <c r="L243388" s="472"/>
      <c r="M243388" s="472"/>
    </row>
    <row r="243389" spans="12:13" x14ac:dyDescent="0.25">
      <c r="L243389" s="472"/>
      <c r="M243389" s="472"/>
    </row>
    <row r="243461" spans="12:13" x14ac:dyDescent="0.25">
      <c r="L243461" s="472"/>
      <c r="M243461" s="472"/>
    </row>
    <row r="243462" spans="12:13" x14ac:dyDescent="0.25">
      <c r="L243462" s="472"/>
      <c r="M243462" s="472"/>
    </row>
    <row r="243463" spans="12:13" x14ac:dyDescent="0.25">
      <c r="L243463" s="472"/>
      <c r="M243463" s="472"/>
    </row>
    <row r="243535" spans="12:13" x14ac:dyDescent="0.25">
      <c r="L243535" s="472"/>
      <c r="M243535" s="472"/>
    </row>
    <row r="243536" spans="12:13" x14ac:dyDescent="0.25">
      <c r="L243536" s="472"/>
      <c r="M243536" s="472"/>
    </row>
    <row r="243537" spans="12:13" x14ac:dyDescent="0.25">
      <c r="L243537" s="472"/>
      <c r="M243537" s="472"/>
    </row>
    <row r="243609" spans="12:13" x14ac:dyDescent="0.25">
      <c r="L243609" s="472"/>
      <c r="M243609" s="472"/>
    </row>
    <row r="243610" spans="12:13" x14ac:dyDescent="0.25">
      <c r="L243610" s="472"/>
      <c r="M243610" s="472"/>
    </row>
    <row r="243611" spans="12:13" x14ac:dyDescent="0.25">
      <c r="L243611" s="472"/>
      <c r="M243611" s="472"/>
    </row>
    <row r="243683" spans="12:13" x14ac:dyDescent="0.25">
      <c r="L243683" s="472"/>
      <c r="M243683" s="472"/>
    </row>
    <row r="243684" spans="12:13" x14ac:dyDescent="0.25">
      <c r="L243684" s="472"/>
      <c r="M243684" s="472"/>
    </row>
    <row r="243685" spans="12:13" x14ac:dyDescent="0.25">
      <c r="L243685" s="472"/>
      <c r="M243685" s="472"/>
    </row>
    <row r="243757" spans="12:13" x14ac:dyDescent="0.25">
      <c r="L243757" s="472"/>
      <c r="M243757" s="472"/>
    </row>
    <row r="243758" spans="12:13" x14ac:dyDescent="0.25">
      <c r="L243758" s="472"/>
      <c r="M243758" s="472"/>
    </row>
    <row r="243759" spans="12:13" x14ac:dyDescent="0.25">
      <c r="L243759" s="472"/>
      <c r="M243759" s="472"/>
    </row>
    <row r="243831" spans="12:13" x14ac:dyDescent="0.25">
      <c r="L243831" s="472"/>
      <c r="M243831" s="472"/>
    </row>
    <row r="243832" spans="12:13" x14ac:dyDescent="0.25">
      <c r="L243832" s="472"/>
      <c r="M243832" s="472"/>
    </row>
    <row r="243833" spans="12:13" x14ac:dyDescent="0.25">
      <c r="L243833" s="472"/>
      <c r="M243833" s="472"/>
    </row>
    <row r="243905" spans="12:13" x14ac:dyDescent="0.25">
      <c r="L243905" s="472"/>
      <c r="M243905" s="472"/>
    </row>
    <row r="243906" spans="12:13" x14ac:dyDescent="0.25">
      <c r="L243906" s="472"/>
      <c r="M243906" s="472"/>
    </row>
    <row r="243907" spans="12:13" x14ac:dyDescent="0.25">
      <c r="L243907" s="472"/>
      <c r="M243907" s="472"/>
    </row>
    <row r="243979" spans="12:13" x14ac:dyDescent="0.25">
      <c r="L243979" s="472"/>
      <c r="M243979" s="472"/>
    </row>
    <row r="243980" spans="12:13" x14ac:dyDescent="0.25">
      <c r="L243980" s="472"/>
      <c r="M243980" s="472"/>
    </row>
    <row r="243981" spans="12:13" x14ac:dyDescent="0.25">
      <c r="L243981" s="472"/>
      <c r="M243981" s="472"/>
    </row>
    <row r="244053" spans="12:13" x14ac:dyDescent="0.25">
      <c r="L244053" s="472"/>
      <c r="M244053" s="472"/>
    </row>
    <row r="244054" spans="12:13" x14ac:dyDescent="0.25">
      <c r="L244054" s="472"/>
      <c r="M244054" s="472"/>
    </row>
    <row r="244055" spans="12:13" x14ac:dyDescent="0.25">
      <c r="L244055" s="472"/>
      <c r="M244055" s="472"/>
    </row>
    <row r="244127" spans="12:13" x14ac:dyDescent="0.25">
      <c r="L244127" s="472"/>
      <c r="M244127" s="472"/>
    </row>
    <row r="244128" spans="12:13" x14ac:dyDescent="0.25">
      <c r="L244128" s="472"/>
      <c r="M244128" s="472"/>
    </row>
    <row r="244129" spans="12:13" x14ac:dyDescent="0.25">
      <c r="L244129" s="472"/>
      <c r="M244129" s="472"/>
    </row>
    <row r="244201" spans="12:13" x14ac:dyDescent="0.25">
      <c r="L244201" s="472"/>
      <c r="M244201" s="472"/>
    </row>
    <row r="244202" spans="12:13" x14ac:dyDescent="0.25">
      <c r="L244202" s="472"/>
      <c r="M244202" s="472"/>
    </row>
    <row r="244203" spans="12:13" x14ac:dyDescent="0.25">
      <c r="L244203" s="472"/>
      <c r="M244203" s="472"/>
    </row>
    <row r="244275" spans="12:13" x14ac:dyDescent="0.25">
      <c r="L244275" s="472"/>
      <c r="M244275" s="472"/>
    </row>
    <row r="244276" spans="12:13" x14ac:dyDescent="0.25">
      <c r="L244276" s="472"/>
      <c r="M244276" s="472"/>
    </row>
    <row r="244277" spans="12:13" x14ac:dyDescent="0.25">
      <c r="L244277" s="472"/>
      <c r="M244277" s="472"/>
    </row>
    <row r="244349" spans="12:13" x14ac:dyDescent="0.25">
      <c r="L244349" s="472"/>
      <c r="M244349" s="472"/>
    </row>
    <row r="244350" spans="12:13" x14ac:dyDescent="0.25">
      <c r="L244350" s="472"/>
      <c r="M244350" s="472"/>
    </row>
    <row r="244351" spans="12:13" x14ac:dyDescent="0.25">
      <c r="L244351" s="472"/>
      <c r="M244351" s="472"/>
    </row>
    <row r="244423" spans="12:13" x14ac:dyDescent="0.25">
      <c r="L244423" s="472"/>
      <c r="M244423" s="472"/>
    </row>
    <row r="244424" spans="12:13" x14ac:dyDescent="0.25">
      <c r="L244424" s="472"/>
      <c r="M244424" s="472"/>
    </row>
    <row r="244425" spans="12:13" x14ac:dyDescent="0.25">
      <c r="L244425" s="472"/>
      <c r="M244425" s="472"/>
    </row>
    <row r="244497" spans="12:13" x14ac:dyDescent="0.25">
      <c r="L244497" s="472"/>
      <c r="M244497" s="472"/>
    </row>
    <row r="244498" spans="12:13" x14ac:dyDescent="0.25">
      <c r="L244498" s="472"/>
      <c r="M244498" s="472"/>
    </row>
    <row r="244499" spans="12:13" x14ac:dyDescent="0.25">
      <c r="L244499" s="472"/>
      <c r="M244499" s="472"/>
    </row>
    <row r="244571" spans="12:13" x14ac:dyDescent="0.25">
      <c r="L244571" s="472"/>
      <c r="M244571" s="472"/>
    </row>
    <row r="244572" spans="12:13" x14ac:dyDescent="0.25">
      <c r="L244572" s="472"/>
      <c r="M244572" s="472"/>
    </row>
    <row r="244573" spans="12:13" x14ac:dyDescent="0.25">
      <c r="L244573" s="472"/>
      <c r="M244573" s="472"/>
    </row>
    <row r="244645" spans="12:13" x14ac:dyDescent="0.25">
      <c r="L244645" s="472"/>
      <c r="M244645" s="472"/>
    </row>
    <row r="244646" spans="12:13" x14ac:dyDescent="0.25">
      <c r="L244646" s="472"/>
      <c r="M244646" s="472"/>
    </row>
    <row r="244647" spans="12:13" x14ac:dyDescent="0.25">
      <c r="L244647" s="472"/>
      <c r="M244647" s="472"/>
    </row>
    <row r="244719" spans="12:13" x14ac:dyDescent="0.25">
      <c r="L244719" s="472"/>
      <c r="M244719" s="472"/>
    </row>
    <row r="244720" spans="12:13" x14ac:dyDescent="0.25">
      <c r="L244720" s="472"/>
      <c r="M244720" s="472"/>
    </row>
    <row r="244721" spans="12:13" x14ac:dyDescent="0.25">
      <c r="L244721" s="472"/>
      <c r="M244721" s="472"/>
    </row>
    <row r="244793" spans="12:13" x14ac:dyDescent="0.25">
      <c r="L244793" s="472"/>
      <c r="M244793" s="472"/>
    </row>
    <row r="244794" spans="12:13" x14ac:dyDescent="0.25">
      <c r="L244794" s="472"/>
      <c r="M244794" s="472"/>
    </row>
    <row r="244795" spans="12:13" x14ac:dyDescent="0.25">
      <c r="L244795" s="472"/>
      <c r="M244795" s="472"/>
    </row>
    <row r="244867" spans="12:13" x14ac:dyDescent="0.25">
      <c r="L244867" s="472"/>
      <c r="M244867" s="472"/>
    </row>
    <row r="244868" spans="12:13" x14ac:dyDescent="0.25">
      <c r="L244868" s="472"/>
      <c r="M244868" s="472"/>
    </row>
    <row r="244869" spans="12:13" x14ac:dyDescent="0.25">
      <c r="L244869" s="472"/>
      <c r="M244869" s="472"/>
    </row>
    <row r="244941" spans="12:13" x14ac:dyDescent="0.25">
      <c r="L244941" s="472"/>
      <c r="M244941" s="472"/>
    </row>
    <row r="244942" spans="12:13" x14ac:dyDescent="0.25">
      <c r="L244942" s="472"/>
      <c r="M244942" s="472"/>
    </row>
    <row r="244943" spans="12:13" x14ac:dyDescent="0.25">
      <c r="L244943" s="472"/>
      <c r="M244943" s="472"/>
    </row>
    <row r="245015" spans="12:13" x14ac:dyDescent="0.25">
      <c r="L245015" s="472"/>
      <c r="M245015" s="472"/>
    </row>
    <row r="245016" spans="12:13" x14ac:dyDescent="0.25">
      <c r="L245016" s="472"/>
      <c r="M245016" s="472"/>
    </row>
    <row r="245017" spans="12:13" x14ac:dyDescent="0.25">
      <c r="L245017" s="472"/>
      <c r="M245017" s="472"/>
    </row>
    <row r="245089" spans="12:13" x14ac:dyDescent="0.25">
      <c r="L245089" s="472"/>
      <c r="M245089" s="472"/>
    </row>
    <row r="245090" spans="12:13" x14ac:dyDescent="0.25">
      <c r="L245090" s="472"/>
      <c r="M245090" s="472"/>
    </row>
    <row r="245091" spans="12:13" x14ac:dyDescent="0.25">
      <c r="L245091" s="472"/>
      <c r="M245091" s="472"/>
    </row>
    <row r="245163" spans="12:13" x14ac:dyDescent="0.25">
      <c r="L245163" s="472"/>
      <c r="M245163" s="472"/>
    </row>
    <row r="245164" spans="12:13" x14ac:dyDescent="0.25">
      <c r="L245164" s="472"/>
      <c r="M245164" s="472"/>
    </row>
    <row r="245165" spans="12:13" x14ac:dyDescent="0.25">
      <c r="L245165" s="472"/>
      <c r="M245165" s="472"/>
    </row>
    <row r="245237" spans="12:13" x14ac:dyDescent="0.25">
      <c r="L245237" s="472"/>
      <c r="M245237" s="472"/>
    </row>
    <row r="245238" spans="12:13" x14ac:dyDescent="0.25">
      <c r="L245238" s="472"/>
      <c r="M245238" s="472"/>
    </row>
    <row r="245239" spans="12:13" x14ac:dyDescent="0.25">
      <c r="L245239" s="472"/>
      <c r="M245239" s="472"/>
    </row>
    <row r="245311" spans="12:13" x14ac:dyDescent="0.25">
      <c r="L245311" s="472"/>
      <c r="M245311" s="472"/>
    </row>
    <row r="245312" spans="12:13" x14ac:dyDescent="0.25">
      <c r="L245312" s="472"/>
      <c r="M245312" s="472"/>
    </row>
    <row r="245313" spans="12:13" x14ac:dyDescent="0.25">
      <c r="L245313" s="472"/>
      <c r="M245313" s="472"/>
    </row>
    <row r="245385" spans="12:13" x14ac:dyDescent="0.25">
      <c r="L245385" s="472"/>
      <c r="M245385" s="472"/>
    </row>
    <row r="245386" spans="12:13" x14ac:dyDescent="0.25">
      <c r="L245386" s="472"/>
      <c r="M245386" s="472"/>
    </row>
    <row r="245387" spans="12:13" x14ac:dyDescent="0.25">
      <c r="L245387" s="472"/>
      <c r="M245387" s="472"/>
    </row>
    <row r="245459" spans="12:13" x14ac:dyDescent="0.25">
      <c r="L245459" s="472"/>
      <c r="M245459" s="472"/>
    </row>
    <row r="245460" spans="12:13" x14ac:dyDescent="0.25">
      <c r="L245460" s="472"/>
      <c r="M245460" s="472"/>
    </row>
    <row r="245461" spans="12:13" x14ac:dyDescent="0.25">
      <c r="L245461" s="472"/>
      <c r="M245461" s="472"/>
    </row>
    <row r="245533" spans="12:13" x14ac:dyDescent="0.25">
      <c r="L245533" s="472"/>
      <c r="M245533" s="472"/>
    </row>
    <row r="245534" spans="12:13" x14ac:dyDescent="0.25">
      <c r="L245534" s="472"/>
      <c r="M245534" s="472"/>
    </row>
    <row r="245535" spans="12:13" x14ac:dyDescent="0.25">
      <c r="L245535" s="472"/>
      <c r="M245535" s="472"/>
    </row>
    <row r="245607" spans="12:13" x14ac:dyDescent="0.25">
      <c r="L245607" s="472"/>
      <c r="M245607" s="472"/>
    </row>
    <row r="245608" spans="12:13" x14ac:dyDescent="0.25">
      <c r="L245608" s="472"/>
      <c r="M245608" s="472"/>
    </row>
    <row r="245609" spans="12:13" x14ac:dyDescent="0.25">
      <c r="L245609" s="472"/>
      <c r="M245609" s="472"/>
    </row>
    <row r="245681" spans="12:13" x14ac:dyDescent="0.25">
      <c r="L245681" s="472"/>
      <c r="M245681" s="472"/>
    </row>
    <row r="245682" spans="12:13" x14ac:dyDescent="0.25">
      <c r="L245682" s="472"/>
      <c r="M245682" s="472"/>
    </row>
    <row r="245683" spans="12:13" x14ac:dyDescent="0.25">
      <c r="L245683" s="472"/>
      <c r="M245683" s="472"/>
    </row>
    <row r="245755" spans="12:13" x14ac:dyDescent="0.25">
      <c r="L245755" s="472"/>
      <c r="M245755" s="472"/>
    </row>
    <row r="245756" spans="12:13" x14ac:dyDescent="0.25">
      <c r="L245756" s="472"/>
      <c r="M245756" s="472"/>
    </row>
    <row r="245757" spans="12:13" x14ac:dyDescent="0.25">
      <c r="L245757" s="472"/>
      <c r="M245757" s="472"/>
    </row>
    <row r="245829" spans="12:13" x14ac:dyDescent="0.25">
      <c r="L245829" s="472"/>
      <c r="M245829" s="472"/>
    </row>
    <row r="245830" spans="12:13" x14ac:dyDescent="0.25">
      <c r="L245830" s="472"/>
      <c r="M245830" s="472"/>
    </row>
    <row r="245831" spans="12:13" x14ac:dyDescent="0.25">
      <c r="L245831" s="472"/>
      <c r="M245831" s="472"/>
    </row>
    <row r="245903" spans="12:13" x14ac:dyDescent="0.25">
      <c r="L245903" s="472"/>
      <c r="M245903" s="472"/>
    </row>
    <row r="245904" spans="12:13" x14ac:dyDescent="0.25">
      <c r="L245904" s="472"/>
      <c r="M245904" s="472"/>
    </row>
    <row r="245905" spans="12:13" x14ac:dyDescent="0.25">
      <c r="L245905" s="472"/>
      <c r="M245905" s="472"/>
    </row>
    <row r="245977" spans="12:13" x14ac:dyDescent="0.25">
      <c r="L245977" s="472"/>
      <c r="M245977" s="472"/>
    </row>
    <row r="245978" spans="12:13" x14ac:dyDescent="0.25">
      <c r="L245978" s="472"/>
      <c r="M245978" s="472"/>
    </row>
    <row r="245979" spans="12:13" x14ac:dyDescent="0.25">
      <c r="L245979" s="472"/>
      <c r="M245979" s="472"/>
    </row>
    <row r="246051" spans="12:13" x14ac:dyDescent="0.25">
      <c r="L246051" s="472"/>
      <c r="M246051" s="472"/>
    </row>
    <row r="246052" spans="12:13" x14ac:dyDescent="0.25">
      <c r="L246052" s="472"/>
      <c r="M246052" s="472"/>
    </row>
    <row r="246053" spans="12:13" x14ac:dyDescent="0.25">
      <c r="L246053" s="472"/>
      <c r="M246053" s="472"/>
    </row>
    <row r="246125" spans="12:13" x14ac:dyDescent="0.25">
      <c r="L246125" s="472"/>
      <c r="M246125" s="472"/>
    </row>
    <row r="246126" spans="12:13" x14ac:dyDescent="0.25">
      <c r="L246126" s="472"/>
      <c r="M246126" s="472"/>
    </row>
    <row r="246127" spans="12:13" x14ac:dyDescent="0.25">
      <c r="L246127" s="472"/>
      <c r="M246127" s="472"/>
    </row>
    <row r="246199" spans="12:13" x14ac:dyDescent="0.25">
      <c r="L246199" s="472"/>
      <c r="M246199" s="472"/>
    </row>
    <row r="246200" spans="12:13" x14ac:dyDescent="0.25">
      <c r="L246200" s="472"/>
      <c r="M246200" s="472"/>
    </row>
    <row r="246201" spans="12:13" x14ac:dyDescent="0.25">
      <c r="L246201" s="472"/>
      <c r="M246201" s="472"/>
    </row>
    <row r="246273" spans="12:13" x14ac:dyDescent="0.25">
      <c r="L246273" s="472"/>
      <c r="M246273" s="472"/>
    </row>
    <row r="246274" spans="12:13" x14ac:dyDescent="0.25">
      <c r="L246274" s="472"/>
      <c r="M246274" s="472"/>
    </row>
    <row r="246275" spans="12:13" x14ac:dyDescent="0.25">
      <c r="L246275" s="472"/>
      <c r="M246275" s="472"/>
    </row>
    <row r="246347" spans="12:13" x14ac:dyDescent="0.25">
      <c r="L246347" s="472"/>
      <c r="M246347" s="472"/>
    </row>
    <row r="246348" spans="12:13" x14ac:dyDescent="0.25">
      <c r="L246348" s="472"/>
      <c r="M246348" s="472"/>
    </row>
    <row r="246349" spans="12:13" x14ac:dyDescent="0.25">
      <c r="L246349" s="472"/>
      <c r="M246349" s="472"/>
    </row>
    <row r="246421" spans="12:13" x14ac:dyDescent="0.25">
      <c r="L246421" s="472"/>
      <c r="M246421" s="472"/>
    </row>
    <row r="246422" spans="12:13" x14ac:dyDescent="0.25">
      <c r="L246422" s="472"/>
      <c r="M246422" s="472"/>
    </row>
    <row r="246423" spans="12:13" x14ac:dyDescent="0.25">
      <c r="L246423" s="472"/>
      <c r="M246423" s="472"/>
    </row>
    <row r="246495" spans="12:13" x14ac:dyDescent="0.25">
      <c r="L246495" s="472"/>
      <c r="M246495" s="472"/>
    </row>
    <row r="246496" spans="12:13" x14ac:dyDescent="0.25">
      <c r="L246496" s="472"/>
      <c r="M246496" s="472"/>
    </row>
    <row r="246497" spans="12:13" x14ac:dyDescent="0.25">
      <c r="L246497" s="472"/>
      <c r="M246497" s="472"/>
    </row>
    <row r="246569" spans="12:13" x14ac:dyDescent="0.25">
      <c r="L246569" s="472"/>
      <c r="M246569" s="472"/>
    </row>
    <row r="246570" spans="12:13" x14ac:dyDescent="0.25">
      <c r="L246570" s="472"/>
      <c r="M246570" s="472"/>
    </row>
    <row r="246571" spans="12:13" x14ac:dyDescent="0.25">
      <c r="L246571" s="472"/>
      <c r="M246571" s="472"/>
    </row>
    <row r="246643" spans="12:13" x14ac:dyDescent="0.25">
      <c r="L246643" s="472"/>
      <c r="M246643" s="472"/>
    </row>
    <row r="246644" spans="12:13" x14ac:dyDescent="0.25">
      <c r="L246644" s="472"/>
      <c r="M246644" s="472"/>
    </row>
    <row r="246645" spans="12:13" x14ac:dyDescent="0.25">
      <c r="L246645" s="472"/>
      <c r="M246645" s="472"/>
    </row>
    <row r="246717" spans="12:13" x14ac:dyDescent="0.25">
      <c r="L246717" s="472"/>
      <c r="M246717" s="472"/>
    </row>
    <row r="246718" spans="12:13" x14ac:dyDescent="0.25">
      <c r="L246718" s="472"/>
      <c r="M246718" s="472"/>
    </row>
    <row r="246719" spans="12:13" x14ac:dyDescent="0.25">
      <c r="L246719" s="472"/>
      <c r="M246719" s="472"/>
    </row>
    <row r="246791" spans="12:13" x14ac:dyDescent="0.25">
      <c r="L246791" s="472"/>
      <c r="M246791" s="472"/>
    </row>
    <row r="246792" spans="12:13" x14ac:dyDescent="0.25">
      <c r="L246792" s="472"/>
      <c r="M246792" s="472"/>
    </row>
    <row r="246793" spans="12:13" x14ac:dyDescent="0.25">
      <c r="L246793" s="472"/>
      <c r="M246793" s="472"/>
    </row>
    <row r="246865" spans="12:13" x14ac:dyDescent="0.25">
      <c r="L246865" s="472"/>
      <c r="M246865" s="472"/>
    </row>
    <row r="246866" spans="12:13" x14ac:dyDescent="0.25">
      <c r="L246866" s="472"/>
      <c r="M246866" s="472"/>
    </row>
    <row r="246867" spans="12:13" x14ac:dyDescent="0.25">
      <c r="L246867" s="472"/>
      <c r="M246867" s="472"/>
    </row>
    <row r="246939" spans="12:13" x14ac:dyDescent="0.25">
      <c r="L246939" s="472"/>
      <c r="M246939" s="472"/>
    </row>
    <row r="246940" spans="12:13" x14ac:dyDescent="0.25">
      <c r="L246940" s="472"/>
      <c r="M246940" s="472"/>
    </row>
    <row r="246941" spans="12:13" x14ac:dyDescent="0.25">
      <c r="L246941" s="472"/>
      <c r="M246941" s="472"/>
    </row>
    <row r="247013" spans="12:13" x14ac:dyDescent="0.25">
      <c r="L247013" s="472"/>
      <c r="M247013" s="472"/>
    </row>
    <row r="247014" spans="12:13" x14ac:dyDescent="0.25">
      <c r="L247014" s="472"/>
      <c r="M247014" s="472"/>
    </row>
    <row r="247015" spans="12:13" x14ac:dyDescent="0.25">
      <c r="L247015" s="472"/>
      <c r="M247015" s="472"/>
    </row>
    <row r="247087" spans="12:13" x14ac:dyDescent="0.25">
      <c r="L247087" s="472"/>
      <c r="M247087" s="472"/>
    </row>
    <row r="247088" spans="12:13" x14ac:dyDescent="0.25">
      <c r="L247088" s="472"/>
      <c r="M247088" s="472"/>
    </row>
    <row r="247089" spans="12:13" x14ac:dyDescent="0.25">
      <c r="L247089" s="472"/>
      <c r="M247089" s="472"/>
    </row>
    <row r="247161" spans="12:13" x14ac:dyDescent="0.25">
      <c r="L247161" s="472"/>
      <c r="M247161" s="472"/>
    </row>
    <row r="247162" spans="12:13" x14ac:dyDescent="0.25">
      <c r="L247162" s="472"/>
      <c r="M247162" s="472"/>
    </row>
    <row r="247163" spans="12:13" x14ac:dyDescent="0.25">
      <c r="L247163" s="472"/>
      <c r="M247163" s="472"/>
    </row>
    <row r="247235" spans="12:13" x14ac:dyDescent="0.25">
      <c r="L247235" s="472"/>
      <c r="M247235" s="472"/>
    </row>
    <row r="247236" spans="12:13" x14ac:dyDescent="0.25">
      <c r="L247236" s="472"/>
      <c r="M247236" s="472"/>
    </row>
    <row r="247237" spans="12:13" x14ac:dyDescent="0.25">
      <c r="L247237" s="472"/>
      <c r="M247237" s="472"/>
    </row>
    <row r="247309" spans="12:13" x14ac:dyDescent="0.25">
      <c r="L247309" s="472"/>
      <c r="M247309" s="472"/>
    </row>
    <row r="247310" spans="12:13" x14ac:dyDescent="0.25">
      <c r="L247310" s="472"/>
      <c r="M247310" s="472"/>
    </row>
    <row r="247311" spans="12:13" x14ac:dyDescent="0.25">
      <c r="L247311" s="472"/>
      <c r="M247311" s="472"/>
    </row>
    <row r="247383" spans="12:13" x14ac:dyDescent="0.25">
      <c r="L247383" s="472"/>
      <c r="M247383" s="472"/>
    </row>
    <row r="247384" spans="12:13" x14ac:dyDescent="0.25">
      <c r="L247384" s="472"/>
      <c r="M247384" s="472"/>
    </row>
    <row r="247385" spans="12:13" x14ac:dyDescent="0.25">
      <c r="L247385" s="472"/>
      <c r="M247385" s="472"/>
    </row>
    <row r="247457" spans="12:13" x14ac:dyDescent="0.25">
      <c r="L247457" s="472"/>
      <c r="M247457" s="472"/>
    </row>
    <row r="247458" spans="12:13" x14ac:dyDescent="0.25">
      <c r="L247458" s="472"/>
      <c r="M247458" s="472"/>
    </row>
    <row r="247459" spans="12:13" x14ac:dyDescent="0.25">
      <c r="L247459" s="472"/>
      <c r="M247459" s="472"/>
    </row>
    <row r="247531" spans="12:13" x14ac:dyDescent="0.25">
      <c r="L247531" s="472"/>
      <c r="M247531" s="472"/>
    </row>
    <row r="247532" spans="12:13" x14ac:dyDescent="0.25">
      <c r="L247532" s="472"/>
      <c r="M247532" s="472"/>
    </row>
    <row r="247533" spans="12:13" x14ac:dyDescent="0.25">
      <c r="L247533" s="472"/>
      <c r="M247533" s="472"/>
    </row>
    <row r="247605" spans="12:13" x14ac:dyDescent="0.25">
      <c r="L247605" s="472"/>
      <c r="M247605" s="472"/>
    </row>
    <row r="247606" spans="12:13" x14ac:dyDescent="0.25">
      <c r="L247606" s="472"/>
      <c r="M247606" s="472"/>
    </row>
    <row r="247607" spans="12:13" x14ac:dyDescent="0.25">
      <c r="L247607" s="472"/>
      <c r="M247607" s="472"/>
    </row>
    <row r="247679" spans="12:13" x14ac:dyDescent="0.25">
      <c r="L247679" s="472"/>
      <c r="M247679" s="472"/>
    </row>
    <row r="247680" spans="12:13" x14ac:dyDescent="0.25">
      <c r="L247680" s="472"/>
      <c r="M247680" s="472"/>
    </row>
    <row r="247681" spans="12:13" x14ac:dyDescent="0.25">
      <c r="L247681" s="472"/>
      <c r="M247681" s="472"/>
    </row>
    <row r="247753" spans="12:13" x14ac:dyDescent="0.25">
      <c r="L247753" s="472"/>
      <c r="M247753" s="472"/>
    </row>
    <row r="247754" spans="12:13" x14ac:dyDescent="0.25">
      <c r="L247754" s="472"/>
      <c r="M247754" s="472"/>
    </row>
    <row r="247755" spans="12:13" x14ac:dyDescent="0.25">
      <c r="L247755" s="472"/>
      <c r="M247755" s="472"/>
    </row>
    <row r="247827" spans="12:13" x14ac:dyDescent="0.25">
      <c r="L247827" s="472"/>
      <c r="M247827" s="472"/>
    </row>
    <row r="247828" spans="12:13" x14ac:dyDescent="0.25">
      <c r="L247828" s="472"/>
      <c r="M247828" s="472"/>
    </row>
    <row r="247829" spans="12:13" x14ac:dyDescent="0.25">
      <c r="L247829" s="472"/>
      <c r="M247829" s="472"/>
    </row>
    <row r="247901" spans="12:13" x14ac:dyDescent="0.25">
      <c r="L247901" s="472"/>
      <c r="M247901" s="472"/>
    </row>
    <row r="247902" spans="12:13" x14ac:dyDescent="0.25">
      <c r="L247902" s="472"/>
      <c r="M247902" s="472"/>
    </row>
    <row r="247903" spans="12:13" x14ac:dyDescent="0.25">
      <c r="L247903" s="472"/>
      <c r="M247903" s="472"/>
    </row>
    <row r="247975" spans="12:13" x14ac:dyDescent="0.25">
      <c r="L247975" s="472"/>
      <c r="M247975" s="472"/>
    </row>
    <row r="247976" spans="12:13" x14ac:dyDescent="0.25">
      <c r="L247976" s="472"/>
      <c r="M247976" s="472"/>
    </row>
    <row r="247977" spans="12:13" x14ac:dyDescent="0.25">
      <c r="L247977" s="472"/>
      <c r="M247977" s="472"/>
    </row>
    <row r="248049" spans="12:13" x14ac:dyDescent="0.25">
      <c r="L248049" s="472"/>
      <c r="M248049" s="472"/>
    </row>
    <row r="248050" spans="12:13" x14ac:dyDescent="0.25">
      <c r="L248050" s="472"/>
      <c r="M248050" s="472"/>
    </row>
    <row r="248051" spans="12:13" x14ac:dyDescent="0.25">
      <c r="L248051" s="472"/>
      <c r="M248051" s="472"/>
    </row>
    <row r="248123" spans="12:13" x14ac:dyDescent="0.25">
      <c r="L248123" s="472"/>
      <c r="M248123" s="472"/>
    </row>
    <row r="248124" spans="12:13" x14ac:dyDescent="0.25">
      <c r="L248124" s="472"/>
      <c r="M248124" s="472"/>
    </row>
    <row r="248125" spans="12:13" x14ac:dyDescent="0.25">
      <c r="L248125" s="472"/>
      <c r="M248125" s="472"/>
    </row>
    <row r="248197" spans="12:13" x14ac:dyDescent="0.25">
      <c r="L248197" s="472"/>
      <c r="M248197" s="472"/>
    </row>
    <row r="248198" spans="12:13" x14ac:dyDescent="0.25">
      <c r="L248198" s="472"/>
      <c r="M248198" s="472"/>
    </row>
    <row r="248199" spans="12:13" x14ac:dyDescent="0.25">
      <c r="L248199" s="472"/>
      <c r="M248199" s="472"/>
    </row>
    <row r="248271" spans="12:13" x14ac:dyDescent="0.25">
      <c r="L248271" s="472"/>
      <c r="M248271" s="472"/>
    </row>
    <row r="248272" spans="12:13" x14ac:dyDescent="0.25">
      <c r="L248272" s="472"/>
      <c r="M248272" s="472"/>
    </row>
    <row r="248273" spans="12:13" x14ac:dyDescent="0.25">
      <c r="L248273" s="472"/>
      <c r="M248273" s="472"/>
    </row>
    <row r="248345" spans="12:13" x14ac:dyDescent="0.25">
      <c r="L248345" s="472"/>
      <c r="M248345" s="472"/>
    </row>
    <row r="248346" spans="12:13" x14ac:dyDescent="0.25">
      <c r="L248346" s="472"/>
      <c r="M248346" s="472"/>
    </row>
    <row r="248347" spans="12:13" x14ac:dyDescent="0.25">
      <c r="L248347" s="472"/>
      <c r="M248347" s="472"/>
    </row>
    <row r="248419" spans="12:13" x14ac:dyDescent="0.25">
      <c r="L248419" s="472"/>
      <c r="M248419" s="472"/>
    </row>
    <row r="248420" spans="12:13" x14ac:dyDescent="0.25">
      <c r="L248420" s="472"/>
      <c r="M248420" s="472"/>
    </row>
    <row r="248421" spans="12:13" x14ac:dyDescent="0.25">
      <c r="L248421" s="472"/>
      <c r="M248421" s="472"/>
    </row>
    <row r="248493" spans="12:13" x14ac:dyDescent="0.25">
      <c r="L248493" s="472"/>
      <c r="M248493" s="472"/>
    </row>
    <row r="248494" spans="12:13" x14ac:dyDescent="0.25">
      <c r="L248494" s="472"/>
      <c r="M248494" s="472"/>
    </row>
    <row r="248495" spans="12:13" x14ac:dyDescent="0.25">
      <c r="L248495" s="472"/>
      <c r="M248495" s="472"/>
    </row>
    <row r="248567" spans="12:13" x14ac:dyDescent="0.25">
      <c r="L248567" s="472"/>
      <c r="M248567" s="472"/>
    </row>
    <row r="248568" spans="12:13" x14ac:dyDescent="0.25">
      <c r="L248568" s="472"/>
      <c r="M248568" s="472"/>
    </row>
    <row r="248569" spans="12:13" x14ac:dyDescent="0.25">
      <c r="L248569" s="472"/>
      <c r="M248569" s="472"/>
    </row>
    <row r="248641" spans="12:13" x14ac:dyDescent="0.25">
      <c r="L248641" s="472"/>
      <c r="M248641" s="472"/>
    </row>
    <row r="248642" spans="12:13" x14ac:dyDescent="0.25">
      <c r="L248642" s="472"/>
      <c r="M248642" s="472"/>
    </row>
    <row r="248643" spans="12:13" x14ac:dyDescent="0.25">
      <c r="L248643" s="472"/>
      <c r="M248643" s="472"/>
    </row>
    <row r="248715" spans="12:13" x14ac:dyDescent="0.25">
      <c r="L248715" s="472"/>
      <c r="M248715" s="472"/>
    </row>
    <row r="248716" spans="12:13" x14ac:dyDescent="0.25">
      <c r="L248716" s="472"/>
      <c r="M248716" s="472"/>
    </row>
    <row r="248717" spans="12:13" x14ac:dyDescent="0.25">
      <c r="L248717" s="472"/>
      <c r="M248717" s="472"/>
    </row>
    <row r="248789" spans="12:13" x14ac:dyDescent="0.25">
      <c r="L248789" s="472"/>
      <c r="M248789" s="472"/>
    </row>
    <row r="248790" spans="12:13" x14ac:dyDescent="0.25">
      <c r="L248790" s="472"/>
      <c r="M248790" s="472"/>
    </row>
    <row r="248791" spans="12:13" x14ac:dyDescent="0.25">
      <c r="L248791" s="472"/>
      <c r="M248791" s="472"/>
    </row>
    <row r="248863" spans="12:13" x14ac:dyDescent="0.25">
      <c r="L248863" s="472"/>
      <c r="M248863" s="472"/>
    </row>
    <row r="248864" spans="12:13" x14ac:dyDescent="0.25">
      <c r="L248864" s="472"/>
      <c r="M248864" s="472"/>
    </row>
    <row r="248865" spans="12:13" x14ac:dyDescent="0.25">
      <c r="L248865" s="472"/>
      <c r="M248865" s="472"/>
    </row>
    <row r="248937" spans="12:13" x14ac:dyDescent="0.25">
      <c r="L248937" s="472"/>
      <c r="M248937" s="472"/>
    </row>
    <row r="248938" spans="12:13" x14ac:dyDescent="0.25">
      <c r="L248938" s="472"/>
      <c r="M248938" s="472"/>
    </row>
    <row r="248939" spans="12:13" x14ac:dyDescent="0.25">
      <c r="L248939" s="472"/>
      <c r="M248939" s="472"/>
    </row>
    <row r="249011" spans="12:13" x14ac:dyDescent="0.25">
      <c r="L249011" s="472"/>
      <c r="M249011" s="472"/>
    </row>
    <row r="249012" spans="12:13" x14ac:dyDescent="0.25">
      <c r="L249012" s="472"/>
      <c r="M249012" s="472"/>
    </row>
    <row r="249013" spans="12:13" x14ac:dyDescent="0.25">
      <c r="L249013" s="472"/>
      <c r="M249013" s="472"/>
    </row>
    <row r="249085" spans="12:13" x14ac:dyDescent="0.25">
      <c r="L249085" s="472"/>
      <c r="M249085" s="472"/>
    </row>
    <row r="249086" spans="12:13" x14ac:dyDescent="0.25">
      <c r="L249086" s="472"/>
      <c r="M249086" s="472"/>
    </row>
    <row r="249087" spans="12:13" x14ac:dyDescent="0.25">
      <c r="L249087" s="472"/>
      <c r="M249087" s="472"/>
    </row>
    <row r="249159" spans="12:13" x14ac:dyDescent="0.25">
      <c r="L249159" s="472"/>
      <c r="M249159" s="472"/>
    </row>
    <row r="249160" spans="12:13" x14ac:dyDescent="0.25">
      <c r="L249160" s="472"/>
      <c r="M249160" s="472"/>
    </row>
    <row r="249161" spans="12:13" x14ac:dyDescent="0.25">
      <c r="L249161" s="472"/>
      <c r="M249161" s="472"/>
    </row>
    <row r="249233" spans="12:13" x14ac:dyDescent="0.25">
      <c r="L249233" s="472"/>
      <c r="M249233" s="472"/>
    </row>
    <row r="249234" spans="12:13" x14ac:dyDescent="0.25">
      <c r="L249234" s="472"/>
      <c r="M249234" s="472"/>
    </row>
    <row r="249235" spans="12:13" x14ac:dyDescent="0.25">
      <c r="L249235" s="472"/>
      <c r="M249235" s="472"/>
    </row>
    <row r="249307" spans="12:13" x14ac:dyDescent="0.25">
      <c r="L249307" s="472"/>
      <c r="M249307" s="472"/>
    </row>
    <row r="249308" spans="12:13" x14ac:dyDescent="0.25">
      <c r="L249308" s="472"/>
      <c r="M249308" s="472"/>
    </row>
    <row r="249309" spans="12:13" x14ac:dyDescent="0.25">
      <c r="L249309" s="472"/>
      <c r="M249309" s="472"/>
    </row>
    <row r="249381" spans="12:13" x14ac:dyDescent="0.25">
      <c r="L249381" s="472"/>
      <c r="M249381" s="472"/>
    </row>
    <row r="249382" spans="12:13" x14ac:dyDescent="0.25">
      <c r="L249382" s="472"/>
      <c r="M249382" s="472"/>
    </row>
    <row r="249383" spans="12:13" x14ac:dyDescent="0.25">
      <c r="L249383" s="472"/>
      <c r="M249383" s="472"/>
    </row>
    <row r="249455" spans="12:13" x14ac:dyDescent="0.25">
      <c r="L249455" s="472"/>
      <c r="M249455" s="472"/>
    </row>
    <row r="249456" spans="12:13" x14ac:dyDescent="0.25">
      <c r="L249456" s="472"/>
      <c r="M249456" s="472"/>
    </row>
    <row r="249457" spans="12:13" x14ac:dyDescent="0.25">
      <c r="L249457" s="472"/>
      <c r="M249457" s="472"/>
    </row>
    <row r="249529" spans="12:13" x14ac:dyDescent="0.25">
      <c r="L249529" s="472"/>
      <c r="M249529" s="472"/>
    </row>
    <row r="249530" spans="12:13" x14ac:dyDescent="0.25">
      <c r="L249530" s="472"/>
      <c r="M249530" s="472"/>
    </row>
    <row r="249531" spans="12:13" x14ac:dyDescent="0.25">
      <c r="L249531" s="472"/>
      <c r="M249531" s="472"/>
    </row>
    <row r="249603" spans="12:13" x14ac:dyDescent="0.25">
      <c r="L249603" s="472"/>
      <c r="M249603" s="472"/>
    </row>
    <row r="249604" spans="12:13" x14ac:dyDescent="0.25">
      <c r="L249604" s="472"/>
      <c r="M249604" s="472"/>
    </row>
    <row r="249605" spans="12:13" x14ac:dyDescent="0.25">
      <c r="L249605" s="472"/>
      <c r="M249605" s="472"/>
    </row>
    <row r="249677" spans="12:13" x14ac:dyDescent="0.25">
      <c r="L249677" s="472"/>
      <c r="M249677" s="472"/>
    </row>
    <row r="249678" spans="12:13" x14ac:dyDescent="0.25">
      <c r="L249678" s="472"/>
      <c r="M249678" s="472"/>
    </row>
    <row r="249679" spans="12:13" x14ac:dyDescent="0.25">
      <c r="L249679" s="472"/>
      <c r="M249679" s="472"/>
    </row>
    <row r="249751" spans="12:13" x14ac:dyDescent="0.25">
      <c r="L249751" s="472"/>
      <c r="M249751" s="472"/>
    </row>
    <row r="249752" spans="12:13" x14ac:dyDescent="0.25">
      <c r="L249752" s="472"/>
      <c r="M249752" s="472"/>
    </row>
    <row r="249753" spans="12:13" x14ac:dyDescent="0.25">
      <c r="L249753" s="472"/>
      <c r="M249753" s="472"/>
    </row>
    <row r="249825" spans="12:13" x14ac:dyDescent="0.25">
      <c r="L249825" s="472"/>
      <c r="M249825" s="472"/>
    </row>
    <row r="249826" spans="12:13" x14ac:dyDescent="0.25">
      <c r="L249826" s="472"/>
      <c r="M249826" s="472"/>
    </row>
    <row r="249827" spans="12:13" x14ac:dyDescent="0.25">
      <c r="L249827" s="472"/>
      <c r="M249827" s="472"/>
    </row>
    <row r="249899" spans="12:13" x14ac:dyDescent="0.25">
      <c r="L249899" s="472"/>
      <c r="M249899" s="472"/>
    </row>
    <row r="249900" spans="12:13" x14ac:dyDescent="0.25">
      <c r="L249900" s="472"/>
      <c r="M249900" s="472"/>
    </row>
    <row r="249901" spans="12:13" x14ac:dyDescent="0.25">
      <c r="L249901" s="472"/>
      <c r="M249901" s="472"/>
    </row>
    <row r="249973" spans="12:13" x14ac:dyDescent="0.25">
      <c r="L249973" s="472"/>
      <c r="M249973" s="472"/>
    </row>
    <row r="249974" spans="12:13" x14ac:dyDescent="0.25">
      <c r="L249974" s="472"/>
      <c r="M249974" s="472"/>
    </row>
    <row r="249975" spans="12:13" x14ac:dyDescent="0.25">
      <c r="L249975" s="472"/>
      <c r="M249975" s="472"/>
    </row>
    <row r="250047" spans="12:13" x14ac:dyDescent="0.25">
      <c r="L250047" s="472"/>
      <c r="M250047" s="472"/>
    </row>
    <row r="250048" spans="12:13" x14ac:dyDescent="0.25">
      <c r="L250048" s="472"/>
      <c r="M250048" s="472"/>
    </row>
    <row r="250049" spans="12:13" x14ac:dyDescent="0.25">
      <c r="L250049" s="472"/>
      <c r="M250049" s="472"/>
    </row>
    <row r="250121" spans="12:13" x14ac:dyDescent="0.25">
      <c r="L250121" s="472"/>
      <c r="M250121" s="472"/>
    </row>
    <row r="250122" spans="12:13" x14ac:dyDescent="0.25">
      <c r="L250122" s="472"/>
      <c r="M250122" s="472"/>
    </row>
    <row r="250123" spans="12:13" x14ac:dyDescent="0.25">
      <c r="L250123" s="472"/>
      <c r="M250123" s="472"/>
    </row>
    <row r="250195" spans="12:13" x14ac:dyDescent="0.25">
      <c r="L250195" s="472"/>
      <c r="M250195" s="472"/>
    </row>
    <row r="250196" spans="12:13" x14ac:dyDescent="0.25">
      <c r="L250196" s="472"/>
      <c r="M250196" s="472"/>
    </row>
    <row r="250197" spans="12:13" x14ac:dyDescent="0.25">
      <c r="L250197" s="472"/>
      <c r="M250197" s="472"/>
    </row>
    <row r="250269" spans="12:13" x14ac:dyDescent="0.25">
      <c r="L250269" s="472"/>
      <c r="M250269" s="472"/>
    </row>
    <row r="250270" spans="12:13" x14ac:dyDescent="0.25">
      <c r="L250270" s="472"/>
      <c r="M250270" s="472"/>
    </row>
    <row r="250271" spans="12:13" x14ac:dyDescent="0.25">
      <c r="L250271" s="472"/>
      <c r="M250271" s="472"/>
    </row>
    <row r="250343" spans="12:13" x14ac:dyDescent="0.25">
      <c r="L250343" s="472"/>
      <c r="M250343" s="472"/>
    </row>
    <row r="250344" spans="12:13" x14ac:dyDescent="0.25">
      <c r="L250344" s="472"/>
      <c r="M250344" s="472"/>
    </row>
    <row r="250345" spans="12:13" x14ac:dyDescent="0.25">
      <c r="L250345" s="472"/>
      <c r="M250345" s="472"/>
    </row>
    <row r="250417" spans="12:13" x14ac:dyDescent="0.25">
      <c r="L250417" s="472"/>
      <c r="M250417" s="472"/>
    </row>
    <row r="250418" spans="12:13" x14ac:dyDescent="0.25">
      <c r="L250418" s="472"/>
      <c r="M250418" s="472"/>
    </row>
    <row r="250419" spans="12:13" x14ac:dyDescent="0.25">
      <c r="L250419" s="472"/>
      <c r="M250419" s="472"/>
    </row>
    <row r="250491" spans="12:13" x14ac:dyDescent="0.25">
      <c r="L250491" s="472"/>
      <c r="M250491" s="472"/>
    </row>
    <row r="250492" spans="12:13" x14ac:dyDescent="0.25">
      <c r="L250492" s="472"/>
      <c r="M250492" s="472"/>
    </row>
    <row r="250493" spans="12:13" x14ac:dyDescent="0.25">
      <c r="L250493" s="472"/>
      <c r="M250493" s="472"/>
    </row>
    <row r="250565" spans="12:13" x14ac:dyDescent="0.25">
      <c r="L250565" s="472"/>
      <c r="M250565" s="472"/>
    </row>
    <row r="250566" spans="12:13" x14ac:dyDescent="0.25">
      <c r="L250566" s="472"/>
      <c r="M250566" s="472"/>
    </row>
    <row r="250567" spans="12:13" x14ac:dyDescent="0.25">
      <c r="L250567" s="472"/>
      <c r="M250567" s="472"/>
    </row>
    <row r="250639" spans="12:13" x14ac:dyDescent="0.25">
      <c r="L250639" s="472"/>
      <c r="M250639" s="472"/>
    </row>
    <row r="250640" spans="12:13" x14ac:dyDescent="0.25">
      <c r="L250640" s="472"/>
      <c r="M250640" s="472"/>
    </row>
    <row r="250641" spans="12:13" x14ac:dyDescent="0.25">
      <c r="L250641" s="472"/>
      <c r="M250641" s="472"/>
    </row>
    <row r="250713" spans="12:13" x14ac:dyDescent="0.25">
      <c r="L250713" s="472"/>
      <c r="M250713" s="472"/>
    </row>
    <row r="250714" spans="12:13" x14ac:dyDescent="0.25">
      <c r="L250714" s="472"/>
      <c r="M250714" s="472"/>
    </row>
    <row r="250715" spans="12:13" x14ac:dyDescent="0.25">
      <c r="L250715" s="472"/>
      <c r="M250715" s="472"/>
    </row>
    <row r="250787" spans="12:13" x14ac:dyDescent="0.25">
      <c r="L250787" s="472"/>
      <c r="M250787" s="472"/>
    </row>
    <row r="250788" spans="12:13" x14ac:dyDescent="0.25">
      <c r="L250788" s="472"/>
      <c r="M250788" s="472"/>
    </row>
    <row r="250789" spans="12:13" x14ac:dyDescent="0.25">
      <c r="L250789" s="472"/>
      <c r="M250789" s="472"/>
    </row>
    <row r="250861" spans="12:13" x14ac:dyDescent="0.25">
      <c r="L250861" s="472"/>
      <c r="M250861" s="472"/>
    </row>
    <row r="250862" spans="12:13" x14ac:dyDescent="0.25">
      <c r="L250862" s="472"/>
      <c r="M250862" s="472"/>
    </row>
    <row r="250863" spans="12:13" x14ac:dyDescent="0.25">
      <c r="L250863" s="472"/>
      <c r="M250863" s="472"/>
    </row>
    <row r="250935" spans="12:13" x14ac:dyDescent="0.25">
      <c r="L250935" s="472"/>
      <c r="M250935" s="472"/>
    </row>
    <row r="250936" spans="12:13" x14ac:dyDescent="0.25">
      <c r="L250936" s="472"/>
      <c r="M250936" s="472"/>
    </row>
    <row r="250937" spans="12:13" x14ac:dyDescent="0.25">
      <c r="L250937" s="472"/>
      <c r="M250937" s="472"/>
    </row>
    <row r="251009" spans="12:13" x14ac:dyDescent="0.25">
      <c r="L251009" s="472"/>
      <c r="M251009" s="472"/>
    </row>
    <row r="251010" spans="12:13" x14ac:dyDescent="0.25">
      <c r="L251010" s="472"/>
      <c r="M251010" s="472"/>
    </row>
    <row r="251011" spans="12:13" x14ac:dyDescent="0.25">
      <c r="L251011" s="472"/>
      <c r="M251011" s="472"/>
    </row>
    <row r="251083" spans="12:13" x14ac:dyDescent="0.25">
      <c r="L251083" s="472"/>
      <c r="M251083" s="472"/>
    </row>
    <row r="251084" spans="12:13" x14ac:dyDescent="0.25">
      <c r="L251084" s="472"/>
      <c r="M251084" s="472"/>
    </row>
    <row r="251085" spans="12:13" x14ac:dyDescent="0.25">
      <c r="L251085" s="472"/>
      <c r="M251085" s="472"/>
    </row>
    <row r="251157" spans="12:13" x14ac:dyDescent="0.25">
      <c r="L251157" s="472"/>
      <c r="M251157" s="472"/>
    </row>
    <row r="251158" spans="12:13" x14ac:dyDescent="0.25">
      <c r="L251158" s="472"/>
      <c r="M251158" s="472"/>
    </row>
    <row r="251159" spans="12:13" x14ac:dyDescent="0.25">
      <c r="L251159" s="472"/>
      <c r="M251159" s="472"/>
    </row>
    <row r="251231" spans="12:13" x14ac:dyDescent="0.25">
      <c r="L251231" s="472"/>
      <c r="M251231" s="472"/>
    </row>
    <row r="251232" spans="12:13" x14ac:dyDescent="0.25">
      <c r="L251232" s="472"/>
      <c r="M251232" s="472"/>
    </row>
    <row r="251233" spans="12:13" x14ac:dyDescent="0.25">
      <c r="L251233" s="472"/>
      <c r="M251233" s="472"/>
    </row>
    <row r="251305" spans="12:13" x14ac:dyDescent="0.25">
      <c r="L251305" s="472"/>
      <c r="M251305" s="472"/>
    </row>
    <row r="251306" spans="12:13" x14ac:dyDescent="0.25">
      <c r="L251306" s="472"/>
      <c r="M251306" s="472"/>
    </row>
    <row r="251307" spans="12:13" x14ac:dyDescent="0.25">
      <c r="L251307" s="472"/>
      <c r="M251307" s="472"/>
    </row>
    <row r="251379" spans="12:13" x14ac:dyDescent="0.25">
      <c r="L251379" s="472"/>
      <c r="M251379" s="472"/>
    </row>
    <row r="251380" spans="12:13" x14ac:dyDescent="0.25">
      <c r="L251380" s="472"/>
      <c r="M251380" s="472"/>
    </row>
    <row r="251381" spans="12:13" x14ac:dyDescent="0.25">
      <c r="L251381" s="472"/>
      <c r="M251381" s="472"/>
    </row>
    <row r="251453" spans="12:13" x14ac:dyDescent="0.25">
      <c r="L251453" s="472"/>
      <c r="M251453" s="472"/>
    </row>
    <row r="251454" spans="12:13" x14ac:dyDescent="0.25">
      <c r="L251454" s="472"/>
      <c r="M251454" s="472"/>
    </row>
    <row r="251455" spans="12:13" x14ac:dyDescent="0.25">
      <c r="L251455" s="472"/>
      <c r="M251455" s="472"/>
    </row>
    <row r="251527" spans="12:13" x14ac:dyDescent="0.25">
      <c r="L251527" s="472"/>
      <c r="M251527" s="472"/>
    </row>
    <row r="251528" spans="12:13" x14ac:dyDescent="0.25">
      <c r="L251528" s="472"/>
      <c r="M251528" s="472"/>
    </row>
    <row r="251529" spans="12:13" x14ac:dyDescent="0.25">
      <c r="L251529" s="472"/>
      <c r="M251529" s="472"/>
    </row>
    <row r="251601" spans="12:13" x14ac:dyDescent="0.25">
      <c r="L251601" s="472"/>
      <c r="M251601" s="472"/>
    </row>
    <row r="251602" spans="12:13" x14ac:dyDescent="0.25">
      <c r="L251602" s="472"/>
      <c r="M251602" s="472"/>
    </row>
    <row r="251603" spans="12:13" x14ac:dyDescent="0.25">
      <c r="L251603" s="472"/>
      <c r="M251603" s="472"/>
    </row>
    <row r="251675" spans="12:13" x14ac:dyDescent="0.25">
      <c r="L251675" s="472"/>
      <c r="M251675" s="472"/>
    </row>
    <row r="251676" spans="12:13" x14ac:dyDescent="0.25">
      <c r="L251676" s="472"/>
      <c r="M251676" s="472"/>
    </row>
    <row r="251677" spans="12:13" x14ac:dyDescent="0.25">
      <c r="L251677" s="472"/>
      <c r="M251677" s="472"/>
    </row>
    <row r="251749" spans="12:13" x14ac:dyDescent="0.25">
      <c r="L251749" s="472"/>
      <c r="M251749" s="472"/>
    </row>
    <row r="251750" spans="12:13" x14ac:dyDescent="0.25">
      <c r="L251750" s="472"/>
      <c r="M251750" s="472"/>
    </row>
    <row r="251751" spans="12:13" x14ac:dyDescent="0.25">
      <c r="L251751" s="472"/>
      <c r="M251751" s="472"/>
    </row>
    <row r="251823" spans="12:13" x14ac:dyDescent="0.25">
      <c r="L251823" s="472"/>
      <c r="M251823" s="472"/>
    </row>
    <row r="251824" spans="12:13" x14ac:dyDescent="0.25">
      <c r="L251824" s="472"/>
      <c r="M251824" s="472"/>
    </row>
    <row r="251825" spans="12:13" x14ac:dyDescent="0.25">
      <c r="L251825" s="472"/>
      <c r="M251825" s="472"/>
    </row>
    <row r="251897" spans="12:13" x14ac:dyDescent="0.25">
      <c r="L251897" s="472"/>
      <c r="M251897" s="472"/>
    </row>
    <row r="251898" spans="12:13" x14ac:dyDescent="0.25">
      <c r="L251898" s="472"/>
      <c r="M251898" s="472"/>
    </row>
    <row r="251899" spans="12:13" x14ac:dyDescent="0.25">
      <c r="L251899" s="472"/>
      <c r="M251899" s="472"/>
    </row>
    <row r="251971" spans="12:13" x14ac:dyDescent="0.25">
      <c r="L251971" s="472"/>
      <c r="M251971" s="472"/>
    </row>
    <row r="251972" spans="12:13" x14ac:dyDescent="0.25">
      <c r="L251972" s="472"/>
      <c r="M251972" s="472"/>
    </row>
    <row r="251973" spans="12:13" x14ac:dyDescent="0.25">
      <c r="L251973" s="472"/>
      <c r="M251973" s="472"/>
    </row>
    <row r="252045" spans="12:13" x14ac:dyDescent="0.25">
      <c r="L252045" s="472"/>
      <c r="M252045" s="472"/>
    </row>
    <row r="252046" spans="12:13" x14ac:dyDescent="0.25">
      <c r="L252046" s="472"/>
      <c r="M252046" s="472"/>
    </row>
    <row r="252047" spans="12:13" x14ac:dyDescent="0.25">
      <c r="L252047" s="472"/>
      <c r="M252047" s="472"/>
    </row>
    <row r="252119" spans="12:13" x14ac:dyDescent="0.25">
      <c r="L252119" s="472"/>
      <c r="M252119" s="472"/>
    </row>
    <row r="252120" spans="12:13" x14ac:dyDescent="0.25">
      <c r="L252120" s="472"/>
      <c r="M252120" s="472"/>
    </row>
    <row r="252121" spans="12:13" x14ac:dyDescent="0.25">
      <c r="L252121" s="472"/>
      <c r="M252121" s="472"/>
    </row>
    <row r="252193" spans="12:13" x14ac:dyDescent="0.25">
      <c r="L252193" s="472"/>
      <c r="M252193" s="472"/>
    </row>
    <row r="252194" spans="12:13" x14ac:dyDescent="0.25">
      <c r="L252194" s="472"/>
      <c r="M252194" s="472"/>
    </row>
    <row r="252195" spans="12:13" x14ac:dyDescent="0.25">
      <c r="L252195" s="472"/>
      <c r="M252195" s="472"/>
    </row>
    <row r="252267" spans="12:13" x14ac:dyDescent="0.25">
      <c r="L252267" s="472"/>
      <c r="M252267" s="472"/>
    </row>
    <row r="252268" spans="12:13" x14ac:dyDescent="0.25">
      <c r="L252268" s="472"/>
      <c r="M252268" s="472"/>
    </row>
    <row r="252269" spans="12:13" x14ac:dyDescent="0.25">
      <c r="L252269" s="472"/>
      <c r="M252269" s="472"/>
    </row>
    <row r="252341" spans="12:13" x14ac:dyDescent="0.25">
      <c r="L252341" s="472"/>
      <c r="M252341" s="472"/>
    </row>
    <row r="252342" spans="12:13" x14ac:dyDescent="0.25">
      <c r="L252342" s="472"/>
      <c r="M252342" s="472"/>
    </row>
    <row r="252343" spans="12:13" x14ac:dyDescent="0.25">
      <c r="L252343" s="472"/>
      <c r="M252343" s="472"/>
    </row>
    <row r="252415" spans="12:13" x14ac:dyDescent="0.25">
      <c r="L252415" s="472"/>
      <c r="M252415" s="472"/>
    </row>
    <row r="252416" spans="12:13" x14ac:dyDescent="0.25">
      <c r="L252416" s="472"/>
      <c r="M252416" s="472"/>
    </row>
    <row r="252417" spans="12:13" x14ac:dyDescent="0.25">
      <c r="L252417" s="472"/>
      <c r="M252417" s="472"/>
    </row>
    <row r="252489" spans="12:13" x14ac:dyDescent="0.25">
      <c r="L252489" s="472"/>
      <c r="M252489" s="472"/>
    </row>
    <row r="252490" spans="12:13" x14ac:dyDescent="0.25">
      <c r="L252490" s="472"/>
      <c r="M252490" s="472"/>
    </row>
    <row r="252491" spans="12:13" x14ac:dyDescent="0.25">
      <c r="L252491" s="472"/>
      <c r="M252491" s="472"/>
    </row>
    <row r="252563" spans="12:13" x14ac:dyDescent="0.25">
      <c r="L252563" s="472"/>
      <c r="M252563" s="472"/>
    </row>
    <row r="252564" spans="12:13" x14ac:dyDescent="0.25">
      <c r="L252564" s="472"/>
      <c r="M252564" s="472"/>
    </row>
    <row r="252565" spans="12:13" x14ac:dyDescent="0.25">
      <c r="L252565" s="472"/>
      <c r="M252565" s="472"/>
    </row>
    <row r="252637" spans="12:13" x14ac:dyDescent="0.25">
      <c r="L252637" s="472"/>
      <c r="M252637" s="472"/>
    </row>
    <row r="252638" spans="12:13" x14ac:dyDescent="0.25">
      <c r="L252638" s="472"/>
      <c r="M252638" s="472"/>
    </row>
    <row r="252639" spans="12:13" x14ac:dyDescent="0.25">
      <c r="L252639" s="472"/>
      <c r="M252639" s="472"/>
    </row>
    <row r="252711" spans="12:13" x14ac:dyDescent="0.25">
      <c r="L252711" s="472"/>
      <c r="M252711" s="472"/>
    </row>
    <row r="252712" spans="12:13" x14ac:dyDescent="0.25">
      <c r="L252712" s="472"/>
      <c r="M252712" s="472"/>
    </row>
    <row r="252713" spans="12:13" x14ac:dyDescent="0.25">
      <c r="L252713" s="472"/>
      <c r="M252713" s="472"/>
    </row>
    <row r="252785" spans="12:13" x14ac:dyDescent="0.25">
      <c r="L252785" s="472"/>
      <c r="M252785" s="472"/>
    </row>
    <row r="252786" spans="12:13" x14ac:dyDescent="0.25">
      <c r="L252786" s="472"/>
      <c r="M252786" s="472"/>
    </row>
    <row r="252787" spans="12:13" x14ac:dyDescent="0.25">
      <c r="L252787" s="472"/>
      <c r="M252787" s="472"/>
    </row>
    <row r="252859" spans="12:13" x14ac:dyDescent="0.25">
      <c r="L252859" s="472"/>
      <c r="M252859" s="472"/>
    </row>
    <row r="252860" spans="12:13" x14ac:dyDescent="0.25">
      <c r="L252860" s="472"/>
      <c r="M252860" s="472"/>
    </row>
    <row r="252861" spans="12:13" x14ac:dyDescent="0.25">
      <c r="L252861" s="472"/>
      <c r="M252861" s="472"/>
    </row>
    <row r="252933" spans="12:13" x14ac:dyDescent="0.25">
      <c r="L252933" s="472"/>
      <c r="M252933" s="472"/>
    </row>
    <row r="252934" spans="12:13" x14ac:dyDescent="0.25">
      <c r="L252934" s="472"/>
      <c r="M252934" s="472"/>
    </row>
    <row r="252935" spans="12:13" x14ac:dyDescent="0.25">
      <c r="L252935" s="472"/>
      <c r="M252935" s="472"/>
    </row>
    <row r="253007" spans="12:13" x14ac:dyDescent="0.25">
      <c r="L253007" s="472"/>
      <c r="M253007" s="472"/>
    </row>
    <row r="253008" spans="12:13" x14ac:dyDescent="0.25">
      <c r="L253008" s="472"/>
      <c r="M253008" s="472"/>
    </row>
    <row r="253009" spans="12:13" x14ac:dyDescent="0.25">
      <c r="L253009" s="472"/>
      <c r="M253009" s="472"/>
    </row>
    <row r="253081" spans="12:13" x14ac:dyDescent="0.25">
      <c r="L253081" s="472"/>
      <c r="M253081" s="472"/>
    </row>
    <row r="253082" spans="12:13" x14ac:dyDescent="0.25">
      <c r="L253082" s="472"/>
      <c r="M253082" s="472"/>
    </row>
    <row r="253083" spans="12:13" x14ac:dyDescent="0.25">
      <c r="L253083" s="472"/>
      <c r="M253083" s="472"/>
    </row>
    <row r="253155" spans="12:13" x14ac:dyDescent="0.25">
      <c r="L253155" s="472"/>
      <c r="M253155" s="472"/>
    </row>
    <row r="253156" spans="12:13" x14ac:dyDescent="0.25">
      <c r="L253156" s="472"/>
      <c r="M253156" s="472"/>
    </row>
    <row r="253157" spans="12:13" x14ac:dyDescent="0.25">
      <c r="L253157" s="472"/>
      <c r="M253157" s="472"/>
    </row>
    <row r="253229" spans="12:13" x14ac:dyDescent="0.25">
      <c r="L253229" s="472"/>
      <c r="M253229" s="472"/>
    </row>
    <row r="253230" spans="12:13" x14ac:dyDescent="0.25">
      <c r="L253230" s="472"/>
      <c r="M253230" s="472"/>
    </row>
    <row r="253231" spans="12:13" x14ac:dyDescent="0.25">
      <c r="L253231" s="472"/>
      <c r="M253231" s="472"/>
    </row>
    <row r="253303" spans="12:13" x14ac:dyDescent="0.25">
      <c r="L253303" s="472"/>
      <c r="M253303" s="472"/>
    </row>
    <row r="253304" spans="12:13" x14ac:dyDescent="0.25">
      <c r="L253304" s="472"/>
      <c r="M253304" s="472"/>
    </row>
    <row r="253305" spans="12:13" x14ac:dyDescent="0.25">
      <c r="L253305" s="472"/>
      <c r="M253305" s="472"/>
    </row>
    <row r="253377" spans="12:13" x14ac:dyDescent="0.25">
      <c r="L253377" s="472"/>
      <c r="M253377" s="472"/>
    </row>
    <row r="253378" spans="12:13" x14ac:dyDescent="0.25">
      <c r="L253378" s="472"/>
      <c r="M253378" s="472"/>
    </row>
    <row r="253379" spans="12:13" x14ac:dyDescent="0.25">
      <c r="L253379" s="472"/>
      <c r="M253379" s="472"/>
    </row>
    <row r="253451" spans="12:13" x14ac:dyDescent="0.25">
      <c r="L253451" s="472"/>
      <c r="M253451" s="472"/>
    </row>
    <row r="253452" spans="12:13" x14ac:dyDescent="0.25">
      <c r="L253452" s="472"/>
      <c r="M253452" s="472"/>
    </row>
    <row r="253453" spans="12:13" x14ac:dyDescent="0.25">
      <c r="L253453" s="472"/>
      <c r="M253453" s="472"/>
    </row>
    <row r="253525" spans="12:13" x14ac:dyDescent="0.25">
      <c r="L253525" s="472"/>
      <c r="M253525" s="472"/>
    </row>
    <row r="253526" spans="12:13" x14ac:dyDescent="0.25">
      <c r="L253526" s="472"/>
      <c r="M253526" s="472"/>
    </row>
    <row r="253527" spans="12:13" x14ac:dyDescent="0.25">
      <c r="L253527" s="472"/>
      <c r="M253527" s="472"/>
    </row>
    <row r="253599" spans="12:13" x14ac:dyDescent="0.25">
      <c r="L253599" s="472"/>
      <c r="M253599" s="472"/>
    </row>
    <row r="253600" spans="12:13" x14ac:dyDescent="0.25">
      <c r="L253600" s="472"/>
      <c r="M253600" s="472"/>
    </row>
    <row r="253601" spans="12:13" x14ac:dyDescent="0.25">
      <c r="L253601" s="472"/>
      <c r="M253601" s="472"/>
    </row>
    <row r="253673" spans="12:13" x14ac:dyDescent="0.25">
      <c r="L253673" s="472"/>
      <c r="M253673" s="472"/>
    </row>
    <row r="253674" spans="12:13" x14ac:dyDescent="0.25">
      <c r="L253674" s="472"/>
      <c r="M253674" s="472"/>
    </row>
    <row r="253675" spans="12:13" x14ac:dyDescent="0.25">
      <c r="L253675" s="472"/>
      <c r="M253675" s="472"/>
    </row>
    <row r="253747" spans="12:13" x14ac:dyDescent="0.25">
      <c r="L253747" s="472"/>
      <c r="M253747" s="472"/>
    </row>
    <row r="253748" spans="12:13" x14ac:dyDescent="0.25">
      <c r="L253748" s="472"/>
      <c r="M253748" s="472"/>
    </row>
    <row r="253749" spans="12:13" x14ac:dyDescent="0.25">
      <c r="L253749" s="472"/>
      <c r="M253749" s="472"/>
    </row>
    <row r="253821" spans="12:13" x14ac:dyDescent="0.25">
      <c r="L253821" s="472"/>
      <c r="M253821" s="472"/>
    </row>
    <row r="253822" spans="12:13" x14ac:dyDescent="0.25">
      <c r="L253822" s="472"/>
      <c r="M253822" s="472"/>
    </row>
    <row r="253823" spans="12:13" x14ac:dyDescent="0.25">
      <c r="L253823" s="472"/>
      <c r="M253823" s="472"/>
    </row>
    <row r="253895" spans="12:13" x14ac:dyDescent="0.25">
      <c r="L253895" s="472"/>
      <c r="M253895" s="472"/>
    </row>
    <row r="253896" spans="12:13" x14ac:dyDescent="0.25">
      <c r="L253896" s="472"/>
      <c r="M253896" s="472"/>
    </row>
    <row r="253897" spans="12:13" x14ac:dyDescent="0.25">
      <c r="L253897" s="472"/>
      <c r="M253897" s="472"/>
    </row>
    <row r="253969" spans="12:13" x14ac:dyDescent="0.25">
      <c r="L253969" s="472"/>
      <c r="M253969" s="472"/>
    </row>
    <row r="253970" spans="12:13" x14ac:dyDescent="0.25">
      <c r="L253970" s="472"/>
      <c r="M253970" s="472"/>
    </row>
    <row r="253971" spans="12:13" x14ac:dyDescent="0.25">
      <c r="L253971" s="472"/>
      <c r="M253971" s="472"/>
    </row>
    <row r="254043" spans="12:13" x14ac:dyDescent="0.25">
      <c r="L254043" s="472"/>
      <c r="M254043" s="472"/>
    </row>
    <row r="254044" spans="12:13" x14ac:dyDescent="0.25">
      <c r="L254044" s="472"/>
      <c r="M254044" s="472"/>
    </row>
    <row r="254045" spans="12:13" x14ac:dyDescent="0.25">
      <c r="L254045" s="472"/>
      <c r="M254045" s="472"/>
    </row>
    <row r="254117" spans="12:13" x14ac:dyDescent="0.25">
      <c r="L254117" s="472"/>
      <c r="M254117" s="472"/>
    </row>
    <row r="254118" spans="12:13" x14ac:dyDescent="0.25">
      <c r="L254118" s="472"/>
      <c r="M254118" s="472"/>
    </row>
    <row r="254119" spans="12:13" x14ac:dyDescent="0.25">
      <c r="L254119" s="472"/>
      <c r="M254119" s="472"/>
    </row>
    <row r="254191" spans="12:13" x14ac:dyDescent="0.25">
      <c r="L254191" s="472"/>
      <c r="M254191" s="472"/>
    </row>
    <row r="254192" spans="12:13" x14ac:dyDescent="0.25">
      <c r="L254192" s="472"/>
      <c r="M254192" s="472"/>
    </row>
    <row r="254193" spans="12:13" x14ac:dyDescent="0.25">
      <c r="L254193" s="472"/>
      <c r="M254193" s="472"/>
    </row>
    <row r="254265" spans="12:13" x14ac:dyDescent="0.25">
      <c r="L254265" s="472"/>
      <c r="M254265" s="472"/>
    </row>
    <row r="254266" spans="12:13" x14ac:dyDescent="0.25">
      <c r="L254266" s="472"/>
      <c r="M254266" s="472"/>
    </row>
    <row r="254267" spans="12:13" x14ac:dyDescent="0.25">
      <c r="L254267" s="472"/>
      <c r="M254267" s="472"/>
    </row>
    <row r="254339" spans="12:13" x14ac:dyDescent="0.25">
      <c r="L254339" s="472"/>
      <c r="M254339" s="472"/>
    </row>
    <row r="254340" spans="12:13" x14ac:dyDescent="0.25">
      <c r="L254340" s="472"/>
      <c r="M254340" s="472"/>
    </row>
    <row r="254341" spans="12:13" x14ac:dyDescent="0.25">
      <c r="L254341" s="472"/>
      <c r="M254341" s="472"/>
    </row>
    <row r="254413" spans="12:13" x14ac:dyDescent="0.25">
      <c r="L254413" s="472"/>
      <c r="M254413" s="472"/>
    </row>
    <row r="254414" spans="12:13" x14ac:dyDescent="0.25">
      <c r="L254414" s="472"/>
      <c r="M254414" s="472"/>
    </row>
    <row r="254415" spans="12:13" x14ac:dyDescent="0.25">
      <c r="L254415" s="472"/>
      <c r="M254415" s="472"/>
    </row>
    <row r="254487" spans="12:13" x14ac:dyDescent="0.25">
      <c r="L254487" s="472"/>
      <c r="M254487" s="472"/>
    </row>
    <row r="254488" spans="12:13" x14ac:dyDescent="0.25">
      <c r="L254488" s="472"/>
      <c r="M254488" s="472"/>
    </row>
    <row r="254489" spans="12:13" x14ac:dyDescent="0.25">
      <c r="L254489" s="472"/>
      <c r="M254489" s="472"/>
    </row>
    <row r="254561" spans="12:13" x14ac:dyDescent="0.25">
      <c r="L254561" s="472"/>
      <c r="M254561" s="472"/>
    </row>
    <row r="254562" spans="12:13" x14ac:dyDescent="0.25">
      <c r="L254562" s="472"/>
      <c r="M254562" s="472"/>
    </row>
    <row r="254563" spans="12:13" x14ac:dyDescent="0.25">
      <c r="L254563" s="472"/>
      <c r="M254563" s="472"/>
    </row>
    <row r="254635" spans="12:13" x14ac:dyDescent="0.25">
      <c r="L254635" s="472"/>
      <c r="M254635" s="472"/>
    </row>
    <row r="254636" spans="12:13" x14ac:dyDescent="0.25">
      <c r="L254636" s="472"/>
      <c r="M254636" s="472"/>
    </row>
    <row r="254637" spans="12:13" x14ac:dyDescent="0.25">
      <c r="L254637" s="472"/>
      <c r="M254637" s="472"/>
    </row>
    <row r="254709" spans="12:13" x14ac:dyDescent="0.25">
      <c r="L254709" s="472"/>
      <c r="M254709" s="472"/>
    </row>
    <row r="254710" spans="12:13" x14ac:dyDescent="0.25">
      <c r="L254710" s="472"/>
      <c r="M254710" s="472"/>
    </row>
    <row r="254711" spans="12:13" x14ac:dyDescent="0.25">
      <c r="L254711" s="472"/>
      <c r="M254711" s="472"/>
    </row>
    <row r="254783" spans="12:13" x14ac:dyDescent="0.25">
      <c r="L254783" s="472"/>
      <c r="M254783" s="472"/>
    </row>
    <row r="254784" spans="12:13" x14ac:dyDescent="0.25">
      <c r="L254784" s="472"/>
      <c r="M254784" s="472"/>
    </row>
    <row r="254785" spans="12:13" x14ac:dyDescent="0.25">
      <c r="L254785" s="472"/>
      <c r="M254785" s="472"/>
    </row>
    <row r="254857" spans="12:13" x14ac:dyDescent="0.25">
      <c r="L254857" s="472"/>
      <c r="M254857" s="472"/>
    </row>
    <row r="254858" spans="12:13" x14ac:dyDescent="0.25">
      <c r="L254858" s="472"/>
      <c r="M254858" s="472"/>
    </row>
    <row r="254859" spans="12:13" x14ac:dyDescent="0.25">
      <c r="L254859" s="472"/>
      <c r="M254859" s="472"/>
    </row>
    <row r="254931" spans="12:13" x14ac:dyDescent="0.25">
      <c r="L254931" s="472"/>
      <c r="M254931" s="472"/>
    </row>
    <row r="254932" spans="12:13" x14ac:dyDescent="0.25">
      <c r="L254932" s="472"/>
      <c r="M254932" s="472"/>
    </row>
    <row r="254933" spans="12:13" x14ac:dyDescent="0.25">
      <c r="L254933" s="472"/>
      <c r="M254933" s="472"/>
    </row>
    <row r="255005" spans="12:13" x14ac:dyDescent="0.25">
      <c r="L255005" s="472"/>
      <c r="M255005" s="472"/>
    </row>
    <row r="255006" spans="12:13" x14ac:dyDescent="0.25">
      <c r="L255006" s="472"/>
      <c r="M255006" s="472"/>
    </row>
    <row r="255007" spans="12:13" x14ac:dyDescent="0.25">
      <c r="L255007" s="472"/>
      <c r="M255007" s="472"/>
    </row>
    <row r="255079" spans="12:13" x14ac:dyDescent="0.25">
      <c r="L255079" s="472"/>
      <c r="M255079" s="472"/>
    </row>
    <row r="255080" spans="12:13" x14ac:dyDescent="0.25">
      <c r="L255080" s="472"/>
      <c r="M255080" s="472"/>
    </row>
    <row r="255081" spans="12:13" x14ac:dyDescent="0.25">
      <c r="L255081" s="472"/>
      <c r="M255081" s="472"/>
    </row>
    <row r="255153" spans="12:13" x14ac:dyDescent="0.25">
      <c r="L255153" s="472"/>
      <c r="M255153" s="472"/>
    </row>
    <row r="255154" spans="12:13" x14ac:dyDescent="0.25">
      <c r="L255154" s="472"/>
      <c r="M255154" s="472"/>
    </row>
    <row r="255155" spans="12:13" x14ac:dyDescent="0.25">
      <c r="L255155" s="472"/>
      <c r="M255155" s="472"/>
    </row>
    <row r="255227" spans="12:13" x14ac:dyDescent="0.25">
      <c r="L255227" s="472"/>
      <c r="M255227" s="472"/>
    </row>
    <row r="255228" spans="12:13" x14ac:dyDescent="0.25">
      <c r="L255228" s="472"/>
      <c r="M255228" s="472"/>
    </row>
    <row r="255229" spans="12:13" x14ac:dyDescent="0.25">
      <c r="L255229" s="472"/>
      <c r="M255229" s="472"/>
    </row>
    <row r="255301" spans="12:13" x14ac:dyDescent="0.25">
      <c r="L255301" s="472"/>
      <c r="M255301" s="472"/>
    </row>
    <row r="255302" spans="12:13" x14ac:dyDescent="0.25">
      <c r="L255302" s="472"/>
      <c r="M255302" s="472"/>
    </row>
    <row r="255303" spans="12:13" x14ac:dyDescent="0.25">
      <c r="L255303" s="472"/>
      <c r="M255303" s="472"/>
    </row>
    <row r="255375" spans="12:13" x14ac:dyDescent="0.25">
      <c r="L255375" s="472"/>
      <c r="M255375" s="472"/>
    </row>
    <row r="255376" spans="12:13" x14ac:dyDescent="0.25">
      <c r="L255376" s="472"/>
      <c r="M255376" s="472"/>
    </row>
    <row r="255377" spans="12:13" x14ac:dyDescent="0.25">
      <c r="L255377" s="472"/>
      <c r="M255377" s="472"/>
    </row>
    <row r="255449" spans="12:13" x14ac:dyDescent="0.25">
      <c r="L255449" s="472"/>
      <c r="M255449" s="472"/>
    </row>
    <row r="255450" spans="12:13" x14ac:dyDescent="0.25">
      <c r="L255450" s="472"/>
      <c r="M255450" s="472"/>
    </row>
    <row r="255451" spans="12:13" x14ac:dyDescent="0.25">
      <c r="L255451" s="472"/>
      <c r="M255451" s="472"/>
    </row>
    <row r="255523" spans="12:13" x14ac:dyDescent="0.25">
      <c r="L255523" s="472"/>
      <c r="M255523" s="472"/>
    </row>
    <row r="255524" spans="12:13" x14ac:dyDescent="0.25">
      <c r="L255524" s="472"/>
      <c r="M255524" s="472"/>
    </row>
    <row r="255525" spans="12:13" x14ac:dyDescent="0.25">
      <c r="L255525" s="472"/>
      <c r="M255525" s="472"/>
    </row>
    <row r="255597" spans="12:13" x14ac:dyDescent="0.25">
      <c r="L255597" s="472"/>
      <c r="M255597" s="472"/>
    </row>
    <row r="255598" spans="12:13" x14ac:dyDescent="0.25">
      <c r="L255598" s="472"/>
      <c r="M255598" s="472"/>
    </row>
    <row r="255599" spans="12:13" x14ac:dyDescent="0.25">
      <c r="L255599" s="472"/>
      <c r="M255599" s="472"/>
    </row>
    <row r="255671" spans="12:13" x14ac:dyDescent="0.25">
      <c r="L255671" s="472"/>
      <c r="M255671" s="472"/>
    </row>
    <row r="255672" spans="12:13" x14ac:dyDescent="0.25">
      <c r="L255672" s="472"/>
      <c r="M255672" s="472"/>
    </row>
    <row r="255673" spans="12:13" x14ac:dyDescent="0.25">
      <c r="L255673" s="472"/>
      <c r="M255673" s="472"/>
    </row>
    <row r="255745" spans="12:13" x14ac:dyDescent="0.25">
      <c r="L255745" s="472"/>
      <c r="M255745" s="472"/>
    </row>
    <row r="255746" spans="12:13" x14ac:dyDescent="0.25">
      <c r="L255746" s="472"/>
      <c r="M255746" s="472"/>
    </row>
    <row r="255747" spans="12:13" x14ac:dyDescent="0.25">
      <c r="L255747" s="472"/>
      <c r="M255747" s="472"/>
    </row>
    <row r="255819" spans="12:13" x14ac:dyDescent="0.25">
      <c r="L255819" s="472"/>
      <c r="M255819" s="472"/>
    </row>
    <row r="255820" spans="12:13" x14ac:dyDescent="0.25">
      <c r="L255820" s="472"/>
      <c r="M255820" s="472"/>
    </row>
    <row r="255821" spans="12:13" x14ac:dyDescent="0.25">
      <c r="L255821" s="472"/>
      <c r="M255821" s="472"/>
    </row>
    <row r="255893" spans="12:13" x14ac:dyDescent="0.25">
      <c r="L255893" s="472"/>
      <c r="M255893" s="472"/>
    </row>
    <row r="255894" spans="12:13" x14ac:dyDescent="0.25">
      <c r="L255894" s="472"/>
      <c r="M255894" s="472"/>
    </row>
    <row r="255895" spans="12:13" x14ac:dyDescent="0.25">
      <c r="L255895" s="472"/>
      <c r="M255895" s="472"/>
    </row>
    <row r="255967" spans="12:13" x14ac:dyDescent="0.25">
      <c r="L255967" s="472"/>
      <c r="M255967" s="472"/>
    </row>
    <row r="255968" spans="12:13" x14ac:dyDescent="0.25">
      <c r="L255968" s="472"/>
      <c r="M255968" s="472"/>
    </row>
    <row r="255969" spans="12:13" x14ac:dyDescent="0.25">
      <c r="L255969" s="472"/>
      <c r="M255969" s="472"/>
    </row>
    <row r="256041" spans="12:13" x14ac:dyDescent="0.25">
      <c r="L256041" s="472"/>
      <c r="M256041" s="472"/>
    </row>
    <row r="256042" spans="12:13" x14ac:dyDescent="0.25">
      <c r="L256042" s="472"/>
      <c r="M256042" s="472"/>
    </row>
    <row r="256043" spans="12:13" x14ac:dyDescent="0.25">
      <c r="L256043" s="472"/>
      <c r="M256043" s="472"/>
    </row>
    <row r="256115" spans="12:13" x14ac:dyDescent="0.25">
      <c r="L256115" s="472"/>
      <c r="M256115" s="472"/>
    </row>
    <row r="256116" spans="12:13" x14ac:dyDescent="0.25">
      <c r="L256116" s="472"/>
      <c r="M256116" s="472"/>
    </row>
    <row r="256117" spans="12:13" x14ac:dyDescent="0.25">
      <c r="L256117" s="472"/>
      <c r="M256117" s="472"/>
    </row>
    <row r="256189" spans="12:13" x14ac:dyDescent="0.25">
      <c r="L256189" s="472"/>
      <c r="M256189" s="472"/>
    </row>
    <row r="256190" spans="12:13" x14ac:dyDescent="0.25">
      <c r="L256190" s="472"/>
      <c r="M256190" s="472"/>
    </row>
    <row r="256191" spans="12:13" x14ac:dyDescent="0.25">
      <c r="L256191" s="472"/>
      <c r="M256191" s="472"/>
    </row>
    <row r="256263" spans="12:13" x14ac:dyDescent="0.25">
      <c r="L256263" s="472"/>
      <c r="M256263" s="472"/>
    </row>
    <row r="256264" spans="12:13" x14ac:dyDescent="0.25">
      <c r="L256264" s="472"/>
      <c r="M256264" s="472"/>
    </row>
    <row r="256265" spans="12:13" x14ac:dyDescent="0.25">
      <c r="L256265" s="472"/>
      <c r="M256265" s="472"/>
    </row>
    <row r="256337" spans="12:13" x14ac:dyDescent="0.25">
      <c r="L256337" s="472"/>
      <c r="M256337" s="472"/>
    </row>
    <row r="256338" spans="12:13" x14ac:dyDescent="0.25">
      <c r="L256338" s="472"/>
      <c r="M256338" s="472"/>
    </row>
    <row r="256339" spans="12:13" x14ac:dyDescent="0.25">
      <c r="L256339" s="472"/>
      <c r="M256339" s="472"/>
    </row>
    <row r="256411" spans="12:13" x14ac:dyDescent="0.25">
      <c r="L256411" s="472"/>
      <c r="M256411" s="472"/>
    </row>
    <row r="256412" spans="12:13" x14ac:dyDescent="0.25">
      <c r="L256412" s="472"/>
      <c r="M256412" s="472"/>
    </row>
    <row r="256413" spans="12:13" x14ac:dyDescent="0.25">
      <c r="L256413" s="472"/>
      <c r="M256413" s="472"/>
    </row>
    <row r="256485" spans="12:13" x14ac:dyDescent="0.25">
      <c r="L256485" s="472"/>
      <c r="M256485" s="472"/>
    </row>
    <row r="256486" spans="12:13" x14ac:dyDescent="0.25">
      <c r="L256486" s="472"/>
      <c r="M256486" s="472"/>
    </row>
    <row r="256487" spans="12:13" x14ac:dyDescent="0.25">
      <c r="L256487" s="472"/>
      <c r="M256487" s="472"/>
    </row>
    <row r="256559" spans="12:13" x14ac:dyDescent="0.25">
      <c r="L256559" s="472"/>
      <c r="M256559" s="472"/>
    </row>
    <row r="256560" spans="12:13" x14ac:dyDescent="0.25">
      <c r="L256560" s="472"/>
      <c r="M256560" s="472"/>
    </row>
    <row r="256561" spans="12:13" x14ac:dyDescent="0.25">
      <c r="L256561" s="472"/>
      <c r="M256561" s="472"/>
    </row>
    <row r="256633" spans="12:13" x14ac:dyDescent="0.25">
      <c r="L256633" s="472"/>
      <c r="M256633" s="472"/>
    </row>
    <row r="256634" spans="12:13" x14ac:dyDescent="0.25">
      <c r="L256634" s="472"/>
      <c r="M256634" s="472"/>
    </row>
    <row r="256635" spans="12:13" x14ac:dyDescent="0.25">
      <c r="L256635" s="472"/>
      <c r="M256635" s="472"/>
    </row>
    <row r="256707" spans="12:13" x14ac:dyDescent="0.25">
      <c r="L256707" s="472"/>
      <c r="M256707" s="472"/>
    </row>
    <row r="256708" spans="12:13" x14ac:dyDescent="0.25">
      <c r="L256708" s="472"/>
      <c r="M256708" s="472"/>
    </row>
    <row r="256709" spans="12:13" x14ac:dyDescent="0.25">
      <c r="L256709" s="472"/>
      <c r="M256709" s="472"/>
    </row>
    <row r="256781" spans="12:13" x14ac:dyDescent="0.25">
      <c r="L256781" s="472"/>
      <c r="M256781" s="472"/>
    </row>
    <row r="256782" spans="12:13" x14ac:dyDescent="0.25">
      <c r="L256782" s="472"/>
      <c r="M256782" s="472"/>
    </row>
    <row r="256783" spans="12:13" x14ac:dyDescent="0.25">
      <c r="L256783" s="472"/>
      <c r="M256783" s="472"/>
    </row>
    <row r="256855" spans="12:13" x14ac:dyDescent="0.25">
      <c r="L256855" s="472"/>
      <c r="M256855" s="472"/>
    </row>
    <row r="256856" spans="12:13" x14ac:dyDescent="0.25">
      <c r="L256856" s="472"/>
      <c r="M256856" s="472"/>
    </row>
    <row r="256857" spans="12:13" x14ac:dyDescent="0.25">
      <c r="L256857" s="472"/>
      <c r="M256857" s="472"/>
    </row>
    <row r="256929" spans="12:13" x14ac:dyDescent="0.25">
      <c r="L256929" s="472"/>
      <c r="M256929" s="472"/>
    </row>
    <row r="256930" spans="12:13" x14ac:dyDescent="0.25">
      <c r="L256930" s="472"/>
      <c r="M256930" s="472"/>
    </row>
    <row r="256931" spans="12:13" x14ac:dyDescent="0.25">
      <c r="L256931" s="472"/>
      <c r="M256931" s="472"/>
    </row>
    <row r="257003" spans="12:13" x14ac:dyDescent="0.25">
      <c r="L257003" s="472"/>
      <c r="M257003" s="472"/>
    </row>
    <row r="257004" spans="12:13" x14ac:dyDescent="0.25">
      <c r="L257004" s="472"/>
      <c r="M257004" s="472"/>
    </row>
    <row r="257005" spans="12:13" x14ac:dyDescent="0.25">
      <c r="L257005" s="472"/>
      <c r="M257005" s="472"/>
    </row>
    <row r="257077" spans="12:13" x14ac:dyDescent="0.25">
      <c r="L257077" s="472"/>
      <c r="M257077" s="472"/>
    </row>
    <row r="257078" spans="12:13" x14ac:dyDescent="0.25">
      <c r="L257078" s="472"/>
      <c r="M257078" s="472"/>
    </row>
    <row r="257079" spans="12:13" x14ac:dyDescent="0.25">
      <c r="L257079" s="472"/>
      <c r="M257079" s="472"/>
    </row>
    <row r="257151" spans="12:13" x14ac:dyDescent="0.25">
      <c r="L257151" s="472"/>
      <c r="M257151" s="472"/>
    </row>
    <row r="257152" spans="12:13" x14ac:dyDescent="0.25">
      <c r="L257152" s="472"/>
      <c r="M257152" s="472"/>
    </row>
    <row r="257153" spans="12:13" x14ac:dyDescent="0.25">
      <c r="L257153" s="472"/>
      <c r="M257153" s="472"/>
    </row>
    <row r="257225" spans="12:13" x14ac:dyDescent="0.25">
      <c r="L257225" s="472"/>
      <c r="M257225" s="472"/>
    </row>
    <row r="257226" spans="12:13" x14ac:dyDescent="0.25">
      <c r="L257226" s="472"/>
      <c r="M257226" s="472"/>
    </row>
    <row r="257227" spans="12:13" x14ac:dyDescent="0.25">
      <c r="L257227" s="472"/>
      <c r="M257227" s="472"/>
    </row>
    <row r="257299" spans="12:13" x14ac:dyDescent="0.25">
      <c r="L257299" s="472"/>
      <c r="M257299" s="472"/>
    </row>
    <row r="257300" spans="12:13" x14ac:dyDescent="0.25">
      <c r="L257300" s="472"/>
      <c r="M257300" s="472"/>
    </row>
    <row r="257301" spans="12:13" x14ac:dyDescent="0.25">
      <c r="L257301" s="472"/>
      <c r="M257301" s="472"/>
    </row>
    <row r="257373" spans="12:13" x14ac:dyDescent="0.25">
      <c r="L257373" s="472"/>
      <c r="M257373" s="472"/>
    </row>
    <row r="257374" spans="12:13" x14ac:dyDescent="0.25">
      <c r="L257374" s="472"/>
      <c r="M257374" s="472"/>
    </row>
    <row r="257375" spans="12:13" x14ac:dyDescent="0.25">
      <c r="L257375" s="472"/>
      <c r="M257375" s="472"/>
    </row>
    <row r="257447" spans="12:13" x14ac:dyDescent="0.25">
      <c r="L257447" s="472"/>
      <c r="M257447" s="472"/>
    </row>
    <row r="257448" spans="12:13" x14ac:dyDescent="0.25">
      <c r="L257448" s="472"/>
      <c r="M257448" s="472"/>
    </row>
    <row r="257449" spans="12:13" x14ac:dyDescent="0.25">
      <c r="L257449" s="472"/>
      <c r="M257449" s="472"/>
    </row>
    <row r="257521" spans="12:13" x14ac:dyDescent="0.25">
      <c r="L257521" s="472"/>
      <c r="M257521" s="472"/>
    </row>
    <row r="257522" spans="12:13" x14ac:dyDescent="0.25">
      <c r="L257522" s="472"/>
      <c r="M257522" s="472"/>
    </row>
    <row r="257523" spans="12:13" x14ac:dyDescent="0.25">
      <c r="L257523" s="472"/>
      <c r="M257523" s="472"/>
    </row>
    <row r="257595" spans="12:13" x14ac:dyDescent="0.25">
      <c r="L257595" s="472"/>
      <c r="M257595" s="472"/>
    </row>
    <row r="257596" spans="12:13" x14ac:dyDescent="0.25">
      <c r="L257596" s="472"/>
      <c r="M257596" s="472"/>
    </row>
    <row r="257597" spans="12:13" x14ac:dyDescent="0.25">
      <c r="L257597" s="472"/>
      <c r="M257597" s="472"/>
    </row>
    <row r="257669" spans="12:13" x14ac:dyDescent="0.25">
      <c r="L257669" s="472"/>
      <c r="M257669" s="472"/>
    </row>
    <row r="257670" spans="12:13" x14ac:dyDescent="0.25">
      <c r="L257670" s="472"/>
      <c r="M257670" s="472"/>
    </row>
    <row r="257671" spans="12:13" x14ac:dyDescent="0.25">
      <c r="L257671" s="472"/>
      <c r="M257671" s="472"/>
    </row>
    <row r="257743" spans="12:13" x14ac:dyDescent="0.25">
      <c r="L257743" s="472"/>
      <c r="M257743" s="472"/>
    </row>
    <row r="257744" spans="12:13" x14ac:dyDescent="0.25">
      <c r="L257744" s="472"/>
      <c r="M257744" s="472"/>
    </row>
    <row r="257745" spans="12:13" x14ac:dyDescent="0.25">
      <c r="L257745" s="472"/>
      <c r="M257745" s="472"/>
    </row>
    <row r="257817" spans="12:13" x14ac:dyDescent="0.25">
      <c r="L257817" s="472"/>
      <c r="M257817" s="472"/>
    </row>
    <row r="257818" spans="12:13" x14ac:dyDescent="0.25">
      <c r="L257818" s="472"/>
      <c r="M257818" s="472"/>
    </row>
    <row r="257819" spans="12:13" x14ac:dyDescent="0.25">
      <c r="L257819" s="472"/>
      <c r="M257819" s="472"/>
    </row>
    <row r="257891" spans="12:13" x14ac:dyDescent="0.25">
      <c r="L257891" s="472"/>
      <c r="M257891" s="472"/>
    </row>
    <row r="257892" spans="12:13" x14ac:dyDescent="0.25">
      <c r="L257892" s="472"/>
      <c r="M257892" s="472"/>
    </row>
    <row r="257893" spans="12:13" x14ac:dyDescent="0.25">
      <c r="L257893" s="472"/>
      <c r="M257893" s="472"/>
    </row>
    <row r="257965" spans="12:13" x14ac:dyDescent="0.25">
      <c r="L257965" s="472"/>
      <c r="M257965" s="472"/>
    </row>
    <row r="257966" spans="12:13" x14ac:dyDescent="0.25">
      <c r="L257966" s="472"/>
      <c r="M257966" s="472"/>
    </row>
    <row r="257967" spans="12:13" x14ac:dyDescent="0.25">
      <c r="L257967" s="472"/>
      <c r="M257967" s="472"/>
    </row>
    <row r="258039" spans="12:13" x14ac:dyDescent="0.25">
      <c r="L258039" s="472"/>
      <c r="M258039" s="472"/>
    </row>
    <row r="258040" spans="12:13" x14ac:dyDescent="0.25">
      <c r="L258040" s="472"/>
      <c r="M258040" s="472"/>
    </row>
    <row r="258041" spans="12:13" x14ac:dyDescent="0.25">
      <c r="L258041" s="472"/>
      <c r="M258041" s="472"/>
    </row>
    <row r="258113" spans="12:13" x14ac:dyDescent="0.25">
      <c r="L258113" s="472"/>
      <c r="M258113" s="472"/>
    </row>
    <row r="258114" spans="12:13" x14ac:dyDescent="0.25">
      <c r="L258114" s="472"/>
      <c r="M258114" s="472"/>
    </row>
    <row r="258115" spans="12:13" x14ac:dyDescent="0.25">
      <c r="L258115" s="472"/>
      <c r="M258115" s="472"/>
    </row>
    <row r="258187" spans="12:13" x14ac:dyDescent="0.25">
      <c r="L258187" s="472"/>
      <c r="M258187" s="472"/>
    </row>
    <row r="258188" spans="12:13" x14ac:dyDescent="0.25">
      <c r="L258188" s="472"/>
      <c r="M258188" s="472"/>
    </row>
    <row r="258189" spans="12:13" x14ac:dyDescent="0.25">
      <c r="L258189" s="472"/>
      <c r="M258189" s="472"/>
    </row>
    <row r="258261" spans="12:13" x14ac:dyDescent="0.25">
      <c r="L258261" s="472"/>
      <c r="M258261" s="472"/>
    </row>
    <row r="258262" spans="12:13" x14ac:dyDescent="0.25">
      <c r="L258262" s="472"/>
      <c r="M258262" s="472"/>
    </row>
    <row r="258263" spans="12:13" x14ac:dyDescent="0.25">
      <c r="L258263" s="472"/>
      <c r="M258263" s="472"/>
    </row>
    <row r="258335" spans="12:13" x14ac:dyDescent="0.25">
      <c r="L258335" s="472"/>
      <c r="M258335" s="472"/>
    </row>
    <row r="258336" spans="12:13" x14ac:dyDescent="0.25">
      <c r="L258336" s="472"/>
      <c r="M258336" s="472"/>
    </row>
    <row r="258337" spans="12:13" x14ac:dyDescent="0.25">
      <c r="L258337" s="472"/>
      <c r="M258337" s="472"/>
    </row>
    <row r="258409" spans="12:13" x14ac:dyDescent="0.25">
      <c r="L258409" s="472"/>
      <c r="M258409" s="472"/>
    </row>
    <row r="258410" spans="12:13" x14ac:dyDescent="0.25">
      <c r="L258410" s="472"/>
      <c r="M258410" s="472"/>
    </row>
    <row r="258411" spans="12:13" x14ac:dyDescent="0.25">
      <c r="L258411" s="472"/>
      <c r="M258411" s="472"/>
    </row>
    <row r="258483" spans="12:13" x14ac:dyDescent="0.25">
      <c r="L258483" s="472"/>
      <c r="M258483" s="472"/>
    </row>
    <row r="258484" spans="12:13" x14ac:dyDescent="0.25">
      <c r="L258484" s="472"/>
      <c r="M258484" s="472"/>
    </row>
    <row r="258485" spans="12:13" x14ac:dyDescent="0.25">
      <c r="L258485" s="472"/>
      <c r="M258485" s="472"/>
    </row>
    <row r="258557" spans="12:13" x14ac:dyDescent="0.25">
      <c r="L258557" s="472"/>
      <c r="M258557" s="472"/>
    </row>
    <row r="258558" spans="12:13" x14ac:dyDescent="0.25">
      <c r="L258558" s="472"/>
      <c r="M258558" s="472"/>
    </row>
    <row r="258559" spans="12:13" x14ac:dyDescent="0.25">
      <c r="L258559" s="472"/>
      <c r="M258559" s="472"/>
    </row>
    <row r="258631" spans="12:13" x14ac:dyDescent="0.25">
      <c r="L258631" s="472"/>
      <c r="M258631" s="472"/>
    </row>
    <row r="258632" spans="12:13" x14ac:dyDescent="0.25">
      <c r="L258632" s="472"/>
      <c r="M258632" s="472"/>
    </row>
    <row r="258633" spans="12:13" x14ac:dyDescent="0.25">
      <c r="L258633" s="472"/>
      <c r="M258633" s="472"/>
    </row>
    <row r="258705" spans="12:13" x14ac:dyDescent="0.25">
      <c r="L258705" s="472"/>
      <c r="M258705" s="472"/>
    </row>
    <row r="258706" spans="12:13" x14ac:dyDescent="0.25">
      <c r="L258706" s="472"/>
      <c r="M258706" s="472"/>
    </row>
    <row r="258707" spans="12:13" x14ac:dyDescent="0.25">
      <c r="L258707" s="472"/>
      <c r="M258707" s="472"/>
    </row>
    <row r="258779" spans="12:13" x14ac:dyDescent="0.25">
      <c r="L258779" s="472"/>
      <c r="M258779" s="472"/>
    </row>
    <row r="258780" spans="12:13" x14ac:dyDescent="0.25">
      <c r="L258780" s="472"/>
      <c r="M258780" s="472"/>
    </row>
    <row r="258781" spans="12:13" x14ac:dyDescent="0.25">
      <c r="L258781" s="472"/>
      <c r="M258781" s="472"/>
    </row>
    <row r="258853" spans="12:13" x14ac:dyDescent="0.25">
      <c r="L258853" s="472"/>
      <c r="M258853" s="472"/>
    </row>
    <row r="258854" spans="12:13" x14ac:dyDescent="0.25">
      <c r="L258854" s="472"/>
      <c r="M258854" s="472"/>
    </row>
    <row r="258855" spans="12:13" x14ac:dyDescent="0.25">
      <c r="L258855" s="472"/>
      <c r="M258855" s="472"/>
    </row>
    <row r="258927" spans="12:13" x14ac:dyDescent="0.25">
      <c r="L258927" s="472"/>
      <c r="M258927" s="472"/>
    </row>
    <row r="258928" spans="12:13" x14ac:dyDescent="0.25">
      <c r="L258928" s="472"/>
      <c r="M258928" s="472"/>
    </row>
    <row r="258929" spans="12:13" x14ac:dyDescent="0.25">
      <c r="L258929" s="472"/>
      <c r="M258929" s="472"/>
    </row>
    <row r="259001" spans="12:13" x14ac:dyDescent="0.25">
      <c r="L259001" s="472"/>
      <c r="M259001" s="472"/>
    </row>
    <row r="259002" spans="12:13" x14ac:dyDescent="0.25">
      <c r="L259002" s="472"/>
      <c r="M259002" s="472"/>
    </row>
    <row r="259003" spans="12:13" x14ac:dyDescent="0.25">
      <c r="L259003" s="472"/>
      <c r="M259003" s="472"/>
    </row>
    <row r="259075" spans="12:13" x14ac:dyDescent="0.25">
      <c r="L259075" s="472"/>
      <c r="M259075" s="472"/>
    </row>
    <row r="259076" spans="12:13" x14ac:dyDescent="0.25">
      <c r="L259076" s="472"/>
      <c r="M259076" s="472"/>
    </row>
    <row r="259077" spans="12:13" x14ac:dyDescent="0.25">
      <c r="L259077" s="472"/>
      <c r="M259077" s="472"/>
    </row>
    <row r="259149" spans="12:13" x14ac:dyDescent="0.25">
      <c r="L259149" s="472"/>
      <c r="M259149" s="472"/>
    </row>
    <row r="259150" spans="12:13" x14ac:dyDescent="0.25">
      <c r="L259150" s="472"/>
      <c r="M259150" s="472"/>
    </row>
    <row r="259151" spans="12:13" x14ac:dyDescent="0.25">
      <c r="L259151" s="472"/>
      <c r="M259151" s="472"/>
    </row>
    <row r="259223" spans="12:13" x14ac:dyDescent="0.25">
      <c r="L259223" s="472"/>
      <c r="M259223" s="472"/>
    </row>
    <row r="259224" spans="12:13" x14ac:dyDescent="0.25">
      <c r="L259224" s="472"/>
      <c r="M259224" s="472"/>
    </row>
    <row r="259225" spans="12:13" x14ac:dyDescent="0.25">
      <c r="L259225" s="472"/>
      <c r="M259225" s="472"/>
    </row>
    <row r="259297" spans="12:13" x14ac:dyDescent="0.25">
      <c r="L259297" s="472"/>
      <c r="M259297" s="472"/>
    </row>
    <row r="259298" spans="12:13" x14ac:dyDescent="0.25">
      <c r="L259298" s="472"/>
      <c r="M259298" s="472"/>
    </row>
    <row r="259299" spans="12:13" x14ac:dyDescent="0.25">
      <c r="L259299" s="472"/>
      <c r="M259299" s="472"/>
    </row>
    <row r="259371" spans="12:13" x14ac:dyDescent="0.25">
      <c r="L259371" s="472"/>
      <c r="M259371" s="472"/>
    </row>
    <row r="259372" spans="12:13" x14ac:dyDescent="0.25">
      <c r="L259372" s="472"/>
      <c r="M259372" s="472"/>
    </row>
    <row r="259373" spans="12:13" x14ac:dyDescent="0.25">
      <c r="L259373" s="472"/>
      <c r="M259373" s="472"/>
    </row>
    <row r="259445" spans="12:13" x14ac:dyDescent="0.25">
      <c r="L259445" s="472"/>
      <c r="M259445" s="472"/>
    </row>
    <row r="259446" spans="12:13" x14ac:dyDescent="0.25">
      <c r="L259446" s="472"/>
      <c r="M259446" s="472"/>
    </row>
    <row r="259447" spans="12:13" x14ac:dyDescent="0.25">
      <c r="L259447" s="472"/>
      <c r="M259447" s="472"/>
    </row>
    <row r="259519" spans="12:13" x14ac:dyDescent="0.25">
      <c r="L259519" s="472"/>
      <c r="M259519" s="472"/>
    </row>
    <row r="259520" spans="12:13" x14ac:dyDescent="0.25">
      <c r="L259520" s="472"/>
      <c r="M259520" s="472"/>
    </row>
    <row r="259521" spans="12:13" x14ac:dyDescent="0.25">
      <c r="L259521" s="472"/>
      <c r="M259521" s="472"/>
    </row>
    <row r="259593" spans="12:13" x14ac:dyDescent="0.25">
      <c r="L259593" s="472"/>
      <c r="M259593" s="472"/>
    </row>
    <row r="259594" spans="12:13" x14ac:dyDescent="0.25">
      <c r="L259594" s="472"/>
      <c r="M259594" s="472"/>
    </row>
    <row r="259595" spans="12:13" x14ac:dyDescent="0.25">
      <c r="L259595" s="472"/>
      <c r="M259595" s="472"/>
    </row>
    <row r="259667" spans="12:13" x14ac:dyDescent="0.25">
      <c r="L259667" s="472"/>
      <c r="M259667" s="472"/>
    </row>
    <row r="259668" spans="12:13" x14ac:dyDescent="0.25">
      <c r="L259668" s="472"/>
      <c r="M259668" s="472"/>
    </row>
    <row r="259669" spans="12:13" x14ac:dyDescent="0.25">
      <c r="L259669" s="472"/>
      <c r="M259669" s="472"/>
    </row>
    <row r="259741" spans="12:13" x14ac:dyDescent="0.25">
      <c r="L259741" s="472"/>
      <c r="M259741" s="472"/>
    </row>
    <row r="259742" spans="12:13" x14ac:dyDescent="0.25">
      <c r="L259742" s="472"/>
      <c r="M259742" s="472"/>
    </row>
    <row r="259743" spans="12:13" x14ac:dyDescent="0.25">
      <c r="L259743" s="472"/>
      <c r="M259743" s="472"/>
    </row>
    <row r="259815" spans="12:13" x14ac:dyDescent="0.25">
      <c r="L259815" s="472"/>
      <c r="M259815" s="472"/>
    </row>
    <row r="259816" spans="12:13" x14ac:dyDescent="0.25">
      <c r="L259816" s="472"/>
      <c r="M259816" s="472"/>
    </row>
    <row r="259817" spans="12:13" x14ac:dyDescent="0.25">
      <c r="L259817" s="472"/>
      <c r="M259817" s="472"/>
    </row>
    <row r="259889" spans="12:13" x14ac:dyDescent="0.25">
      <c r="L259889" s="472"/>
      <c r="M259889" s="472"/>
    </row>
    <row r="259890" spans="12:13" x14ac:dyDescent="0.25">
      <c r="L259890" s="472"/>
      <c r="M259890" s="472"/>
    </row>
    <row r="259891" spans="12:13" x14ac:dyDescent="0.25">
      <c r="L259891" s="472"/>
      <c r="M259891" s="472"/>
    </row>
    <row r="259963" spans="12:13" x14ac:dyDescent="0.25">
      <c r="L259963" s="472"/>
      <c r="M259963" s="472"/>
    </row>
    <row r="259964" spans="12:13" x14ac:dyDescent="0.25">
      <c r="L259964" s="472"/>
      <c r="M259964" s="472"/>
    </row>
    <row r="259965" spans="12:13" x14ac:dyDescent="0.25">
      <c r="L259965" s="472"/>
      <c r="M259965" s="472"/>
    </row>
    <row r="260037" spans="12:13" x14ac:dyDescent="0.25">
      <c r="L260037" s="472"/>
      <c r="M260037" s="472"/>
    </row>
    <row r="260038" spans="12:13" x14ac:dyDescent="0.25">
      <c r="L260038" s="472"/>
      <c r="M260038" s="472"/>
    </row>
    <row r="260039" spans="12:13" x14ac:dyDescent="0.25">
      <c r="L260039" s="472"/>
      <c r="M260039" s="472"/>
    </row>
    <row r="260111" spans="12:13" x14ac:dyDescent="0.25">
      <c r="L260111" s="472"/>
      <c r="M260111" s="472"/>
    </row>
    <row r="260112" spans="12:13" x14ac:dyDescent="0.25">
      <c r="L260112" s="472"/>
      <c r="M260112" s="472"/>
    </row>
    <row r="260113" spans="12:13" x14ac:dyDescent="0.25">
      <c r="L260113" s="472"/>
      <c r="M260113" s="472"/>
    </row>
    <row r="260185" spans="12:13" x14ac:dyDescent="0.25">
      <c r="L260185" s="472"/>
      <c r="M260185" s="472"/>
    </row>
    <row r="260186" spans="12:13" x14ac:dyDescent="0.25">
      <c r="L260186" s="472"/>
      <c r="M260186" s="472"/>
    </row>
    <row r="260187" spans="12:13" x14ac:dyDescent="0.25">
      <c r="L260187" s="472"/>
      <c r="M260187" s="472"/>
    </row>
    <row r="260259" spans="12:13" x14ac:dyDescent="0.25">
      <c r="L260259" s="472"/>
      <c r="M260259" s="472"/>
    </row>
    <row r="260260" spans="12:13" x14ac:dyDescent="0.25">
      <c r="L260260" s="472"/>
      <c r="M260260" s="472"/>
    </row>
    <row r="260261" spans="12:13" x14ac:dyDescent="0.25">
      <c r="L260261" s="472"/>
      <c r="M260261" s="472"/>
    </row>
    <row r="260333" spans="12:13" x14ac:dyDescent="0.25">
      <c r="L260333" s="472"/>
      <c r="M260333" s="472"/>
    </row>
    <row r="260334" spans="12:13" x14ac:dyDescent="0.25">
      <c r="L260334" s="472"/>
      <c r="M260334" s="472"/>
    </row>
    <row r="260335" spans="12:13" x14ac:dyDescent="0.25">
      <c r="L260335" s="472"/>
      <c r="M260335" s="472"/>
    </row>
    <row r="260407" spans="12:13" x14ac:dyDescent="0.25">
      <c r="L260407" s="472"/>
      <c r="M260407" s="472"/>
    </row>
    <row r="260408" spans="12:13" x14ac:dyDescent="0.25">
      <c r="L260408" s="472"/>
      <c r="M260408" s="472"/>
    </row>
    <row r="260409" spans="12:13" x14ac:dyDescent="0.25">
      <c r="L260409" s="472"/>
      <c r="M260409" s="472"/>
    </row>
    <row r="260481" spans="12:13" x14ac:dyDescent="0.25">
      <c r="L260481" s="472"/>
      <c r="M260481" s="472"/>
    </row>
    <row r="260482" spans="12:13" x14ac:dyDescent="0.25">
      <c r="L260482" s="472"/>
      <c r="M260482" s="472"/>
    </row>
    <row r="260483" spans="12:13" x14ac:dyDescent="0.25">
      <c r="L260483" s="472"/>
      <c r="M260483" s="472"/>
    </row>
    <row r="260555" spans="12:13" x14ac:dyDescent="0.25">
      <c r="L260555" s="472"/>
      <c r="M260555" s="472"/>
    </row>
    <row r="260556" spans="12:13" x14ac:dyDescent="0.25">
      <c r="L260556" s="472"/>
      <c r="M260556" s="472"/>
    </row>
    <row r="260557" spans="12:13" x14ac:dyDescent="0.25">
      <c r="L260557" s="472"/>
      <c r="M260557" s="472"/>
    </row>
    <row r="260629" spans="12:13" x14ac:dyDescent="0.25">
      <c r="L260629" s="472"/>
      <c r="M260629" s="472"/>
    </row>
    <row r="260630" spans="12:13" x14ac:dyDescent="0.25">
      <c r="L260630" s="472"/>
      <c r="M260630" s="472"/>
    </row>
    <row r="260631" spans="12:13" x14ac:dyDescent="0.25">
      <c r="L260631" s="472"/>
      <c r="M260631" s="472"/>
    </row>
    <row r="260703" spans="12:13" x14ac:dyDescent="0.25">
      <c r="L260703" s="472"/>
      <c r="M260703" s="472"/>
    </row>
    <row r="260704" spans="12:13" x14ac:dyDescent="0.25">
      <c r="L260704" s="472"/>
      <c r="M260704" s="472"/>
    </row>
    <row r="260705" spans="12:13" x14ac:dyDescent="0.25">
      <c r="L260705" s="472"/>
      <c r="M260705" s="472"/>
    </row>
    <row r="260777" spans="12:13" x14ac:dyDescent="0.25">
      <c r="L260777" s="472"/>
      <c r="M260777" s="472"/>
    </row>
    <row r="260778" spans="12:13" x14ac:dyDescent="0.25">
      <c r="L260778" s="472"/>
      <c r="M260778" s="472"/>
    </row>
    <row r="260779" spans="12:13" x14ac:dyDescent="0.25">
      <c r="L260779" s="472"/>
      <c r="M260779" s="472"/>
    </row>
    <row r="260851" spans="12:13" x14ac:dyDescent="0.25">
      <c r="L260851" s="472"/>
      <c r="M260851" s="472"/>
    </row>
    <row r="260852" spans="12:13" x14ac:dyDescent="0.25">
      <c r="L260852" s="472"/>
      <c r="M260852" s="472"/>
    </row>
    <row r="260853" spans="12:13" x14ac:dyDescent="0.25">
      <c r="L260853" s="472"/>
      <c r="M260853" s="472"/>
    </row>
    <row r="260925" spans="12:13" x14ac:dyDescent="0.25">
      <c r="L260925" s="472"/>
      <c r="M260925" s="472"/>
    </row>
    <row r="260926" spans="12:13" x14ac:dyDescent="0.25">
      <c r="L260926" s="472"/>
      <c r="M260926" s="472"/>
    </row>
    <row r="260927" spans="12:13" x14ac:dyDescent="0.25">
      <c r="L260927" s="472"/>
      <c r="M260927" s="472"/>
    </row>
    <row r="260999" spans="12:13" x14ac:dyDescent="0.25">
      <c r="L260999" s="472"/>
      <c r="M260999" s="472"/>
    </row>
    <row r="261000" spans="12:13" x14ac:dyDescent="0.25">
      <c r="L261000" s="472"/>
      <c r="M261000" s="472"/>
    </row>
    <row r="261001" spans="12:13" x14ac:dyDescent="0.25">
      <c r="L261001" s="472"/>
      <c r="M261001" s="472"/>
    </row>
    <row r="261073" spans="12:13" x14ac:dyDescent="0.25">
      <c r="L261073" s="472"/>
      <c r="M261073" s="472"/>
    </row>
    <row r="261074" spans="12:13" x14ac:dyDescent="0.25">
      <c r="L261074" s="472"/>
      <c r="M261074" s="472"/>
    </row>
    <row r="261075" spans="12:13" x14ac:dyDescent="0.25">
      <c r="L261075" s="472"/>
      <c r="M261075" s="472"/>
    </row>
    <row r="261147" spans="12:13" x14ac:dyDescent="0.25">
      <c r="L261147" s="472"/>
      <c r="M261147" s="472"/>
    </row>
    <row r="261148" spans="12:13" x14ac:dyDescent="0.25">
      <c r="L261148" s="472"/>
      <c r="M261148" s="472"/>
    </row>
    <row r="261149" spans="12:13" x14ac:dyDescent="0.25">
      <c r="L261149" s="472"/>
      <c r="M261149" s="472"/>
    </row>
    <row r="261221" spans="12:13" x14ac:dyDescent="0.25">
      <c r="L261221" s="472"/>
      <c r="M261221" s="472"/>
    </row>
    <row r="261222" spans="12:13" x14ac:dyDescent="0.25">
      <c r="L261222" s="472"/>
      <c r="M261222" s="472"/>
    </row>
    <row r="261223" spans="12:13" x14ac:dyDescent="0.25">
      <c r="L261223" s="472"/>
      <c r="M261223" s="472"/>
    </row>
    <row r="261295" spans="12:13" x14ac:dyDescent="0.25">
      <c r="L261295" s="472"/>
      <c r="M261295" s="472"/>
    </row>
    <row r="261296" spans="12:13" x14ac:dyDescent="0.25">
      <c r="L261296" s="472"/>
      <c r="M261296" s="472"/>
    </row>
    <row r="261297" spans="12:13" x14ac:dyDescent="0.25">
      <c r="L261297" s="472"/>
      <c r="M261297" s="472"/>
    </row>
    <row r="261369" spans="12:13" x14ac:dyDescent="0.25">
      <c r="L261369" s="472"/>
      <c r="M261369" s="472"/>
    </row>
    <row r="261370" spans="12:13" x14ac:dyDescent="0.25">
      <c r="L261370" s="472"/>
      <c r="M261370" s="472"/>
    </row>
    <row r="261371" spans="12:13" x14ac:dyDescent="0.25">
      <c r="L261371" s="472"/>
      <c r="M261371" s="472"/>
    </row>
    <row r="261443" spans="12:13" x14ac:dyDescent="0.25">
      <c r="L261443" s="472"/>
      <c r="M261443" s="472"/>
    </row>
    <row r="261444" spans="12:13" x14ac:dyDescent="0.25">
      <c r="L261444" s="472"/>
      <c r="M261444" s="472"/>
    </row>
    <row r="261445" spans="12:13" x14ac:dyDescent="0.25">
      <c r="L261445" s="472"/>
      <c r="M261445" s="472"/>
    </row>
    <row r="261517" spans="12:13" x14ac:dyDescent="0.25">
      <c r="L261517" s="472"/>
      <c r="M261517" s="472"/>
    </row>
    <row r="261518" spans="12:13" x14ac:dyDescent="0.25">
      <c r="L261518" s="472"/>
      <c r="M261518" s="472"/>
    </row>
    <row r="261519" spans="12:13" x14ac:dyDescent="0.25">
      <c r="L261519" s="472"/>
      <c r="M261519" s="472"/>
    </row>
    <row r="261591" spans="12:13" x14ac:dyDescent="0.25">
      <c r="L261591" s="472"/>
      <c r="M261591" s="472"/>
    </row>
    <row r="261592" spans="12:13" x14ac:dyDescent="0.25">
      <c r="L261592" s="472"/>
      <c r="M261592" s="472"/>
    </row>
    <row r="261593" spans="12:13" x14ac:dyDescent="0.25">
      <c r="L261593" s="472"/>
      <c r="M261593" s="472"/>
    </row>
    <row r="261665" spans="12:13" x14ac:dyDescent="0.25">
      <c r="L261665" s="472"/>
      <c r="M261665" s="472"/>
    </row>
    <row r="261666" spans="12:13" x14ac:dyDescent="0.25">
      <c r="L261666" s="472"/>
      <c r="M261666" s="472"/>
    </row>
    <row r="261667" spans="12:13" x14ac:dyDescent="0.25">
      <c r="L261667" s="472"/>
      <c r="M261667" s="472"/>
    </row>
    <row r="261739" spans="12:13" x14ac:dyDescent="0.25">
      <c r="L261739" s="472"/>
      <c r="M261739" s="472"/>
    </row>
    <row r="261740" spans="12:13" x14ac:dyDescent="0.25">
      <c r="L261740" s="472"/>
      <c r="M261740" s="472"/>
    </row>
    <row r="261741" spans="12:13" x14ac:dyDescent="0.25">
      <c r="L261741" s="472"/>
      <c r="M261741" s="472"/>
    </row>
    <row r="261813" spans="12:13" x14ac:dyDescent="0.25">
      <c r="L261813" s="472"/>
      <c r="M261813" s="472"/>
    </row>
    <row r="261814" spans="12:13" x14ac:dyDescent="0.25">
      <c r="L261814" s="472"/>
      <c r="M261814" s="472"/>
    </row>
    <row r="261815" spans="12:13" x14ac:dyDescent="0.25">
      <c r="L261815" s="472"/>
      <c r="M261815" s="472"/>
    </row>
    <row r="261887" spans="12:13" x14ac:dyDescent="0.25">
      <c r="L261887" s="472"/>
      <c r="M261887" s="472"/>
    </row>
    <row r="261888" spans="12:13" x14ac:dyDescent="0.25">
      <c r="L261888" s="472"/>
      <c r="M261888" s="472"/>
    </row>
    <row r="261889" spans="12:13" x14ac:dyDescent="0.25">
      <c r="L261889" s="472"/>
      <c r="M261889" s="472"/>
    </row>
    <row r="261961" spans="12:13" x14ac:dyDescent="0.25">
      <c r="L261961" s="472"/>
      <c r="M261961" s="472"/>
    </row>
    <row r="261962" spans="12:13" x14ac:dyDescent="0.25">
      <c r="L261962" s="472"/>
      <c r="M261962" s="472"/>
    </row>
    <row r="261963" spans="12:13" x14ac:dyDescent="0.25">
      <c r="L261963" s="472"/>
      <c r="M261963" s="472"/>
    </row>
    <row r="262035" spans="12:13" x14ac:dyDescent="0.25">
      <c r="L262035" s="472"/>
      <c r="M262035" s="472"/>
    </row>
    <row r="262036" spans="12:13" x14ac:dyDescent="0.25">
      <c r="L262036" s="472"/>
      <c r="M262036" s="472"/>
    </row>
    <row r="262037" spans="12:13" x14ac:dyDescent="0.25">
      <c r="L262037" s="472"/>
      <c r="M262037" s="472"/>
    </row>
    <row r="262109" spans="12:13" x14ac:dyDescent="0.25">
      <c r="L262109" s="472"/>
      <c r="M262109" s="472"/>
    </row>
    <row r="262110" spans="12:13" x14ac:dyDescent="0.25">
      <c r="L262110" s="472"/>
      <c r="M262110" s="472"/>
    </row>
    <row r="262111" spans="12:13" x14ac:dyDescent="0.25">
      <c r="L262111" s="472"/>
      <c r="M262111" s="472"/>
    </row>
    <row r="262183" spans="12:13" x14ac:dyDescent="0.25">
      <c r="L262183" s="472"/>
      <c r="M262183" s="472"/>
    </row>
    <row r="262184" spans="12:13" x14ac:dyDescent="0.25">
      <c r="L262184" s="472"/>
      <c r="M262184" s="472"/>
    </row>
    <row r="262185" spans="12:13" x14ac:dyDescent="0.25">
      <c r="L262185" s="472"/>
      <c r="M262185" s="472"/>
    </row>
    <row r="262257" spans="12:13" x14ac:dyDescent="0.25">
      <c r="L262257" s="472"/>
      <c r="M262257" s="472"/>
    </row>
    <row r="262258" spans="12:13" x14ac:dyDescent="0.25">
      <c r="L262258" s="472"/>
      <c r="M262258" s="472"/>
    </row>
    <row r="262259" spans="12:13" x14ac:dyDescent="0.25">
      <c r="L262259" s="472"/>
      <c r="M262259" s="472"/>
    </row>
    <row r="262331" spans="12:13" x14ac:dyDescent="0.25">
      <c r="L262331" s="472"/>
      <c r="M262331" s="472"/>
    </row>
    <row r="262332" spans="12:13" x14ac:dyDescent="0.25">
      <c r="L262332" s="472"/>
      <c r="M262332" s="472"/>
    </row>
    <row r="262333" spans="12:13" x14ac:dyDescent="0.25">
      <c r="L262333" s="472"/>
      <c r="M262333" s="472"/>
    </row>
    <row r="262405" spans="12:13" x14ac:dyDescent="0.25">
      <c r="L262405" s="472"/>
      <c r="M262405" s="472"/>
    </row>
    <row r="262406" spans="12:13" x14ac:dyDescent="0.25">
      <c r="L262406" s="472"/>
      <c r="M262406" s="472"/>
    </row>
    <row r="262407" spans="12:13" x14ac:dyDescent="0.25">
      <c r="L262407" s="472"/>
      <c r="M262407" s="472"/>
    </row>
    <row r="262479" spans="12:13" x14ac:dyDescent="0.25">
      <c r="L262479" s="472"/>
      <c r="M262479" s="472"/>
    </row>
    <row r="262480" spans="12:13" x14ac:dyDescent="0.25">
      <c r="L262480" s="472"/>
      <c r="M262480" s="472"/>
    </row>
    <row r="262481" spans="12:13" x14ac:dyDescent="0.25">
      <c r="L262481" s="472"/>
      <c r="M262481" s="472"/>
    </row>
    <row r="262553" spans="12:13" x14ac:dyDescent="0.25">
      <c r="L262553" s="472"/>
      <c r="M262553" s="472"/>
    </row>
    <row r="262554" spans="12:13" x14ac:dyDescent="0.25">
      <c r="L262554" s="472"/>
      <c r="M262554" s="472"/>
    </row>
    <row r="262555" spans="12:13" x14ac:dyDescent="0.25">
      <c r="L262555" s="472"/>
      <c r="M262555" s="472"/>
    </row>
    <row r="262627" spans="12:13" x14ac:dyDescent="0.25">
      <c r="L262627" s="472"/>
      <c r="M262627" s="472"/>
    </row>
    <row r="262628" spans="12:13" x14ac:dyDescent="0.25">
      <c r="L262628" s="472"/>
      <c r="M262628" s="472"/>
    </row>
    <row r="262629" spans="12:13" x14ac:dyDescent="0.25">
      <c r="L262629" s="472"/>
      <c r="M262629" s="472"/>
    </row>
    <row r="262701" spans="12:13" x14ac:dyDescent="0.25">
      <c r="L262701" s="472"/>
      <c r="M262701" s="472"/>
    </row>
    <row r="262702" spans="12:13" x14ac:dyDescent="0.25">
      <c r="L262702" s="472"/>
      <c r="M262702" s="472"/>
    </row>
    <row r="262703" spans="12:13" x14ac:dyDescent="0.25">
      <c r="L262703" s="472"/>
      <c r="M262703" s="472"/>
    </row>
    <row r="262775" spans="12:13" x14ac:dyDescent="0.25">
      <c r="L262775" s="472"/>
      <c r="M262775" s="472"/>
    </row>
    <row r="262776" spans="12:13" x14ac:dyDescent="0.25">
      <c r="L262776" s="472"/>
      <c r="M262776" s="472"/>
    </row>
    <row r="262777" spans="12:13" x14ac:dyDescent="0.25">
      <c r="L262777" s="472"/>
      <c r="M262777" s="472"/>
    </row>
    <row r="262849" spans="12:13" x14ac:dyDescent="0.25">
      <c r="L262849" s="472"/>
      <c r="M262849" s="472"/>
    </row>
    <row r="262850" spans="12:13" x14ac:dyDescent="0.25">
      <c r="L262850" s="472"/>
      <c r="M262850" s="472"/>
    </row>
    <row r="262851" spans="12:13" x14ac:dyDescent="0.25">
      <c r="L262851" s="472"/>
      <c r="M262851" s="472"/>
    </row>
    <row r="262923" spans="12:13" x14ac:dyDescent="0.25">
      <c r="L262923" s="472"/>
      <c r="M262923" s="472"/>
    </row>
    <row r="262924" spans="12:13" x14ac:dyDescent="0.25">
      <c r="L262924" s="472"/>
      <c r="M262924" s="472"/>
    </row>
    <row r="262925" spans="12:13" x14ac:dyDescent="0.25">
      <c r="L262925" s="472"/>
      <c r="M262925" s="472"/>
    </row>
    <row r="262997" spans="12:13" x14ac:dyDescent="0.25">
      <c r="L262997" s="472"/>
      <c r="M262997" s="472"/>
    </row>
    <row r="262998" spans="12:13" x14ac:dyDescent="0.25">
      <c r="L262998" s="472"/>
      <c r="M262998" s="472"/>
    </row>
    <row r="262999" spans="12:13" x14ac:dyDescent="0.25">
      <c r="L262999" s="472"/>
      <c r="M262999" s="472"/>
    </row>
    <row r="263071" spans="12:13" x14ac:dyDescent="0.25">
      <c r="L263071" s="472"/>
      <c r="M263071" s="472"/>
    </row>
    <row r="263072" spans="12:13" x14ac:dyDescent="0.25">
      <c r="L263072" s="472"/>
      <c r="M263072" s="472"/>
    </row>
    <row r="263073" spans="12:13" x14ac:dyDescent="0.25">
      <c r="L263073" s="472"/>
      <c r="M263073" s="472"/>
    </row>
    <row r="263145" spans="12:13" x14ac:dyDescent="0.25">
      <c r="L263145" s="472"/>
      <c r="M263145" s="472"/>
    </row>
    <row r="263146" spans="12:13" x14ac:dyDescent="0.25">
      <c r="L263146" s="472"/>
      <c r="M263146" s="472"/>
    </row>
    <row r="263147" spans="12:13" x14ac:dyDescent="0.25">
      <c r="L263147" s="472"/>
      <c r="M263147" s="472"/>
    </row>
    <row r="263219" spans="12:13" x14ac:dyDescent="0.25">
      <c r="L263219" s="472"/>
      <c r="M263219" s="472"/>
    </row>
    <row r="263220" spans="12:13" x14ac:dyDescent="0.25">
      <c r="L263220" s="472"/>
      <c r="M263220" s="472"/>
    </row>
    <row r="263221" spans="12:13" x14ac:dyDescent="0.25">
      <c r="L263221" s="472"/>
      <c r="M263221" s="472"/>
    </row>
    <row r="263293" spans="12:13" x14ac:dyDescent="0.25">
      <c r="L263293" s="472"/>
      <c r="M263293" s="472"/>
    </row>
    <row r="263294" spans="12:13" x14ac:dyDescent="0.25">
      <c r="L263294" s="472"/>
      <c r="M263294" s="472"/>
    </row>
    <row r="263295" spans="12:13" x14ac:dyDescent="0.25">
      <c r="L263295" s="472"/>
      <c r="M263295" s="472"/>
    </row>
    <row r="263367" spans="12:13" x14ac:dyDescent="0.25">
      <c r="L263367" s="472"/>
      <c r="M263367" s="472"/>
    </row>
    <row r="263368" spans="12:13" x14ac:dyDescent="0.25">
      <c r="L263368" s="472"/>
      <c r="M263368" s="472"/>
    </row>
    <row r="263369" spans="12:13" x14ac:dyDescent="0.25">
      <c r="L263369" s="472"/>
      <c r="M263369" s="472"/>
    </row>
    <row r="263441" spans="12:13" x14ac:dyDescent="0.25">
      <c r="L263441" s="472"/>
      <c r="M263441" s="472"/>
    </row>
    <row r="263442" spans="12:13" x14ac:dyDescent="0.25">
      <c r="L263442" s="472"/>
      <c r="M263442" s="472"/>
    </row>
    <row r="263443" spans="12:13" x14ac:dyDescent="0.25">
      <c r="L263443" s="472"/>
      <c r="M263443" s="472"/>
    </row>
    <row r="263515" spans="12:13" x14ac:dyDescent="0.25">
      <c r="L263515" s="472"/>
      <c r="M263515" s="472"/>
    </row>
    <row r="263516" spans="12:13" x14ac:dyDescent="0.25">
      <c r="L263516" s="472"/>
      <c r="M263516" s="472"/>
    </row>
    <row r="263517" spans="12:13" x14ac:dyDescent="0.25">
      <c r="L263517" s="472"/>
      <c r="M263517" s="472"/>
    </row>
    <row r="263589" spans="12:13" x14ac:dyDescent="0.25">
      <c r="L263589" s="472"/>
      <c r="M263589" s="472"/>
    </row>
    <row r="263590" spans="12:13" x14ac:dyDescent="0.25">
      <c r="L263590" s="472"/>
      <c r="M263590" s="472"/>
    </row>
    <row r="263591" spans="12:13" x14ac:dyDescent="0.25">
      <c r="L263591" s="472"/>
      <c r="M263591" s="472"/>
    </row>
    <row r="263663" spans="12:13" x14ac:dyDescent="0.25">
      <c r="L263663" s="472"/>
      <c r="M263663" s="472"/>
    </row>
    <row r="263664" spans="12:13" x14ac:dyDescent="0.25">
      <c r="L263664" s="472"/>
      <c r="M263664" s="472"/>
    </row>
    <row r="263665" spans="12:13" x14ac:dyDescent="0.25">
      <c r="L263665" s="472"/>
      <c r="M263665" s="472"/>
    </row>
    <row r="263737" spans="12:13" x14ac:dyDescent="0.25">
      <c r="L263737" s="472"/>
      <c r="M263737" s="472"/>
    </row>
    <row r="263738" spans="12:13" x14ac:dyDescent="0.25">
      <c r="L263738" s="472"/>
      <c r="M263738" s="472"/>
    </row>
    <row r="263739" spans="12:13" x14ac:dyDescent="0.25">
      <c r="L263739" s="472"/>
      <c r="M263739" s="472"/>
    </row>
    <row r="263811" spans="12:13" x14ac:dyDescent="0.25">
      <c r="L263811" s="472"/>
      <c r="M263811" s="472"/>
    </row>
    <row r="263812" spans="12:13" x14ac:dyDescent="0.25">
      <c r="L263812" s="472"/>
      <c r="M263812" s="472"/>
    </row>
    <row r="263813" spans="12:13" x14ac:dyDescent="0.25">
      <c r="L263813" s="472"/>
      <c r="M263813" s="472"/>
    </row>
    <row r="263885" spans="12:13" x14ac:dyDescent="0.25">
      <c r="L263885" s="472"/>
      <c r="M263885" s="472"/>
    </row>
    <row r="263886" spans="12:13" x14ac:dyDescent="0.25">
      <c r="L263886" s="472"/>
      <c r="M263886" s="472"/>
    </row>
    <row r="263887" spans="12:13" x14ac:dyDescent="0.25">
      <c r="L263887" s="472"/>
      <c r="M263887" s="472"/>
    </row>
    <row r="263959" spans="12:13" x14ac:dyDescent="0.25">
      <c r="L263959" s="472"/>
      <c r="M263959" s="472"/>
    </row>
    <row r="263960" spans="12:13" x14ac:dyDescent="0.25">
      <c r="L263960" s="472"/>
      <c r="M263960" s="472"/>
    </row>
    <row r="263961" spans="12:13" x14ac:dyDescent="0.25">
      <c r="L263961" s="472"/>
      <c r="M263961" s="472"/>
    </row>
    <row r="264033" spans="12:13" x14ac:dyDescent="0.25">
      <c r="L264033" s="472"/>
      <c r="M264033" s="472"/>
    </row>
    <row r="264034" spans="12:13" x14ac:dyDescent="0.25">
      <c r="L264034" s="472"/>
      <c r="M264034" s="472"/>
    </row>
    <row r="264035" spans="12:13" x14ac:dyDescent="0.25">
      <c r="L264035" s="472"/>
      <c r="M264035" s="472"/>
    </row>
    <row r="264107" spans="12:13" x14ac:dyDescent="0.25">
      <c r="L264107" s="472"/>
      <c r="M264107" s="472"/>
    </row>
    <row r="264108" spans="12:13" x14ac:dyDescent="0.25">
      <c r="L264108" s="472"/>
      <c r="M264108" s="472"/>
    </row>
    <row r="264109" spans="12:13" x14ac:dyDescent="0.25">
      <c r="L264109" s="472"/>
      <c r="M264109" s="472"/>
    </row>
    <row r="264181" spans="12:13" x14ac:dyDescent="0.25">
      <c r="L264181" s="472"/>
      <c r="M264181" s="472"/>
    </row>
    <row r="264182" spans="12:13" x14ac:dyDescent="0.25">
      <c r="L264182" s="472"/>
      <c r="M264182" s="472"/>
    </row>
    <row r="264183" spans="12:13" x14ac:dyDescent="0.25">
      <c r="L264183" s="472"/>
      <c r="M264183" s="472"/>
    </row>
    <row r="264255" spans="12:13" x14ac:dyDescent="0.25">
      <c r="L264255" s="472"/>
      <c r="M264255" s="472"/>
    </row>
    <row r="264256" spans="12:13" x14ac:dyDescent="0.25">
      <c r="L264256" s="472"/>
      <c r="M264256" s="472"/>
    </row>
    <row r="264257" spans="12:13" x14ac:dyDescent="0.25">
      <c r="L264257" s="472"/>
      <c r="M264257" s="472"/>
    </row>
    <row r="264329" spans="12:13" x14ac:dyDescent="0.25">
      <c r="L264329" s="472"/>
      <c r="M264329" s="472"/>
    </row>
    <row r="264330" spans="12:13" x14ac:dyDescent="0.25">
      <c r="L264330" s="472"/>
      <c r="M264330" s="472"/>
    </row>
    <row r="264331" spans="12:13" x14ac:dyDescent="0.25">
      <c r="L264331" s="472"/>
      <c r="M264331" s="472"/>
    </row>
    <row r="264403" spans="12:13" x14ac:dyDescent="0.25">
      <c r="L264403" s="472"/>
      <c r="M264403" s="472"/>
    </row>
    <row r="264404" spans="12:13" x14ac:dyDescent="0.25">
      <c r="L264404" s="472"/>
      <c r="M264404" s="472"/>
    </row>
    <row r="264405" spans="12:13" x14ac:dyDescent="0.25">
      <c r="L264405" s="472"/>
      <c r="M264405" s="472"/>
    </row>
    <row r="264477" spans="12:13" x14ac:dyDescent="0.25">
      <c r="L264477" s="472"/>
      <c r="M264477" s="472"/>
    </row>
    <row r="264478" spans="12:13" x14ac:dyDescent="0.25">
      <c r="L264478" s="472"/>
      <c r="M264478" s="472"/>
    </row>
    <row r="264479" spans="12:13" x14ac:dyDescent="0.25">
      <c r="L264479" s="472"/>
      <c r="M264479" s="472"/>
    </row>
    <row r="264551" spans="12:13" x14ac:dyDescent="0.25">
      <c r="L264551" s="472"/>
      <c r="M264551" s="472"/>
    </row>
    <row r="264552" spans="12:13" x14ac:dyDescent="0.25">
      <c r="L264552" s="472"/>
      <c r="M264552" s="472"/>
    </row>
    <row r="264553" spans="12:13" x14ac:dyDescent="0.25">
      <c r="L264553" s="472"/>
      <c r="M264553" s="472"/>
    </row>
    <row r="264625" spans="12:13" x14ac:dyDescent="0.25">
      <c r="L264625" s="472"/>
      <c r="M264625" s="472"/>
    </row>
    <row r="264626" spans="12:13" x14ac:dyDescent="0.25">
      <c r="L264626" s="472"/>
      <c r="M264626" s="472"/>
    </row>
    <row r="264627" spans="12:13" x14ac:dyDescent="0.25">
      <c r="L264627" s="472"/>
      <c r="M264627" s="472"/>
    </row>
    <row r="264699" spans="12:13" x14ac:dyDescent="0.25">
      <c r="L264699" s="472"/>
      <c r="M264699" s="472"/>
    </row>
    <row r="264700" spans="12:13" x14ac:dyDescent="0.25">
      <c r="L264700" s="472"/>
      <c r="M264700" s="472"/>
    </row>
    <row r="264701" spans="12:13" x14ac:dyDescent="0.25">
      <c r="L264701" s="472"/>
      <c r="M264701" s="472"/>
    </row>
    <row r="264773" spans="12:13" x14ac:dyDescent="0.25">
      <c r="L264773" s="472"/>
      <c r="M264773" s="472"/>
    </row>
    <row r="264774" spans="12:13" x14ac:dyDescent="0.25">
      <c r="L264774" s="472"/>
      <c r="M264774" s="472"/>
    </row>
    <row r="264775" spans="12:13" x14ac:dyDescent="0.25">
      <c r="L264775" s="472"/>
      <c r="M264775" s="472"/>
    </row>
    <row r="264847" spans="12:13" x14ac:dyDescent="0.25">
      <c r="L264847" s="472"/>
      <c r="M264847" s="472"/>
    </row>
    <row r="264848" spans="12:13" x14ac:dyDescent="0.25">
      <c r="L264848" s="472"/>
      <c r="M264848" s="472"/>
    </row>
    <row r="264849" spans="12:13" x14ac:dyDescent="0.25">
      <c r="L264849" s="472"/>
      <c r="M264849" s="472"/>
    </row>
    <row r="264921" spans="12:13" x14ac:dyDescent="0.25">
      <c r="L264921" s="472"/>
      <c r="M264921" s="472"/>
    </row>
    <row r="264922" spans="12:13" x14ac:dyDescent="0.25">
      <c r="L264922" s="472"/>
      <c r="M264922" s="472"/>
    </row>
    <row r="264923" spans="12:13" x14ac:dyDescent="0.25">
      <c r="L264923" s="472"/>
      <c r="M264923" s="472"/>
    </row>
    <row r="264995" spans="12:13" x14ac:dyDescent="0.25">
      <c r="L264995" s="472"/>
      <c r="M264995" s="472"/>
    </row>
    <row r="264996" spans="12:13" x14ac:dyDescent="0.25">
      <c r="L264996" s="472"/>
      <c r="M264996" s="472"/>
    </row>
    <row r="264997" spans="12:13" x14ac:dyDescent="0.25">
      <c r="L264997" s="472"/>
      <c r="M264997" s="472"/>
    </row>
    <row r="265069" spans="12:13" x14ac:dyDescent="0.25">
      <c r="L265069" s="472"/>
      <c r="M265069" s="472"/>
    </row>
    <row r="265070" spans="12:13" x14ac:dyDescent="0.25">
      <c r="L265070" s="472"/>
      <c r="M265070" s="472"/>
    </row>
    <row r="265071" spans="12:13" x14ac:dyDescent="0.25">
      <c r="L265071" s="472"/>
      <c r="M265071" s="472"/>
    </row>
    <row r="265143" spans="12:13" x14ac:dyDescent="0.25">
      <c r="L265143" s="472"/>
      <c r="M265143" s="472"/>
    </row>
    <row r="265144" spans="12:13" x14ac:dyDescent="0.25">
      <c r="L265144" s="472"/>
      <c r="M265144" s="472"/>
    </row>
    <row r="265145" spans="12:13" x14ac:dyDescent="0.25">
      <c r="L265145" s="472"/>
      <c r="M265145" s="472"/>
    </row>
    <row r="265217" spans="12:13" x14ac:dyDescent="0.25">
      <c r="L265217" s="472"/>
      <c r="M265217" s="472"/>
    </row>
    <row r="265218" spans="12:13" x14ac:dyDescent="0.25">
      <c r="L265218" s="472"/>
      <c r="M265218" s="472"/>
    </row>
    <row r="265219" spans="12:13" x14ac:dyDescent="0.25">
      <c r="L265219" s="472"/>
      <c r="M265219" s="472"/>
    </row>
    <row r="265291" spans="12:13" x14ac:dyDescent="0.25">
      <c r="L265291" s="472"/>
      <c r="M265291" s="472"/>
    </row>
    <row r="265292" spans="12:13" x14ac:dyDescent="0.25">
      <c r="L265292" s="472"/>
      <c r="M265292" s="472"/>
    </row>
    <row r="265293" spans="12:13" x14ac:dyDescent="0.25">
      <c r="L265293" s="472"/>
      <c r="M265293" s="472"/>
    </row>
    <row r="265365" spans="12:13" x14ac:dyDescent="0.25">
      <c r="L265365" s="472"/>
      <c r="M265365" s="472"/>
    </row>
    <row r="265366" spans="12:13" x14ac:dyDescent="0.25">
      <c r="L265366" s="472"/>
      <c r="M265366" s="472"/>
    </row>
    <row r="265367" spans="12:13" x14ac:dyDescent="0.25">
      <c r="L265367" s="472"/>
      <c r="M265367" s="472"/>
    </row>
    <row r="265439" spans="12:13" x14ac:dyDescent="0.25">
      <c r="L265439" s="472"/>
      <c r="M265439" s="472"/>
    </row>
    <row r="265440" spans="12:13" x14ac:dyDescent="0.25">
      <c r="L265440" s="472"/>
      <c r="M265440" s="472"/>
    </row>
    <row r="265441" spans="12:13" x14ac:dyDescent="0.25">
      <c r="L265441" s="472"/>
      <c r="M265441" s="472"/>
    </row>
    <row r="265513" spans="12:13" x14ac:dyDescent="0.25">
      <c r="L265513" s="472"/>
      <c r="M265513" s="472"/>
    </row>
    <row r="265514" spans="12:13" x14ac:dyDescent="0.25">
      <c r="L265514" s="472"/>
      <c r="M265514" s="472"/>
    </row>
    <row r="265515" spans="12:13" x14ac:dyDescent="0.25">
      <c r="L265515" s="472"/>
      <c r="M265515" s="472"/>
    </row>
    <row r="265587" spans="12:13" x14ac:dyDescent="0.25">
      <c r="L265587" s="472"/>
      <c r="M265587" s="472"/>
    </row>
    <row r="265588" spans="12:13" x14ac:dyDescent="0.25">
      <c r="L265588" s="472"/>
      <c r="M265588" s="472"/>
    </row>
    <row r="265589" spans="12:13" x14ac:dyDescent="0.25">
      <c r="L265589" s="472"/>
      <c r="M265589" s="472"/>
    </row>
    <row r="265661" spans="12:13" x14ac:dyDescent="0.25">
      <c r="L265661" s="472"/>
      <c r="M265661" s="472"/>
    </row>
    <row r="265662" spans="12:13" x14ac:dyDescent="0.25">
      <c r="L265662" s="472"/>
      <c r="M265662" s="472"/>
    </row>
    <row r="265663" spans="12:13" x14ac:dyDescent="0.25">
      <c r="L265663" s="472"/>
      <c r="M265663" s="472"/>
    </row>
    <row r="265735" spans="12:13" x14ac:dyDescent="0.25">
      <c r="L265735" s="472"/>
      <c r="M265735" s="472"/>
    </row>
    <row r="265736" spans="12:13" x14ac:dyDescent="0.25">
      <c r="L265736" s="472"/>
      <c r="M265736" s="472"/>
    </row>
    <row r="265737" spans="12:13" x14ac:dyDescent="0.25">
      <c r="L265737" s="472"/>
      <c r="M265737" s="472"/>
    </row>
    <row r="265809" spans="12:13" x14ac:dyDescent="0.25">
      <c r="L265809" s="472"/>
      <c r="M265809" s="472"/>
    </row>
    <row r="265810" spans="12:13" x14ac:dyDescent="0.25">
      <c r="L265810" s="472"/>
      <c r="M265810" s="472"/>
    </row>
    <row r="265811" spans="12:13" x14ac:dyDescent="0.25">
      <c r="L265811" s="472"/>
      <c r="M265811" s="472"/>
    </row>
    <row r="265883" spans="12:13" x14ac:dyDescent="0.25">
      <c r="L265883" s="472"/>
      <c r="M265883" s="472"/>
    </row>
    <row r="265884" spans="12:13" x14ac:dyDescent="0.25">
      <c r="L265884" s="472"/>
      <c r="M265884" s="472"/>
    </row>
    <row r="265885" spans="12:13" x14ac:dyDescent="0.25">
      <c r="L265885" s="472"/>
      <c r="M265885" s="472"/>
    </row>
    <row r="265957" spans="12:13" x14ac:dyDescent="0.25">
      <c r="L265957" s="472"/>
      <c r="M265957" s="472"/>
    </row>
    <row r="265958" spans="12:13" x14ac:dyDescent="0.25">
      <c r="L265958" s="472"/>
      <c r="M265958" s="472"/>
    </row>
    <row r="265959" spans="12:13" x14ac:dyDescent="0.25">
      <c r="L265959" s="472"/>
      <c r="M265959" s="472"/>
    </row>
    <row r="266031" spans="12:13" x14ac:dyDescent="0.25">
      <c r="L266031" s="472"/>
      <c r="M266031" s="472"/>
    </row>
    <row r="266032" spans="12:13" x14ac:dyDescent="0.25">
      <c r="L266032" s="472"/>
      <c r="M266032" s="472"/>
    </row>
    <row r="266033" spans="12:13" x14ac:dyDescent="0.25">
      <c r="L266033" s="472"/>
      <c r="M266033" s="472"/>
    </row>
    <row r="266105" spans="12:13" x14ac:dyDescent="0.25">
      <c r="L266105" s="472"/>
      <c r="M266105" s="472"/>
    </row>
    <row r="266106" spans="12:13" x14ac:dyDescent="0.25">
      <c r="L266106" s="472"/>
      <c r="M266106" s="472"/>
    </row>
    <row r="266107" spans="12:13" x14ac:dyDescent="0.25">
      <c r="L266107" s="472"/>
      <c r="M266107" s="472"/>
    </row>
    <row r="266179" spans="12:13" x14ac:dyDescent="0.25">
      <c r="L266179" s="472"/>
      <c r="M266179" s="472"/>
    </row>
    <row r="266180" spans="12:13" x14ac:dyDescent="0.25">
      <c r="L266180" s="472"/>
      <c r="M266180" s="472"/>
    </row>
    <row r="266181" spans="12:13" x14ac:dyDescent="0.25">
      <c r="L266181" s="472"/>
      <c r="M266181" s="472"/>
    </row>
    <row r="266253" spans="12:13" x14ac:dyDescent="0.25">
      <c r="L266253" s="472"/>
      <c r="M266253" s="472"/>
    </row>
    <row r="266254" spans="12:13" x14ac:dyDescent="0.25">
      <c r="L266254" s="472"/>
      <c r="M266254" s="472"/>
    </row>
    <row r="266255" spans="12:13" x14ac:dyDescent="0.25">
      <c r="L266255" s="472"/>
      <c r="M266255" s="472"/>
    </row>
    <row r="266327" spans="12:13" x14ac:dyDescent="0.25">
      <c r="L266327" s="472"/>
      <c r="M266327" s="472"/>
    </row>
    <row r="266328" spans="12:13" x14ac:dyDescent="0.25">
      <c r="L266328" s="472"/>
      <c r="M266328" s="472"/>
    </row>
    <row r="266329" spans="12:13" x14ac:dyDescent="0.25">
      <c r="L266329" s="472"/>
      <c r="M266329" s="472"/>
    </row>
    <row r="266401" spans="12:13" x14ac:dyDescent="0.25">
      <c r="L266401" s="472"/>
      <c r="M266401" s="472"/>
    </row>
    <row r="266402" spans="12:13" x14ac:dyDescent="0.25">
      <c r="L266402" s="472"/>
      <c r="M266402" s="472"/>
    </row>
    <row r="266403" spans="12:13" x14ac:dyDescent="0.25">
      <c r="L266403" s="472"/>
      <c r="M266403" s="472"/>
    </row>
    <row r="266475" spans="12:13" x14ac:dyDescent="0.25">
      <c r="L266475" s="472"/>
      <c r="M266475" s="472"/>
    </row>
    <row r="266476" spans="12:13" x14ac:dyDescent="0.25">
      <c r="L266476" s="472"/>
      <c r="M266476" s="472"/>
    </row>
    <row r="266477" spans="12:13" x14ac:dyDescent="0.25">
      <c r="L266477" s="472"/>
      <c r="M266477" s="472"/>
    </row>
    <row r="266549" spans="12:13" x14ac:dyDescent="0.25">
      <c r="L266549" s="472"/>
      <c r="M266549" s="472"/>
    </row>
    <row r="266550" spans="12:13" x14ac:dyDescent="0.25">
      <c r="L266550" s="472"/>
      <c r="M266550" s="472"/>
    </row>
    <row r="266551" spans="12:13" x14ac:dyDescent="0.25">
      <c r="L266551" s="472"/>
      <c r="M266551" s="472"/>
    </row>
    <row r="266623" spans="12:13" x14ac:dyDescent="0.25">
      <c r="L266623" s="472"/>
      <c r="M266623" s="472"/>
    </row>
    <row r="266624" spans="12:13" x14ac:dyDescent="0.25">
      <c r="L266624" s="472"/>
      <c r="M266624" s="472"/>
    </row>
    <row r="266625" spans="12:13" x14ac:dyDescent="0.25">
      <c r="L266625" s="472"/>
      <c r="M266625" s="472"/>
    </row>
    <row r="266697" spans="12:13" x14ac:dyDescent="0.25">
      <c r="L266697" s="472"/>
      <c r="M266697" s="472"/>
    </row>
    <row r="266698" spans="12:13" x14ac:dyDescent="0.25">
      <c r="L266698" s="472"/>
      <c r="M266698" s="472"/>
    </row>
    <row r="266699" spans="12:13" x14ac:dyDescent="0.25">
      <c r="L266699" s="472"/>
      <c r="M266699" s="472"/>
    </row>
    <row r="266771" spans="12:13" x14ac:dyDescent="0.25">
      <c r="L266771" s="472"/>
      <c r="M266771" s="472"/>
    </row>
    <row r="266772" spans="12:13" x14ac:dyDescent="0.25">
      <c r="L266772" s="472"/>
      <c r="M266772" s="472"/>
    </row>
    <row r="266773" spans="12:13" x14ac:dyDescent="0.25">
      <c r="L266773" s="472"/>
      <c r="M266773" s="472"/>
    </row>
    <row r="266845" spans="12:13" x14ac:dyDescent="0.25">
      <c r="L266845" s="472"/>
      <c r="M266845" s="472"/>
    </row>
    <row r="266846" spans="12:13" x14ac:dyDescent="0.25">
      <c r="L266846" s="472"/>
      <c r="M266846" s="472"/>
    </row>
    <row r="266847" spans="12:13" x14ac:dyDescent="0.25">
      <c r="L266847" s="472"/>
      <c r="M266847" s="472"/>
    </row>
    <row r="266919" spans="12:13" x14ac:dyDescent="0.25">
      <c r="L266919" s="472"/>
      <c r="M266919" s="472"/>
    </row>
    <row r="266920" spans="12:13" x14ac:dyDescent="0.25">
      <c r="L266920" s="472"/>
      <c r="M266920" s="472"/>
    </row>
    <row r="266921" spans="12:13" x14ac:dyDescent="0.25">
      <c r="L266921" s="472"/>
      <c r="M266921" s="472"/>
    </row>
    <row r="266993" spans="12:13" x14ac:dyDescent="0.25">
      <c r="L266993" s="472"/>
      <c r="M266993" s="472"/>
    </row>
    <row r="266994" spans="12:13" x14ac:dyDescent="0.25">
      <c r="L266994" s="472"/>
      <c r="M266994" s="472"/>
    </row>
    <row r="266995" spans="12:13" x14ac:dyDescent="0.25">
      <c r="L266995" s="472"/>
      <c r="M266995" s="472"/>
    </row>
    <row r="267067" spans="12:13" x14ac:dyDescent="0.25">
      <c r="L267067" s="472"/>
      <c r="M267067" s="472"/>
    </row>
    <row r="267068" spans="12:13" x14ac:dyDescent="0.25">
      <c r="L267068" s="472"/>
      <c r="M267068" s="472"/>
    </row>
    <row r="267069" spans="12:13" x14ac:dyDescent="0.25">
      <c r="L267069" s="472"/>
      <c r="M267069" s="472"/>
    </row>
    <row r="267141" spans="12:13" x14ac:dyDescent="0.25">
      <c r="L267141" s="472"/>
      <c r="M267141" s="472"/>
    </row>
    <row r="267142" spans="12:13" x14ac:dyDescent="0.25">
      <c r="L267142" s="472"/>
      <c r="M267142" s="472"/>
    </row>
    <row r="267143" spans="12:13" x14ac:dyDescent="0.25">
      <c r="L267143" s="472"/>
      <c r="M267143" s="472"/>
    </row>
    <row r="267215" spans="12:13" x14ac:dyDescent="0.25">
      <c r="L267215" s="472"/>
      <c r="M267215" s="472"/>
    </row>
    <row r="267216" spans="12:13" x14ac:dyDescent="0.25">
      <c r="L267216" s="472"/>
      <c r="M267216" s="472"/>
    </row>
    <row r="267217" spans="12:13" x14ac:dyDescent="0.25">
      <c r="L267217" s="472"/>
      <c r="M267217" s="472"/>
    </row>
    <row r="267289" spans="12:13" x14ac:dyDescent="0.25">
      <c r="L267289" s="472"/>
      <c r="M267289" s="472"/>
    </row>
    <row r="267290" spans="12:13" x14ac:dyDescent="0.25">
      <c r="L267290" s="472"/>
      <c r="M267290" s="472"/>
    </row>
    <row r="267291" spans="12:13" x14ac:dyDescent="0.25">
      <c r="L267291" s="472"/>
      <c r="M267291" s="472"/>
    </row>
    <row r="267363" spans="12:13" x14ac:dyDescent="0.25">
      <c r="L267363" s="472"/>
      <c r="M267363" s="472"/>
    </row>
    <row r="267364" spans="12:13" x14ac:dyDescent="0.25">
      <c r="L267364" s="472"/>
      <c r="M267364" s="472"/>
    </row>
    <row r="267365" spans="12:13" x14ac:dyDescent="0.25">
      <c r="L267365" s="472"/>
      <c r="M267365" s="472"/>
    </row>
    <row r="267437" spans="12:13" x14ac:dyDescent="0.25">
      <c r="L267437" s="472"/>
      <c r="M267437" s="472"/>
    </row>
    <row r="267438" spans="12:13" x14ac:dyDescent="0.25">
      <c r="L267438" s="472"/>
      <c r="M267438" s="472"/>
    </row>
    <row r="267439" spans="12:13" x14ac:dyDescent="0.25">
      <c r="L267439" s="472"/>
      <c r="M267439" s="472"/>
    </row>
    <row r="267511" spans="12:13" x14ac:dyDescent="0.25">
      <c r="L267511" s="472"/>
      <c r="M267511" s="472"/>
    </row>
    <row r="267512" spans="12:13" x14ac:dyDescent="0.25">
      <c r="L267512" s="472"/>
      <c r="M267512" s="472"/>
    </row>
    <row r="267513" spans="12:13" x14ac:dyDescent="0.25">
      <c r="L267513" s="472"/>
      <c r="M267513" s="472"/>
    </row>
    <row r="267585" spans="12:13" x14ac:dyDescent="0.25">
      <c r="L267585" s="472"/>
      <c r="M267585" s="472"/>
    </row>
    <row r="267586" spans="12:13" x14ac:dyDescent="0.25">
      <c r="L267586" s="472"/>
      <c r="M267586" s="472"/>
    </row>
    <row r="267587" spans="12:13" x14ac:dyDescent="0.25">
      <c r="L267587" s="472"/>
      <c r="M267587" s="472"/>
    </row>
    <row r="267659" spans="12:13" x14ac:dyDescent="0.25">
      <c r="L267659" s="472"/>
      <c r="M267659" s="472"/>
    </row>
    <row r="267660" spans="12:13" x14ac:dyDescent="0.25">
      <c r="L267660" s="472"/>
      <c r="M267660" s="472"/>
    </row>
    <row r="267661" spans="12:13" x14ac:dyDescent="0.25">
      <c r="L267661" s="472"/>
      <c r="M267661" s="472"/>
    </row>
    <row r="267733" spans="12:13" x14ac:dyDescent="0.25">
      <c r="L267733" s="472"/>
      <c r="M267733" s="472"/>
    </row>
    <row r="267734" spans="12:13" x14ac:dyDescent="0.25">
      <c r="L267734" s="472"/>
      <c r="M267734" s="472"/>
    </row>
    <row r="267735" spans="12:13" x14ac:dyDescent="0.25">
      <c r="L267735" s="472"/>
      <c r="M267735" s="472"/>
    </row>
    <row r="267807" spans="12:13" x14ac:dyDescent="0.25">
      <c r="L267807" s="472"/>
      <c r="M267807" s="472"/>
    </row>
    <row r="267808" spans="12:13" x14ac:dyDescent="0.25">
      <c r="L267808" s="472"/>
      <c r="M267808" s="472"/>
    </row>
    <row r="267809" spans="12:13" x14ac:dyDescent="0.25">
      <c r="L267809" s="472"/>
      <c r="M267809" s="472"/>
    </row>
    <row r="267881" spans="12:13" x14ac:dyDescent="0.25">
      <c r="L267881" s="472"/>
      <c r="M267881" s="472"/>
    </row>
    <row r="267882" spans="12:13" x14ac:dyDescent="0.25">
      <c r="L267882" s="472"/>
      <c r="M267882" s="472"/>
    </row>
    <row r="267883" spans="12:13" x14ac:dyDescent="0.25">
      <c r="L267883" s="472"/>
      <c r="M267883" s="472"/>
    </row>
    <row r="267955" spans="12:13" x14ac:dyDescent="0.25">
      <c r="L267955" s="472"/>
      <c r="M267955" s="472"/>
    </row>
    <row r="267956" spans="12:13" x14ac:dyDescent="0.25">
      <c r="L267956" s="472"/>
      <c r="M267956" s="472"/>
    </row>
    <row r="267957" spans="12:13" x14ac:dyDescent="0.25">
      <c r="L267957" s="472"/>
      <c r="M267957" s="472"/>
    </row>
    <row r="268029" spans="12:13" x14ac:dyDescent="0.25">
      <c r="L268029" s="472"/>
      <c r="M268029" s="472"/>
    </row>
    <row r="268030" spans="12:13" x14ac:dyDescent="0.25">
      <c r="L268030" s="472"/>
      <c r="M268030" s="472"/>
    </row>
    <row r="268031" spans="12:13" x14ac:dyDescent="0.25">
      <c r="L268031" s="472"/>
      <c r="M268031" s="472"/>
    </row>
    <row r="268103" spans="12:13" x14ac:dyDescent="0.25">
      <c r="L268103" s="472"/>
      <c r="M268103" s="472"/>
    </row>
    <row r="268104" spans="12:13" x14ac:dyDescent="0.25">
      <c r="L268104" s="472"/>
      <c r="M268104" s="472"/>
    </row>
    <row r="268105" spans="12:13" x14ac:dyDescent="0.25">
      <c r="L268105" s="472"/>
      <c r="M268105" s="472"/>
    </row>
    <row r="268177" spans="12:13" x14ac:dyDescent="0.25">
      <c r="L268177" s="472"/>
      <c r="M268177" s="472"/>
    </row>
    <row r="268178" spans="12:13" x14ac:dyDescent="0.25">
      <c r="L268178" s="472"/>
      <c r="M268178" s="472"/>
    </row>
    <row r="268179" spans="12:13" x14ac:dyDescent="0.25">
      <c r="L268179" s="472"/>
      <c r="M268179" s="472"/>
    </row>
    <row r="268251" spans="12:13" x14ac:dyDescent="0.25">
      <c r="L268251" s="472"/>
      <c r="M268251" s="472"/>
    </row>
    <row r="268252" spans="12:13" x14ac:dyDescent="0.25">
      <c r="L268252" s="472"/>
      <c r="M268252" s="472"/>
    </row>
    <row r="268253" spans="12:13" x14ac:dyDescent="0.25">
      <c r="L268253" s="472"/>
      <c r="M268253" s="472"/>
    </row>
    <row r="268325" spans="12:13" x14ac:dyDescent="0.25">
      <c r="L268325" s="472"/>
      <c r="M268325" s="472"/>
    </row>
    <row r="268326" spans="12:13" x14ac:dyDescent="0.25">
      <c r="L268326" s="472"/>
      <c r="M268326" s="472"/>
    </row>
    <row r="268327" spans="12:13" x14ac:dyDescent="0.25">
      <c r="L268327" s="472"/>
      <c r="M268327" s="472"/>
    </row>
    <row r="268399" spans="12:13" x14ac:dyDescent="0.25">
      <c r="L268399" s="472"/>
      <c r="M268399" s="472"/>
    </row>
    <row r="268400" spans="12:13" x14ac:dyDescent="0.25">
      <c r="L268400" s="472"/>
      <c r="M268400" s="472"/>
    </row>
    <row r="268401" spans="12:13" x14ac:dyDescent="0.25">
      <c r="L268401" s="472"/>
      <c r="M268401" s="472"/>
    </row>
    <row r="268473" spans="12:13" x14ac:dyDescent="0.25">
      <c r="L268473" s="472"/>
      <c r="M268473" s="472"/>
    </row>
    <row r="268474" spans="12:13" x14ac:dyDescent="0.25">
      <c r="L268474" s="472"/>
      <c r="M268474" s="472"/>
    </row>
    <row r="268475" spans="12:13" x14ac:dyDescent="0.25">
      <c r="L268475" s="472"/>
      <c r="M268475" s="472"/>
    </row>
    <row r="268547" spans="12:13" x14ac:dyDescent="0.25">
      <c r="L268547" s="472"/>
      <c r="M268547" s="472"/>
    </row>
    <row r="268548" spans="12:13" x14ac:dyDescent="0.25">
      <c r="L268548" s="472"/>
      <c r="M268548" s="472"/>
    </row>
    <row r="268549" spans="12:13" x14ac:dyDescent="0.25">
      <c r="L268549" s="472"/>
      <c r="M268549" s="472"/>
    </row>
    <row r="268621" spans="12:13" x14ac:dyDescent="0.25">
      <c r="L268621" s="472"/>
      <c r="M268621" s="472"/>
    </row>
    <row r="268622" spans="12:13" x14ac:dyDescent="0.25">
      <c r="L268622" s="472"/>
      <c r="M268622" s="472"/>
    </row>
    <row r="268623" spans="12:13" x14ac:dyDescent="0.25">
      <c r="L268623" s="472"/>
      <c r="M268623" s="472"/>
    </row>
    <row r="268695" spans="12:13" x14ac:dyDescent="0.25">
      <c r="L268695" s="472"/>
      <c r="M268695" s="472"/>
    </row>
    <row r="268696" spans="12:13" x14ac:dyDescent="0.25">
      <c r="L268696" s="472"/>
      <c r="M268696" s="472"/>
    </row>
    <row r="268697" spans="12:13" x14ac:dyDescent="0.25">
      <c r="L268697" s="472"/>
      <c r="M268697" s="472"/>
    </row>
    <row r="268769" spans="12:13" x14ac:dyDescent="0.25">
      <c r="L268769" s="472"/>
      <c r="M268769" s="472"/>
    </row>
    <row r="268770" spans="12:13" x14ac:dyDescent="0.25">
      <c r="L268770" s="472"/>
      <c r="M268770" s="472"/>
    </row>
    <row r="268771" spans="12:13" x14ac:dyDescent="0.25">
      <c r="L268771" s="472"/>
      <c r="M268771" s="472"/>
    </row>
    <row r="268843" spans="12:13" x14ac:dyDescent="0.25">
      <c r="L268843" s="472"/>
      <c r="M268843" s="472"/>
    </row>
    <row r="268844" spans="12:13" x14ac:dyDescent="0.25">
      <c r="L268844" s="472"/>
      <c r="M268844" s="472"/>
    </row>
    <row r="268845" spans="12:13" x14ac:dyDescent="0.25">
      <c r="L268845" s="472"/>
      <c r="M268845" s="472"/>
    </row>
    <row r="268917" spans="12:13" x14ac:dyDescent="0.25">
      <c r="L268917" s="472"/>
      <c r="M268917" s="472"/>
    </row>
    <row r="268918" spans="12:13" x14ac:dyDescent="0.25">
      <c r="L268918" s="472"/>
      <c r="M268918" s="472"/>
    </row>
    <row r="268919" spans="12:13" x14ac:dyDescent="0.25">
      <c r="L268919" s="472"/>
      <c r="M268919" s="472"/>
    </row>
    <row r="268991" spans="12:13" x14ac:dyDescent="0.25">
      <c r="L268991" s="472"/>
      <c r="M268991" s="472"/>
    </row>
    <row r="268992" spans="12:13" x14ac:dyDescent="0.25">
      <c r="L268992" s="472"/>
      <c r="M268992" s="472"/>
    </row>
    <row r="268993" spans="12:13" x14ac:dyDescent="0.25">
      <c r="L268993" s="472"/>
      <c r="M268993" s="472"/>
    </row>
    <row r="269065" spans="12:13" x14ac:dyDescent="0.25">
      <c r="L269065" s="472"/>
      <c r="M269065" s="472"/>
    </row>
    <row r="269066" spans="12:13" x14ac:dyDescent="0.25">
      <c r="L269066" s="472"/>
      <c r="M269066" s="472"/>
    </row>
    <row r="269067" spans="12:13" x14ac:dyDescent="0.25">
      <c r="L269067" s="472"/>
      <c r="M269067" s="472"/>
    </row>
    <row r="269139" spans="12:13" x14ac:dyDescent="0.25">
      <c r="L269139" s="472"/>
      <c r="M269139" s="472"/>
    </row>
    <row r="269140" spans="12:13" x14ac:dyDescent="0.25">
      <c r="L269140" s="472"/>
      <c r="M269140" s="472"/>
    </row>
    <row r="269141" spans="12:13" x14ac:dyDescent="0.25">
      <c r="L269141" s="472"/>
      <c r="M269141" s="472"/>
    </row>
    <row r="269213" spans="12:13" x14ac:dyDescent="0.25">
      <c r="L269213" s="472"/>
      <c r="M269213" s="472"/>
    </row>
    <row r="269214" spans="12:13" x14ac:dyDescent="0.25">
      <c r="L269214" s="472"/>
      <c r="M269214" s="472"/>
    </row>
    <row r="269215" spans="12:13" x14ac:dyDescent="0.25">
      <c r="L269215" s="472"/>
      <c r="M269215" s="472"/>
    </row>
    <row r="269287" spans="12:13" x14ac:dyDescent="0.25">
      <c r="L269287" s="472"/>
      <c r="M269287" s="472"/>
    </row>
    <row r="269288" spans="12:13" x14ac:dyDescent="0.25">
      <c r="L269288" s="472"/>
      <c r="M269288" s="472"/>
    </row>
    <row r="269289" spans="12:13" x14ac:dyDescent="0.25">
      <c r="L269289" s="472"/>
      <c r="M269289" s="472"/>
    </row>
    <row r="269361" spans="12:13" x14ac:dyDescent="0.25">
      <c r="L269361" s="472"/>
      <c r="M269361" s="472"/>
    </row>
    <row r="269362" spans="12:13" x14ac:dyDescent="0.25">
      <c r="L269362" s="472"/>
      <c r="M269362" s="472"/>
    </row>
    <row r="269363" spans="12:13" x14ac:dyDescent="0.25">
      <c r="L269363" s="472"/>
      <c r="M269363" s="472"/>
    </row>
    <row r="269435" spans="12:13" x14ac:dyDescent="0.25">
      <c r="L269435" s="472"/>
      <c r="M269435" s="472"/>
    </row>
    <row r="269436" spans="12:13" x14ac:dyDescent="0.25">
      <c r="L269436" s="472"/>
      <c r="M269436" s="472"/>
    </row>
    <row r="269437" spans="12:13" x14ac:dyDescent="0.25">
      <c r="L269437" s="472"/>
      <c r="M269437" s="472"/>
    </row>
    <row r="269509" spans="12:13" x14ac:dyDescent="0.25">
      <c r="L269509" s="472"/>
      <c r="M269509" s="472"/>
    </row>
    <row r="269510" spans="12:13" x14ac:dyDescent="0.25">
      <c r="L269510" s="472"/>
      <c r="M269510" s="472"/>
    </row>
    <row r="269511" spans="12:13" x14ac:dyDescent="0.25">
      <c r="L269511" s="472"/>
      <c r="M269511" s="472"/>
    </row>
    <row r="269583" spans="12:13" x14ac:dyDescent="0.25">
      <c r="L269583" s="472"/>
      <c r="M269583" s="472"/>
    </row>
    <row r="269584" spans="12:13" x14ac:dyDescent="0.25">
      <c r="L269584" s="472"/>
      <c r="M269584" s="472"/>
    </row>
    <row r="269585" spans="12:13" x14ac:dyDescent="0.25">
      <c r="L269585" s="472"/>
      <c r="M269585" s="472"/>
    </row>
    <row r="269657" spans="12:13" x14ac:dyDescent="0.25">
      <c r="L269657" s="472"/>
      <c r="M269657" s="472"/>
    </row>
    <row r="269658" spans="12:13" x14ac:dyDescent="0.25">
      <c r="L269658" s="472"/>
      <c r="M269658" s="472"/>
    </row>
    <row r="269659" spans="12:13" x14ac:dyDescent="0.25">
      <c r="L269659" s="472"/>
      <c r="M269659" s="472"/>
    </row>
    <row r="269731" spans="12:13" x14ac:dyDescent="0.25">
      <c r="L269731" s="472"/>
      <c r="M269731" s="472"/>
    </row>
    <row r="269732" spans="12:13" x14ac:dyDescent="0.25">
      <c r="L269732" s="472"/>
      <c r="M269732" s="472"/>
    </row>
    <row r="269733" spans="12:13" x14ac:dyDescent="0.25">
      <c r="L269733" s="472"/>
      <c r="M269733" s="472"/>
    </row>
    <row r="269805" spans="12:13" x14ac:dyDescent="0.25">
      <c r="L269805" s="472"/>
      <c r="M269805" s="472"/>
    </row>
    <row r="269806" spans="12:13" x14ac:dyDescent="0.25">
      <c r="L269806" s="472"/>
      <c r="M269806" s="472"/>
    </row>
    <row r="269807" spans="12:13" x14ac:dyDescent="0.25">
      <c r="L269807" s="472"/>
      <c r="M269807" s="472"/>
    </row>
    <row r="269879" spans="12:13" x14ac:dyDescent="0.25">
      <c r="L269879" s="472"/>
      <c r="M269879" s="472"/>
    </row>
    <row r="269880" spans="12:13" x14ac:dyDescent="0.25">
      <c r="L269880" s="472"/>
      <c r="M269880" s="472"/>
    </row>
    <row r="269881" spans="12:13" x14ac:dyDescent="0.25">
      <c r="L269881" s="472"/>
      <c r="M269881" s="472"/>
    </row>
    <row r="269953" spans="12:13" x14ac:dyDescent="0.25">
      <c r="L269953" s="472"/>
      <c r="M269953" s="472"/>
    </row>
    <row r="269954" spans="12:13" x14ac:dyDescent="0.25">
      <c r="L269954" s="472"/>
      <c r="M269954" s="472"/>
    </row>
    <row r="269955" spans="12:13" x14ac:dyDescent="0.25">
      <c r="L269955" s="472"/>
      <c r="M269955" s="472"/>
    </row>
    <row r="270027" spans="12:13" x14ac:dyDescent="0.25">
      <c r="L270027" s="472"/>
      <c r="M270027" s="472"/>
    </row>
    <row r="270028" spans="12:13" x14ac:dyDescent="0.25">
      <c r="L270028" s="472"/>
      <c r="M270028" s="472"/>
    </row>
    <row r="270029" spans="12:13" x14ac:dyDescent="0.25">
      <c r="L270029" s="472"/>
      <c r="M270029" s="472"/>
    </row>
    <row r="270101" spans="12:13" x14ac:dyDescent="0.25">
      <c r="L270101" s="472"/>
      <c r="M270101" s="472"/>
    </row>
    <row r="270102" spans="12:13" x14ac:dyDescent="0.25">
      <c r="L270102" s="472"/>
      <c r="M270102" s="472"/>
    </row>
    <row r="270103" spans="12:13" x14ac:dyDescent="0.25">
      <c r="L270103" s="472"/>
      <c r="M270103" s="472"/>
    </row>
    <row r="270175" spans="12:13" x14ac:dyDescent="0.25">
      <c r="L270175" s="472"/>
      <c r="M270175" s="472"/>
    </row>
    <row r="270176" spans="12:13" x14ac:dyDescent="0.25">
      <c r="L270176" s="472"/>
      <c r="M270176" s="472"/>
    </row>
    <row r="270177" spans="12:13" x14ac:dyDescent="0.25">
      <c r="L270177" s="472"/>
      <c r="M270177" s="472"/>
    </row>
    <row r="270249" spans="12:13" x14ac:dyDescent="0.25">
      <c r="L270249" s="472"/>
      <c r="M270249" s="472"/>
    </row>
    <row r="270250" spans="12:13" x14ac:dyDescent="0.25">
      <c r="L270250" s="472"/>
      <c r="M270250" s="472"/>
    </row>
    <row r="270251" spans="12:13" x14ac:dyDescent="0.25">
      <c r="L270251" s="472"/>
      <c r="M270251" s="472"/>
    </row>
    <row r="270323" spans="12:13" x14ac:dyDescent="0.25">
      <c r="L270323" s="472"/>
      <c r="M270323" s="472"/>
    </row>
    <row r="270324" spans="12:13" x14ac:dyDescent="0.25">
      <c r="L270324" s="472"/>
      <c r="M270324" s="472"/>
    </row>
    <row r="270325" spans="12:13" x14ac:dyDescent="0.25">
      <c r="L270325" s="472"/>
      <c r="M270325" s="472"/>
    </row>
    <row r="270397" spans="12:13" x14ac:dyDescent="0.25">
      <c r="L270397" s="472"/>
      <c r="M270397" s="472"/>
    </row>
    <row r="270398" spans="12:13" x14ac:dyDescent="0.25">
      <c r="L270398" s="472"/>
      <c r="M270398" s="472"/>
    </row>
    <row r="270399" spans="12:13" x14ac:dyDescent="0.25">
      <c r="L270399" s="472"/>
      <c r="M270399" s="472"/>
    </row>
    <row r="270471" spans="12:13" x14ac:dyDescent="0.25">
      <c r="L270471" s="472"/>
      <c r="M270471" s="472"/>
    </row>
    <row r="270472" spans="12:13" x14ac:dyDescent="0.25">
      <c r="L270472" s="472"/>
      <c r="M270472" s="472"/>
    </row>
    <row r="270473" spans="12:13" x14ac:dyDescent="0.25">
      <c r="L270473" s="472"/>
      <c r="M270473" s="472"/>
    </row>
    <row r="270545" spans="12:13" x14ac:dyDescent="0.25">
      <c r="L270545" s="472"/>
      <c r="M270545" s="472"/>
    </row>
    <row r="270546" spans="12:13" x14ac:dyDescent="0.25">
      <c r="L270546" s="472"/>
      <c r="M270546" s="472"/>
    </row>
    <row r="270547" spans="12:13" x14ac:dyDescent="0.25">
      <c r="L270547" s="472"/>
      <c r="M270547" s="472"/>
    </row>
    <row r="270619" spans="12:13" x14ac:dyDescent="0.25">
      <c r="L270619" s="472"/>
      <c r="M270619" s="472"/>
    </row>
    <row r="270620" spans="12:13" x14ac:dyDescent="0.25">
      <c r="L270620" s="472"/>
      <c r="M270620" s="472"/>
    </row>
    <row r="270621" spans="12:13" x14ac:dyDescent="0.25">
      <c r="L270621" s="472"/>
      <c r="M270621" s="472"/>
    </row>
    <row r="270693" spans="12:13" x14ac:dyDescent="0.25">
      <c r="L270693" s="472"/>
      <c r="M270693" s="472"/>
    </row>
    <row r="270694" spans="12:13" x14ac:dyDescent="0.25">
      <c r="L270694" s="472"/>
      <c r="M270694" s="472"/>
    </row>
    <row r="270695" spans="12:13" x14ac:dyDescent="0.25">
      <c r="L270695" s="472"/>
      <c r="M270695" s="472"/>
    </row>
    <row r="270767" spans="12:13" x14ac:dyDescent="0.25">
      <c r="L270767" s="472"/>
      <c r="M270767" s="472"/>
    </row>
    <row r="270768" spans="12:13" x14ac:dyDescent="0.25">
      <c r="L270768" s="472"/>
      <c r="M270768" s="472"/>
    </row>
    <row r="270769" spans="12:13" x14ac:dyDescent="0.25">
      <c r="L270769" s="472"/>
      <c r="M270769" s="472"/>
    </row>
    <row r="270841" spans="12:13" x14ac:dyDescent="0.25">
      <c r="L270841" s="472"/>
      <c r="M270841" s="472"/>
    </row>
    <row r="270842" spans="12:13" x14ac:dyDescent="0.25">
      <c r="L270842" s="472"/>
      <c r="M270842" s="472"/>
    </row>
    <row r="270843" spans="12:13" x14ac:dyDescent="0.25">
      <c r="L270843" s="472"/>
      <c r="M270843" s="472"/>
    </row>
    <row r="270915" spans="12:13" x14ac:dyDescent="0.25">
      <c r="L270915" s="472"/>
      <c r="M270915" s="472"/>
    </row>
    <row r="270916" spans="12:13" x14ac:dyDescent="0.25">
      <c r="L270916" s="472"/>
      <c r="M270916" s="472"/>
    </row>
    <row r="270917" spans="12:13" x14ac:dyDescent="0.25">
      <c r="L270917" s="472"/>
      <c r="M270917" s="472"/>
    </row>
    <row r="270989" spans="12:13" x14ac:dyDescent="0.25">
      <c r="L270989" s="472"/>
      <c r="M270989" s="472"/>
    </row>
    <row r="270990" spans="12:13" x14ac:dyDescent="0.25">
      <c r="L270990" s="472"/>
      <c r="M270990" s="472"/>
    </row>
    <row r="270991" spans="12:13" x14ac:dyDescent="0.25">
      <c r="L270991" s="472"/>
      <c r="M270991" s="472"/>
    </row>
    <row r="271063" spans="12:13" x14ac:dyDescent="0.25">
      <c r="L271063" s="472"/>
      <c r="M271063" s="472"/>
    </row>
    <row r="271064" spans="12:13" x14ac:dyDescent="0.25">
      <c r="L271064" s="472"/>
      <c r="M271064" s="472"/>
    </row>
    <row r="271065" spans="12:13" x14ac:dyDescent="0.25">
      <c r="L271065" s="472"/>
      <c r="M271065" s="472"/>
    </row>
    <row r="271137" spans="12:13" x14ac:dyDescent="0.25">
      <c r="L271137" s="472"/>
      <c r="M271137" s="472"/>
    </row>
    <row r="271138" spans="12:13" x14ac:dyDescent="0.25">
      <c r="L271138" s="472"/>
      <c r="M271138" s="472"/>
    </row>
    <row r="271139" spans="12:13" x14ac:dyDescent="0.25">
      <c r="L271139" s="472"/>
      <c r="M271139" s="472"/>
    </row>
    <row r="271211" spans="12:13" x14ac:dyDescent="0.25">
      <c r="L271211" s="472"/>
      <c r="M271211" s="472"/>
    </row>
    <row r="271212" spans="12:13" x14ac:dyDescent="0.25">
      <c r="L271212" s="472"/>
      <c r="M271212" s="472"/>
    </row>
    <row r="271213" spans="12:13" x14ac:dyDescent="0.25">
      <c r="L271213" s="472"/>
      <c r="M271213" s="472"/>
    </row>
    <row r="271285" spans="12:13" x14ac:dyDescent="0.25">
      <c r="L271285" s="472"/>
      <c r="M271285" s="472"/>
    </row>
    <row r="271286" spans="12:13" x14ac:dyDescent="0.25">
      <c r="L271286" s="472"/>
      <c r="M271286" s="472"/>
    </row>
    <row r="271287" spans="12:13" x14ac:dyDescent="0.25">
      <c r="L271287" s="472"/>
      <c r="M271287" s="472"/>
    </row>
    <row r="271359" spans="12:13" x14ac:dyDescent="0.25">
      <c r="L271359" s="472"/>
      <c r="M271359" s="472"/>
    </row>
    <row r="271360" spans="12:13" x14ac:dyDescent="0.25">
      <c r="L271360" s="472"/>
      <c r="M271360" s="472"/>
    </row>
    <row r="271361" spans="12:13" x14ac:dyDescent="0.25">
      <c r="L271361" s="472"/>
      <c r="M271361" s="472"/>
    </row>
    <row r="271433" spans="12:13" x14ac:dyDescent="0.25">
      <c r="L271433" s="472"/>
      <c r="M271433" s="472"/>
    </row>
    <row r="271434" spans="12:13" x14ac:dyDescent="0.25">
      <c r="L271434" s="472"/>
      <c r="M271434" s="472"/>
    </row>
    <row r="271435" spans="12:13" x14ac:dyDescent="0.25">
      <c r="L271435" s="472"/>
      <c r="M271435" s="472"/>
    </row>
    <row r="271507" spans="12:13" x14ac:dyDescent="0.25">
      <c r="L271507" s="472"/>
      <c r="M271507" s="472"/>
    </row>
    <row r="271508" spans="12:13" x14ac:dyDescent="0.25">
      <c r="L271508" s="472"/>
      <c r="M271508" s="472"/>
    </row>
    <row r="271509" spans="12:13" x14ac:dyDescent="0.25">
      <c r="L271509" s="472"/>
      <c r="M271509" s="472"/>
    </row>
    <row r="271581" spans="12:13" x14ac:dyDescent="0.25">
      <c r="L271581" s="472"/>
      <c r="M271581" s="472"/>
    </row>
    <row r="271582" spans="12:13" x14ac:dyDescent="0.25">
      <c r="L271582" s="472"/>
      <c r="M271582" s="472"/>
    </row>
    <row r="271583" spans="12:13" x14ac:dyDescent="0.25">
      <c r="L271583" s="472"/>
      <c r="M271583" s="472"/>
    </row>
    <row r="271655" spans="12:13" x14ac:dyDescent="0.25">
      <c r="L271655" s="472"/>
      <c r="M271655" s="472"/>
    </row>
    <row r="271656" spans="12:13" x14ac:dyDescent="0.25">
      <c r="L271656" s="472"/>
      <c r="M271656" s="472"/>
    </row>
    <row r="271657" spans="12:13" x14ac:dyDescent="0.25">
      <c r="L271657" s="472"/>
      <c r="M271657" s="472"/>
    </row>
    <row r="271729" spans="12:13" x14ac:dyDescent="0.25">
      <c r="L271729" s="472"/>
      <c r="M271729" s="472"/>
    </row>
    <row r="271730" spans="12:13" x14ac:dyDescent="0.25">
      <c r="L271730" s="472"/>
      <c r="M271730" s="472"/>
    </row>
    <row r="271731" spans="12:13" x14ac:dyDescent="0.25">
      <c r="L271731" s="472"/>
      <c r="M271731" s="472"/>
    </row>
    <row r="271803" spans="12:13" x14ac:dyDescent="0.25">
      <c r="L271803" s="472"/>
      <c r="M271803" s="472"/>
    </row>
    <row r="271804" spans="12:13" x14ac:dyDescent="0.25">
      <c r="L271804" s="472"/>
      <c r="M271804" s="472"/>
    </row>
    <row r="271805" spans="12:13" x14ac:dyDescent="0.25">
      <c r="L271805" s="472"/>
      <c r="M271805" s="472"/>
    </row>
    <row r="271877" spans="12:13" x14ac:dyDescent="0.25">
      <c r="L271877" s="472"/>
      <c r="M271877" s="472"/>
    </row>
    <row r="271878" spans="12:13" x14ac:dyDescent="0.25">
      <c r="L271878" s="472"/>
      <c r="M271878" s="472"/>
    </row>
    <row r="271879" spans="12:13" x14ac:dyDescent="0.25">
      <c r="L271879" s="472"/>
      <c r="M271879" s="472"/>
    </row>
    <row r="271951" spans="12:13" x14ac:dyDescent="0.25">
      <c r="L271951" s="472"/>
      <c r="M271951" s="472"/>
    </row>
    <row r="271952" spans="12:13" x14ac:dyDescent="0.25">
      <c r="L271952" s="472"/>
      <c r="M271952" s="472"/>
    </row>
    <row r="271953" spans="12:13" x14ac:dyDescent="0.25">
      <c r="L271953" s="472"/>
      <c r="M271953" s="472"/>
    </row>
    <row r="272025" spans="12:13" x14ac:dyDescent="0.25">
      <c r="L272025" s="472"/>
      <c r="M272025" s="472"/>
    </row>
    <row r="272026" spans="12:13" x14ac:dyDescent="0.25">
      <c r="L272026" s="472"/>
      <c r="M272026" s="472"/>
    </row>
    <row r="272027" spans="12:13" x14ac:dyDescent="0.25">
      <c r="L272027" s="472"/>
      <c r="M272027" s="472"/>
    </row>
    <row r="272099" spans="12:13" x14ac:dyDescent="0.25">
      <c r="L272099" s="472"/>
      <c r="M272099" s="472"/>
    </row>
    <row r="272100" spans="12:13" x14ac:dyDescent="0.25">
      <c r="L272100" s="472"/>
      <c r="M272100" s="472"/>
    </row>
    <row r="272101" spans="12:13" x14ac:dyDescent="0.25">
      <c r="L272101" s="472"/>
      <c r="M272101" s="472"/>
    </row>
    <row r="272173" spans="12:13" x14ac:dyDescent="0.25">
      <c r="L272173" s="472"/>
      <c r="M272173" s="472"/>
    </row>
    <row r="272174" spans="12:13" x14ac:dyDescent="0.25">
      <c r="L272174" s="472"/>
      <c r="M272174" s="472"/>
    </row>
    <row r="272175" spans="12:13" x14ac:dyDescent="0.25">
      <c r="L272175" s="472"/>
      <c r="M272175" s="472"/>
    </row>
    <row r="272247" spans="12:13" x14ac:dyDescent="0.25">
      <c r="L272247" s="472"/>
      <c r="M272247" s="472"/>
    </row>
    <row r="272248" spans="12:13" x14ac:dyDescent="0.25">
      <c r="L272248" s="472"/>
      <c r="M272248" s="472"/>
    </row>
    <row r="272249" spans="12:13" x14ac:dyDescent="0.25">
      <c r="L272249" s="472"/>
      <c r="M272249" s="472"/>
    </row>
    <row r="272321" spans="12:13" x14ac:dyDescent="0.25">
      <c r="L272321" s="472"/>
      <c r="M272321" s="472"/>
    </row>
    <row r="272322" spans="12:13" x14ac:dyDescent="0.25">
      <c r="L272322" s="472"/>
      <c r="M272322" s="472"/>
    </row>
    <row r="272323" spans="12:13" x14ac:dyDescent="0.25">
      <c r="L272323" s="472"/>
      <c r="M272323" s="472"/>
    </row>
    <row r="272395" spans="12:13" x14ac:dyDescent="0.25">
      <c r="L272395" s="472"/>
      <c r="M272395" s="472"/>
    </row>
    <row r="272396" spans="12:13" x14ac:dyDescent="0.25">
      <c r="L272396" s="472"/>
      <c r="M272396" s="472"/>
    </row>
    <row r="272397" spans="12:13" x14ac:dyDescent="0.25">
      <c r="L272397" s="472"/>
      <c r="M272397" s="472"/>
    </row>
    <row r="272469" spans="12:13" x14ac:dyDescent="0.25">
      <c r="L272469" s="472"/>
      <c r="M272469" s="472"/>
    </row>
    <row r="272470" spans="12:13" x14ac:dyDescent="0.25">
      <c r="L272470" s="472"/>
      <c r="M272470" s="472"/>
    </row>
    <row r="272471" spans="12:13" x14ac:dyDescent="0.25">
      <c r="L272471" s="472"/>
      <c r="M272471" s="472"/>
    </row>
    <row r="272543" spans="12:13" x14ac:dyDescent="0.25">
      <c r="L272543" s="472"/>
      <c r="M272543" s="472"/>
    </row>
    <row r="272544" spans="12:13" x14ac:dyDescent="0.25">
      <c r="L272544" s="472"/>
      <c r="M272544" s="472"/>
    </row>
    <row r="272545" spans="12:13" x14ac:dyDescent="0.25">
      <c r="L272545" s="472"/>
      <c r="M272545" s="472"/>
    </row>
    <row r="272617" spans="12:13" x14ac:dyDescent="0.25">
      <c r="L272617" s="472"/>
      <c r="M272617" s="472"/>
    </row>
    <row r="272618" spans="12:13" x14ac:dyDescent="0.25">
      <c r="L272618" s="472"/>
      <c r="M272618" s="472"/>
    </row>
    <row r="272619" spans="12:13" x14ac:dyDescent="0.25">
      <c r="L272619" s="472"/>
      <c r="M272619" s="472"/>
    </row>
    <row r="272691" spans="12:13" x14ac:dyDescent="0.25">
      <c r="L272691" s="472"/>
      <c r="M272691" s="472"/>
    </row>
    <row r="272692" spans="12:13" x14ac:dyDescent="0.25">
      <c r="L272692" s="472"/>
      <c r="M272692" s="472"/>
    </row>
    <row r="272693" spans="12:13" x14ac:dyDescent="0.25">
      <c r="L272693" s="472"/>
      <c r="M272693" s="472"/>
    </row>
    <row r="272765" spans="12:13" x14ac:dyDescent="0.25">
      <c r="L272765" s="472"/>
      <c r="M272765" s="472"/>
    </row>
    <row r="272766" spans="12:13" x14ac:dyDescent="0.25">
      <c r="L272766" s="472"/>
      <c r="M272766" s="472"/>
    </row>
    <row r="272767" spans="12:13" x14ac:dyDescent="0.25">
      <c r="L272767" s="472"/>
      <c r="M272767" s="472"/>
    </row>
    <row r="272839" spans="12:13" x14ac:dyDescent="0.25">
      <c r="L272839" s="472"/>
      <c r="M272839" s="472"/>
    </row>
    <row r="272840" spans="12:13" x14ac:dyDescent="0.25">
      <c r="L272840" s="472"/>
      <c r="M272840" s="472"/>
    </row>
    <row r="272841" spans="12:13" x14ac:dyDescent="0.25">
      <c r="L272841" s="472"/>
      <c r="M272841" s="472"/>
    </row>
    <row r="272913" spans="12:13" x14ac:dyDescent="0.25">
      <c r="L272913" s="472"/>
      <c r="M272913" s="472"/>
    </row>
    <row r="272914" spans="12:13" x14ac:dyDescent="0.25">
      <c r="L272914" s="472"/>
      <c r="M272914" s="472"/>
    </row>
    <row r="272915" spans="12:13" x14ac:dyDescent="0.25">
      <c r="L272915" s="472"/>
      <c r="M272915" s="472"/>
    </row>
    <row r="272987" spans="12:13" x14ac:dyDescent="0.25">
      <c r="L272987" s="472"/>
      <c r="M272987" s="472"/>
    </row>
    <row r="272988" spans="12:13" x14ac:dyDescent="0.25">
      <c r="L272988" s="472"/>
      <c r="M272988" s="472"/>
    </row>
    <row r="272989" spans="12:13" x14ac:dyDescent="0.25">
      <c r="L272989" s="472"/>
      <c r="M272989" s="472"/>
    </row>
    <row r="273061" spans="12:13" x14ac:dyDescent="0.25">
      <c r="L273061" s="472"/>
      <c r="M273061" s="472"/>
    </row>
    <row r="273062" spans="12:13" x14ac:dyDescent="0.25">
      <c r="L273062" s="472"/>
      <c r="M273062" s="472"/>
    </row>
    <row r="273063" spans="12:13" x14ac:dyDescent="0.25">
      <c r="L273063" s="472"/>
      <c r="M273063" s="472"/>
    </row>
    <row r="273135" spans="12:13" x14ac:dyDescent="0.25">
      <c r="L273135" s="472"/>
      <c r="M273135" s="472"/>
    </row>
    <row r="273136" spans="12:13" x14ac:dyDescent="0.25">
      <c r="L273136" s="472"/>
      <c r="M273136" s="472"/>
    </row>
    <row r="273137" spans="12:13" x14ac:dyDescent="0.25">
      <c r="L273137" s="472"/>
      <c r="M273137" s="472"/>
    </row>
    <row r="273209" spans="12:13" x14ac:dyDescent="0.25">
      <c r="L273209" s="472"/>
      <c r="M273209" s="472"/>
    </row>
    <row r="273210" spans="12:13" x14ac:dyDescent="0.25">
      <c r="L273210" s="472"/>
      <c r="M273210" s="472"/>
    </row>
    <row r="273211" spans="12:13" x14ac:dyDescent="0.25">
      <c r="L273211" s="472"/>
      <c r="M273211" s="472"/>
    </row>
    <row r="273283" spans="12:13" x14ac:dyDescent="0.25">
      <c r="L273283" s="472"/>
      <c r="M273283" s="472"/>
    </row>
    <row r="273284" spans="12:13" x14ac:dyDescent="0.25">
      <c r="L273284" s="472"/>
      <c r="M273284" s="472"/>
    </row>
    <row r="273285" spans="12:13" x14ac:dyDescent="0.25">
      <c r="L273285" s="472"/>
      <c r="M273285" s="472"/>
    </row>
    <row r="273357" spans="12:13" x14ac:dyDescent="0.25">
      <c r="L273357" s="472"/>
      <c r="M273357" s="472"/>
    </row>
    <row r="273358" spans="12:13" x14ac:dyDescent="0.25">
      <c r="L273358" s="472"/>
      <c r="M273358" s="472"/>
    </row>
    <row r="273359" spans="12:13" x14ac:dyDescent="0.25">
      <c r="L273359" s="472"/>
      <c r="M273359" s="472"/>
    </row>
    <row r="273431" spans="12:13" x14ac:dyDescent="0.25">
      <c r="L273431" s="472"/>
      <c r="M273431" s="472"/>
    </row>
    <row r="273432" spans="12:13" x14ac:dyDescent="0.25">
      <c r="L273432" s="472"/>
      <c r="M273432" s="472"/>
    </row>
    <row r="273433" spans="12:13" x14ac:dyDescent="0.25">
      <c r="L273433" s="472"/>
      <c r="M273433" s="472"/>
    </row>
    <row r="273505" spans="12:13" x14ac:dyDescent="0.25">
      <c r="L273505" s="472"/>
      <c r="M273505" s="472"/>
    </row>
    <row r="273506" spans="12:13" x14ac:dyDescent="0.25">
      <c r="L273506" s="472"/>
      <c r="M273506" s="472"/>
    </row>
    <row r="273507" spans="12:13" x14ac:dyDescent="0.25">
      <c r="L273507" s="472"/>
      <c r="M273507" s="472"/>
    </row>
    <row r="273579" spans="12:13" x14ac:dyDescent="0.25">
      <c r="L273579" s="472"/>
      <c r="M273579" s="472"/>
    </row>
    <row r="273580" spans="12:13" x14ac:dyDescent="0.25">
      <c r="L273580" s="472"/>
      <c r="M273580" s="472"/>
    </row>
    <row r="273581" spans="12:13" x14ac:dyDescent="0.25">
      <c r="L273581" s="472"/>
      <c r="M273581" s="472"/>
    </row>
    <row r="273653" spans="12:13" x14ac:dyDescent="0.25">
      <c r="L273653" s="472"/>
      <c r="M273653" s="472"/>
    </row>
    <row r="273654" spans="12:13" x14ac:dyDescent="0.25">
      <c r="L273654" s="472"/>
      <c r="M273654" s="472"/>
    </row>
    <row r="273655" spans="12:13" x14ac:dyDescent="0.25">
      <c r="L273655" s="472"/>
      <c r="M273655" s="472"/>
    </row>
    <row r="273727" spans="12:13" x14ac:dyDescent="0.25">
      <c r="L273727" s="472"/>
      <c r="M273727" s="472"/>
    </row>
    <row r="273728" spans="12:13" x14ac:dyDescent="0.25">
      <c r="L273728" s="472"/>
      <c r="M273728" s="472"/>
    </row>
    <row r="273729" spans="12:13" x14ac:dyDescent="0.25">
      <c r="L273729" s="472"/>
      <c r="M273729" s="472"/>
    </row>
    <row r="273801" spans="12:13" x14ac:dyDescent="0.25">
      <c r="L273801" s="472"/>
      <c r="M273801" s="472"/>
    </row>
    <row r="273802" spans="12:13" x14ac:dyDescent="0.25">
      <c r="L273802" s="472"/>
      <c r="M273802" s="472"/>
    </row>
    <row r="273803" spans="12:13" x14ac:dyDescent="0.25">
      <c r="L273803" s="472"/>
      <c r="M273803" s="472"/>
    </row>
    <row r="273875" spans="12:13" x14ac:dyDescent="0.25">
      <c r="L273875" s="472"/>
      <c r="M273875" s="472"/>
    </row>
    <row r="273876" spans="12:13" x14ac:dyDescent="0.25">
      <c r="L273876" s="472"/>
      <c r="M273876" s="472"/>
    </row>
    <row r="273877" spans="12:13" x14ac:dyDescent="0.25">
      <c r="L273877" s="472"/>
      <c r="M273877" s="472"/>
    </row>
    <row r="273949" spans="12:13" x14ac:dyDescent="0.25">
      <c r="L273949" s="472"/>
      <c r="M273949" s="472"/>
    </row>
    <row r="273950" spans="12:13" x14ac:dyDescent="0.25">
      <c r="L273950" s="472"/>
      <c r="M273950" s="472"/>
    </row>
    <row r="273951" spans="12:13" x14ac:dyDescent="0.25">
      <c r="L273951" s="472"/>
      <c r="M273951" s="472"/>
    </row>
    <row r="274023" spans="12:13" x14ac:dyDescent="0.25">
      <c r="L274023" s="472"/>
      <c r="M274023" s="472"/>
    </row>
    <row r="274024" spans="12:13" x14ac:dyDescent="0.25">
      <c r="L274024" s="472"/>
      <c r="M274024" s="472"/>
    </row>
    <row r="274025" spans="12:13" x14ac:dyDescent="0.25">
      <c r="L274025" s="472"/>
      <c r="M274025" s="472"/>
    </row>
    <row r="274097" spans="12:13" x14ac:dyDescent="0.25">
      <c r="L274097" s="472"/>
      <c r="M274097" s="472"/>
    </row>
    <row r="274098" spans="12:13" x14ac:dyDescent="0.25">
      <c r="L274098" s="472"/>
      <c r="M274098" s="472"/>
    </row>
    <row r="274099" spans="12:13" x14ac:dyDescent="0.25">
      <c r="L274099" s="472"/>
      <c r="M274099" s="472"/>
    </row>
    <row r="274171" spans="12:13" x14ac:dyDescent="0.25">
      <c r="L274171" s="472"/>
      <c r="M274171" s="472"/>
    </row>
    <row r="274172" spans="12:13" x14ac:dyDescent="0.25">
      <c r="L274172" s="472"/>
      <c r="M274172" s="472"/>
    </row>
    <row r="274173" spans="12:13" x14ac:dyDescent="0.25">
      <c r="L274173" s="472"/>
      <c r="M274173" s="472"/>
    </row>
    <row r="274245" spans="12:13" x14ac:dyDescent="0.25">
      <c r="L274245" s="472"/>
      <c r="M274245" s="472"/>
    </row>
    <row r="274246" spans="12:13" x14ac:dyDescent="0.25">
      <c r="L274246" s="472"/>
      <c r="M274246" s="472"/>
    </row>
    <row r="274247" spans="12:13" x14ac:dyDescent="0.25">
      <c r="L274247" s="472"/>
      <c r="M274247" s="472"/>
    </row>
    <row r="274319" spans="12:13" x14ac:dyDescent="0.25">
      <c r="L274319" s="472"/>
      <c r="M274319" s="472"/>
    </row>
    <row r="274320" spans="12:13" x14ac:dyDescent="0.25">
      <c r="L274320" s="472"/>
      <c r="M274320" s="472"/>
    </row>
    <row r="274321" spans="12:13" x14ac:dyDescent="0.25">
      <c r="L274321" s="472"/>
      <c r="M274321" s="472"/>
    </row>
    <row r="274393" spans="12:13" x14ac:dyDescent="0.25">
      <c r="L274393" s="472"/>
      <c r="M274393" s="472"/>
    </row>
    <row r="274394" spans="12:13" x14ac:dyDescent="0.25">
      <c r="L274394" s="472"/>
      <c r="M274394" s="472"/>
    </row>
    <row r="274395" spans="12:13" x14ac:dyDescent="0.25">
      <c r="L274395" s="472"/>
      <c r="M274395" s="472"/>
    </row>
    <row r="274467" spans="12:13" x14ac:dyDescent="0.25">
      <c r="L274467" s="472"/>
      <c r="M274467" s="472"/>
    </row>
    <row r="274468" spans="12:13" x14ac:dyDescent="0.25">
      <c r="L274468" s="472"/>
      <c r="M274468" s="472"/>
    </row>
    <row r="274469" spans="12:13" x14ac:dyDescent="0.25">
      <c r="L274469" s="472"/>
      <c r="M274469" s="472"/>
    </row>
    <row r="274541" spans="12:13" x14ac:dyDescent="0.25">
      <c r="L274541" s="472"/>
      <c r="M274541" s="472"/>
    </row>
    <row r="274542" spans="12:13" x14ac:dyDescent="0.25">
      <c r="L274542" s="472"/>
      <c r="M274542" s="472"/>
    </row>
    <row r="274543" spans="12:13" x14ac:dyDescent="0.25">
      <c r="L274543" s="472"/>
      <c r="M274543" s="472"/>
    </row>
    <row r="274615" spans="12:13" x14ac:dyDescent="0.25">
      <c r="L274615" s="472"/>
      <c r="M274615" s="472"/>
    </row>
    <row r="274616" spans="12:13" x14ac:dyDescent="0.25">
      <c r="L274616" s="472"/>
      <c r="M274616" s="472"/>
    </row>
    <row r="274617" spans="12:13" x14ac:dyDescent="0.25">
      <c r="L274617" s="472"/>
      <c r="M274617" s="472"/>
    </row>
    <row r="274689" spans="12:13" x14ac:dyDescent="0.25">
      <c r="L274689" s="472"/>
      <c r="M274689" s="472"/>
    </row>
    <row r="274690" spans="12:13" x14ac:dyDescent="0.25">
      <c r="L274690" s="472"/>
      <c r="M274690" s="472"/>
    </row>
    <row r="274691" spans="12:13" x14ac:dyDescent="0.25">
      <c r="L274691" s="472"/>
      <c r="M274691" s="472"/>
    </row>
    <row r="274763" spans="12:13" x14ac:dyDescent="0.25">
      <c r="L274763" s="472"/>
      <c r="M274763" s="472"/>
    </row>
    <row r="274764" spans="12:13" x14ac:dyDescent="0.25">
      <c r="L274764" s="472"/>
      <c r="M274764" s="472"/>
    </row>
    <row r="274765" spans="12:13" x14ac:dyDescent="0.25">
      <c r="L274765" s="472"/>
      <c r="M274765" s="472"/>
    </row>
    <row r="274837" spans="12:13" x14ac:dyDescent="0.25">
      <c r="L274837" s="472"/>
      <c r="M274837" s="472"/>
    </row>
    <row r="274838" spans="12:13" x14ac:dyDescent="0.25">
      <c r="L274838" s="472"/>
      <c r="M274838" s="472"/>
    </row>
    <row r="274839" spans="12:13" x14ac:dyDescent="0.25">
      <c r="L274839" s="472"/>
      <c r="M274839" s="472"/>
    </row>
    <row r="274911" spans="12:13" x14ac:dyDescent="0.25">
      <c r="L274911" s="472"/>
      <c r="M274911" s="472"/>
    </row>
    <row r="274912" spans="12:13" x14ac:dyDescent="0.25">
      <c r="L274912" s="472"/>
      <c r="M274912" s="472"/>
    </row>
    <row r="274913" spans="12:13" x14ac:dyDescent="0.25">
      <c r="L274913" s="472"/>
      <c r="M274913" s="472"/>
    </row>
    <row r="274985" spans="12:13" x14ac:dyDescent="0.25">
      <c r="L274985" s="472"/>
      <c r="M274985" s="472"/>
    </row>
    <row r="274986" spans="12:13" x14ac:dyDescent="0.25">
      <c r="L274986" s="472"/>
      <c r="M274986" s="472"/>
    </row>
    <row r="274987" spans="12:13" x14ac:dyDescent="0.25">
      <c r="L274987" s="472"/>
      <c r="M274987" s="472"/>
    </row>
    <row r="275059" spans="12:13" x14ac:dyDescent="0.25">
      <c r="L275059" s="472"/>
      <c r="M275059" s="472"/>
    </row>
    <row r="275060" spans="12:13" x14ac:dyDescent="0.25">
      <c r="L275060" s="472"/>
      <c r="M275060" s="472"/>
    </row>
    <row r="275061" spans="12:13" x14ac:dyDescent="0.25">
      <c r="L275061" s="472"/>
      <c r="M275061" s="472"/>
    </row>
    <row r="275133" spans="12:13" x14ac:dyDescent="0.25">
      <c r="L275133" s="472"/>
      <c r="M275133" s="472"/>
    </row>
    <row r="275134" spans="12:13" x14ac:dyDescent="0.25">
      <c r="L275134" s="472"/>
      <c r="M275134" s="472"/>
    </row>
    <row r="275135" spans="12:13" x14ac:dyDescent="0.25">
      <c r="L275135" s="472"/>
      <c r="M275135" s="472"/>
    </row>
    <row r="275207" spans="12:13" x14ac:dyDescent="0.25">
      <c r="L275207" s="472"/>
      <c r="M275207" s="472"/>
    </row>
    <row r="275208" spans="12:13" x14ac:dyDescent="0.25">
      <c r="L275208" s="472"/>
      <c r="M275208" s="472"/>
    </row>
    <row r="275209" spans="12:13" x14ac:dyDescent="0.25">
      <c r="L275209" s="472"/>
      <c r="M275209" s="472"/>
    </row>
    <row r="275281" spans="12:13" x14ac:dyDescent="0.25">
      <c r="L275281" s="472"/>
      <c r="M275281" s="472"/>
    </row>
    <row r="275282" spans="12:13" x14ac:dyDescent="0.25">
      <c r="L275282" s="472"/>
      <c r="M275282" s="472"/>
    </row>
    <row r="275283" spans="12:13" x14ac:dyDescent="0.25">
      <c r="L275283" s="472"/>
      <c r="M275283" s="472"/>
    </row>
    <row r="275355" spans="12:13" x14ac:dyDescent="0.25">
      <c r="L275355" s="472"/>
      <c r="M275355" s="472"/>
    </row>
    <row r="275356" spans="12:13" x14ac:dyDescent="0.25">
      <c r="L275356" s="472"/>
      <c r="M275356" s="472"/>
    </row>
    <row r="275357" spans="12:13" x14ac:dyDescent="0.25">
      <c r="L275357" s="472"/>
      <c r="M275357" s="472"/>
    </row>
    <row r="275429" spans="12:13" x14ac:dyDescent="0.25">
      <c r="L275429" s="472"/>
      <c r="M275429" s="472"/>
    </row>
    <row r="275430" spans="12:13" x14ac:dyDescent="0.25">
      <c r="L275430" s="472"/>
      <c r="M275430" s="472"/>
    </row>
    <row r="275431" spans="12:13" x14ac:dyDescent="0.25">
      <c r="L275431" s="472"/>
      <c r="M275431" s="472"/>
    </row>
    <row r="275503" spans="12:13" x14ac:dyDescent="0.25">
      <c r="L275503" s="472"/>
      <c r="M275503" s="472"/>
    </row>
    <row r="275504" spans="12:13" x14ac:dyDescent="0.25">
      <c r="L275504" s="472"/>
      <c r="M275504" s="472"/>
    </row>
    <row r="275505" spans="12:13" x14ac:dyDescent="0.25">
      <c r="L275505" s="472"/>
      <c r="M275505" s="472"/>
    </row>
    <row r="275577" spans="12:13" x14ac:dyDescent="0.25">
      <c r="L275577" s="472"/>
      <c r="M275577" s="472"/>
    </row>
    <row r="275578" spans="12:13" x14ac:dyDescent="0.25">
      <c r="L275578" s="472"/>
      <c r="M275578" s="472"/>
    </row>
    <row r="275579" spans="12:13" x14ac:dyDescent="0.25">
      <c r="L275579" s="472"/>
      <c r="M275579" s="472"/>
    </row>
    <row r="275651" spans="12:13" x14ac:dyDescent="0.25">
      <c r="L275651" s="472"/>
      <c r="M275651" s="472"/>
    </row>
    <row r="275652" spans="12:13" x14ac:dyDescent="0.25">
      <c r="L275652" s="472"/>
      <c r="M275652" s="472"/>
    </row>
    <row r="275653" spans="12:13" x14ac:dyDescent="0.25">
      <c r="L275653" s="472"/>
      <c r="M275653" s="472"/>
    </row>
    <row r="275725" spans="12:13" x14ac:dyDescent="0.25">
      <c r="L275725" s="472"/>
      <c r="M275725" s="472"/>
    </row>
    <row r="275726" spans="12:13" x14ac:dyDescent="0.25">
      <c r="L275726" s="472"/>
      <c r="M275726" s="472"/>
    </row>
    <row r="275727" spans="12:13" x14ac:dyDescent="0.25">
      <c r="L275727" s="472"/>
      <c r="M275727" s="472"/>
    </row>
    <row r="275799" spans="12:13" x14ac:dyDescent="0.25">
      <c r="L275799" s="472"/>
      <c r="M275799" s="472"/>
    </row>
    <row r="275800" spans="12:13" x14ac:dyDescent="0.25">
      <c r="L275800" s="472"/>
      <c r="M275800" s="472"/>
    </row>
    <row r="275801" spans="12:13" x14ac:dyDescent="0.25">
      <c r="L275801" s="472"/>
      <c r="M275801" s="472"/>
    </row>
    <row r="275873" spans="12:13" x14ac:dyDescent="0.25">
      <c r="L275873" s="472"/>
      <c r="M275873" s="472"/>
    </row>
    <row r="275874" spans="12:13" x14ac:dyDescent="0.25">
      <c r="L275874" s="472"/>
      <c r="M275874" s="472"/>
    </row>
    <row r="275875" spans="12:13" x14ac:dyDescent="0.25">
      <c r="L275875" s="472"/>
      <c r="M275875" s="472"/>
    </row>
    <row r="275947" spans="12:13" x14ac:dyDescent="0.25">
      <c r="L275947" s="472"/>
      <c r="M275947" s="472"/>
    </row>
    <row r="275948" spans="12:13" x14ac:dyDescent="0.25">
      <c r="L275948" s="472"/>
      <c r="M275948" s="472"/>
    </row>
    <row r="275949" spans="12:13" x14ac:dyDescent="0.25">
      <c r="L275949" s="472"/>
      <c r="M275949" s="472"/>
    </row>
    <row r="276021" spans="12:13" x14ac:dyDescent="0.25">
      <c r="L276021" s="472"/>
      <c r="M276021" s="472"/>
    </row>
    <row r="276022" spans="12:13" x14ac:dyDescent="0.25">
      <c r="L276022" s="472"/>
      <c r="M276022" s="472"/>
    </row>
    <row r="276023" spans="12:13" x14ac:dyDescent="0.25">
      <c r="L276023" s="472"/>
      <c r="M276023" s="472"/>
    </row>
    <row r="276095" spans="12:13" x14ac:dyDescent="0.25">
      <c r="L276095" s="472"/>
      <c r="M276095" s="472"/>
    </row>
    <row r="276096" spans="12:13" x14ac:dyDescent="0.25">
      <c r="L276096" s="472"/>
      <c r="M276096" s="472"/>
    </row>
    <row r="276097" spans="12:13" x14ac:dyDescent="0.25">
      <c r="L276097" s="472"/>
      <c r="M276097" s="472"/>
    </row>
    <row r="276169" spans="12:13" x14ac:dyDescent="0.25">
      <c r="L276169" s="472"/>
      <c r="M276169" s="472"/>
    </row>
    <row r="276170" spans="12:13" x14ac:dyDescent="0.25">
      <c r="L276170" s="472"/>
      <c r="M276170" s="472"/>
    </row>
    <row r="276171" spans="12:13" x14ac:dyDescent="0.25">
      <c r="L276171" s="472"/>
      <c r="M276171" s="472"/>
    </row>
    <row r="276243" spans="12:13" x14ac:dyDescent="0.25">
      <c r="L276243" s="472"/>
      <c r="M276243" s="472"/>
    </row>
    <row r="276244" spans="12:13" x14ac:dyDescent="0.25">
      <c r="L276244" s="472"/>
      <c r="M276244" s="472"/>
    </row>
    <row r="276245" spans="12:13" x14ac:dyDescent="0.25">
      <c r="L276245" s="472"/>
      <c r="M276245" s="472"/>
    </row>
    <row r="276317" spans="12:13" x14ac:dyDescent="0.25">
      <c r="L276317" s="472"/>
      <c r="M276317" s="472"/>
    </row>
    <row r="276318" spans="12:13" x14ac:dyDescent="0.25">
      <c r="L276318" s="472"/>
      <c r="M276318" s="472"/>
    </row>
    <row r="276319" spans="12:13" x14ac:dyDescent="0.25">
      <c r="L276319" s="472"/>
      <c r="M276319" s="472"/>
    </row>
    <row r="276391" spans="12:13" x14ac:dyDescent="0.25">
      <c r="L276391" s="472"/>
      <c r="M276391" s="472"/>
    </row>
    <row r="276392" spans="12:13" x14ac:dyDescent="0.25">
      <c r="L276392" s="472"/>
      <c r="M276392" s="472"/>
    </row>
    <row r="276393" spans="12:13" x14ac:dyDescent="0.25">
      <c r="L276393" s="472"/>
      <c r="M276393" s="472"/>
    </row>
    <row r="276465" spans="12:13" x14ac:dyDescent="0.25">
      <c r="L276465" s="472"/>
      <c r="M276465" s="472"/>
    </row>
    <row r="276466" spans="12:13" x14ac:dyDescent="0.25">
      <c r="L276466" s="472"/>
      <c r="M276466" s="472"/>
    </row>
    <row r="276467" spans="12:13" x14ac:dyDescent="0.25">
      <c r="L276467" s="472"/>
      <c r="M276467" s="472"/>
    </row>
    <row r="276539" spans="12:13" x14ac:dyDescent="0.25">
      <c r="L276539" s="472"/>
      <c r="M276539" s="472"/>
    </row>
    <row r="276540" spans="12:13" x14ac:dyDescent="0.25">
      <c r="L276540" s="472"/>
      <c r="M276540" s="472"/>
    </row>
    <row r="276541" spans="12:13" x14ac:dyDescent="0.25">
      <c r="L276541" s="472"/>
      <c r="M276541" s="472"/>
    </row>
    <row r="276613" spans="12:13" x14ac:dyDescent="0.25">
      <c r="L276613" s="472"/>
      <c r="M276613" s="472"/>
    </row>
    <row r="276614" spans="12:13" x14ac:dyDescent="0.25">
      <c r="L276614" s="472"/>
      <c r="M276614" s="472"/>
    </row>
    <row r="276615" spans="12:13" x14ac:dyDescent="0.25">
      <c r="L276615" s="472"/>
      <c r="M276615" s="472"/>
    </row>
    <row r="276687" spans="12:13" x14ac:dyDescent="0.25">
      <c r="L276687" s="472"/>
      <c r="M276687" s="472"/>
    </row>
    <row r="276688" spans="12:13" x14ac:dyDescent="0.25">
      <c r="L276688" s="472"/>
      <c r="M276688" s="472"/>
    </row>
    <row r="276689" spans="12:13" x14ac:dyDescent="0.25">
      <c r="L276689" s="472"/>
      <c r="M276689" s="472"/>
    </row>
    <row r="276761" spans="12:13" x14ac:dyDescent="0.25">
      <c r="L276761" s="472"/>
      <c r="M276761" s="472"/>
    </row>
    <row r="276762" spans="12:13" x14ac:dyDescent="0.25">
      <c r="L276762" s="472"/>
      <c r="M276762" s="472"/>
    </row>
    <row r="276763" spans="12:13" x14ac:dyDescent="0.25">
      <c r="L276763" s="472"/>
      <c r="M276763" s="472"/>
    </row>
    <row r="276835" spans="12:13" x14ac:dyDescent="0.25">
      <c r="L276835" s="472"/>
      <c r="M276835" s="472"/>
    </row>
    <row r="276836" spans="12:13" x14ac:dyDescent="0.25">
      <c r="L276836" s="472"/>
      <c r="M276836" s="472"/>
    </row>
    <row r="276837" spans="12:13" x14ac:dyDescent="0.25">
      <c r="L276837" s="472"/>
      <c r="M276837" s="472"/>
    </row>
    <row r="276909" spans="12:13" x14ac:dyDescent="0.25">
      <c r="L276909" s="472"/>
      <c r="M276909" s="472"/>
    </row>
    <row r="276910" spans="12:13" x14ac:dyDescent="0.25">
      <c r="L276910" s="472"/>
      <c r="M276910" s="472"/>
    </row>
    <row r="276911" spans="12:13" x14ac:dyDescent="0.25">
      <c r="L276911" s="472"/>
      <c r="M276911" s="472"/>
    </row>
    <row r="276983" spans="12:13" x14ac:dyDescent="0.25">
      <c r="L276983" s="472"/>
      <c r="M276983" s="472"/>
    </row>
    <row r="276984" spans="12:13" x14ac:dyDescent="0.25">
      <c r="L276984" s="472"/>
      <c r="M276984" s="472"/>
    </row>
    <row r="276985" spans="12:13" x14ac:dyDescent="0.25">
      <c r="L276985" s="472"/>
      <c r="M276985" s="472"/>
    </row>
    <row r="277057" spans="12:13" x14ac:dyDescent="0.25">
      <c r="L277057" s="472"/>
      <c r="M277057" s="472"/>
    </row>
    <row r="277058" spans="12:13" x14ac:dyDescent="0.25">
      <c r="L277058" s="472"/>
      <c r="M277058" s="472"/>
    </row>
    <row r="277059" spans="12:13" x14ac:dyDescent="0.25">
      <c r="L277059" s="472"/>
      <c r="M277059" s="472"/>
    </row>
    <row r="277131" spans="12:13" x14ac:dyDescent="0.25">
      <c r="L277131" s="472"/>
      <c r="M277131" s="472"/>
    </row>
    <row r="277132" spans="12:13" x14ac:dyDescent="0.25">
      <c r="L277132" s="472"/>
      <c r="M277132" s="472"/>
    </row>
    <row r="277133" spans="12:13" x14ac:dyDescent="0.25">
      <c r="L277133" s="472"/>
      <c r="M277133" s="472"/>
    </row>
    <row r="277205" spans="12:13" x14ac:dyDescent="0.25">
      <c r="L277205" s="472"/>
      <c r="M277205" s="472"/>
    </row>
    <row r="277206" spans="12:13" x14ac:dyDescent="0.25">
      <c r="L277206" s="472"/>
      <c r="M277206" s="472"/>
    </row>
    <row r="277207" spans="12:13" x14ac:dyDescent="0.25">
      <c r="L277207" s="472"/>
      <c r="M277207" s="472"/>
    </row>
    <row r="277279" spans="12:13" x14ac:dyDescent="0.25">
      <c r="L277279" s="472"/>
      <c r="M277279" s="472"/>
    </row>
    <row r="277280" spans="12:13" x14ac:dyDescent="0.25">
      <c r="L277280" s="472"/>
      <c r="M277280" s="472"/>
    </row>
    <row r="277281" spans="12:13" x14ac:dyDescent="0.25">
      <c r="L277281" s="472"/>
      <c r="M277281" s="472"/>
    </row>
    <row r="277353" spans="12:13" x14ac:dyDescent="0.25">
      <c r="L277353" s="472"/>
      <c r="M277353" s="472"/>
    </row>
    <row r="277354" spans="12:13" x14ac:dyDescent="0.25">
      <c r="L277354" s="472"/>
      <c r="M277354" s="472"/>
    </row>
    <row r="277355" spans="12:13" x14ac:dyDescent="0.25">
      <c r="L277355" s="472"/>
      <c r="M277355" s="472"/>
    </row>
    <row r="277427" spans="12:13" x14ac:dyDescent="0.25">
      <c r="L277427" s="472"/>
      <c r="M277427" s="472"/>
    </row>
    <row r="277428" spans="12:13" x14ac:dyDescent="0.25">
      <c r="L277428" s="472"/>
      <c r="M277428" s="472"/>
    </row>
    <row r="277429" spans="12:13" x14ac:dyDescent="0.25">
      <c r="L277429" s="472"/>
      <c r="M277429" s="472"/>
    </row>
    <row r="277501" spans="12:13" x14ac:dyDescent="0.25">
      <c r="L277501" s="472"/>
      <c r="M277501" s="472"/>
    </row>
    <row r="277502" spans="12:13" x14ac:dyDescent="0.25">
      <c r="L277502" s="472"/>
      <c r="M277502" s="472"/>
    </row>
    <row r="277503" spans="12:13" x14ac:dyDescent="0.25">
      <c r="L277503" s="472"/>
      <c r="M277503" s="472"/>
    </row>
    <row r="277575" spans="12:13" x14ac:dyDescent="0.25">
      <c r="L277575" s="472"/>
      <c r="M277575" s="472"/>
    </row>
    <row r="277576" spans="12:13" x14ac:dyDescent="0.25">
      <c r="L277576" s="472"/>
      <c r="M277576" s="472"/>
    </row>
    <row r="277577" spans="12:13" x14ac:dyDescent="0.25">
      <c r="L277577" s="472"/>
      <c r="M277577" s="472"/>
    </row>
    <row r="277649" spans="12:13" x14ac:dyDescent="0.25">
      <c r="L277649" s="472"/>
      <c r="M277649" s="472"/>
    </row>
    <row r="277650" spans="12:13" x14ac:dyDescent="0.25">
      <c r="L277650" s="472"/>
      <c r="M277650" s="472"/>
    </row>
    <row r="277651" spans="12:13" x14ac:dyDescent="0.25">
      <c r="L277651" s="472"/>
      <c r="M277651" s="472"/>
    </row>
    <row r="277723" spans="12:13" x14ac:dyDescent="0.25">
      <c r="L277723" s="472"/>
      <c r="M277723" s="472"/>
    </row>
    <row r="277724" spans="12:13" x14ac:dyDescent="0.25">
      <c r="L277724" s="472"/>
      <c r="M277724" s="472"/>
    </row>
    <row r="277725" spans="12:13" x14ac:dyDescent="0.25">
      <c r="L277725" s="472"/>
      <c r="M277725" s="472"/>
    </row>
    <row r="277797" spans="12:13" x14ac:dyDescent="0.25">
      <c r="L277797" s="472"/>
      <c r="M277797" s="472"/>
    </row>
    <row r="277798" spans="12:13" x14ac:dyDescent="0.25">
      <c r="L277798" s="472"/>
      <c r="M277798" s="472"/>
    </row>
    <row r="277799" spans="12:13" x14ac:dyDescent="0.25">
      <c r="L277799" s="472"/>
      <c r="M277799" s="472"/>
    </row>
    <row r="277871" spans="12:13" x14ac:dyDescent="0.25">
      <c r="L277871" s="472"/>
      <c r="M277871" s="472"/>
    </row>
    <row r="277872" spans="12:13" x14ac:dyDescent="0.25">
      <c r="L277872" s="472"/>
      <c r="M277872" s="472"/>
    </row>
    <row r="277873" spans="12:13" x14ac:dyDescent="0.25">
      <c r="L277873" s="472"/>
      <c r="M277873" s="472"/>
    </row>
    <row r="277945" spans="12:13" x14ac:dyDescent="0.25">
      <c r="L277945" s="472"/>
      <c r="M277945" s="472"/>
    </row>
    <row r="277946" spans="12:13" x14ac:dyDescent="0.25">
      <c r="L277946" s="472"/>
      <c r="M277946" s="472"/>
    </row>
    <row r="277947" spans="12:13" x14ac:dyDescent="0.25">
      <c r="L277947" s="472"/>
      <c r="M277947" s="472"/>
    </row>
    <row r="278019" spans="12:13" x14ac:dyDescent="0.25">
      <c r="L278019" s="472"/>
      <c r="M278019" s="472"/>
    </row>
    <row r="278020" spans="12:13" x14ac:dyDescent="0.25">
      <c r="L278020" s="472"/>
      <c r="M278020" s="472"/>
    </row>
    <row r="278021" spans="12:13" x14ac:dyDescent="0.25">
      <c r="L278021" s="472"/>
      <c r="M278021" s="472"/>
    </row>
    <row r="278093" spans="12:13" x14ac:dyDescent="0.25">
      <c r="L278093" s="472"/>
      <c r="M278093" s="472"/>
    </row>
    <row r="278094" spans="12:13" x14ac:dyDescent="0.25">
      <c r="L278094" s="472"/>
      <c r="M278094" s="472"/>
    </row>
    <row r="278095" spans="12:13" x14ac:dyDescent="0.25">
      <c r="L278095" s="472"/>
      <c r="M278095" s="472"/>
    </row>
    <row r="278167" spans="12:13" x14ac:dyDescent="0.25">
      <c r="L278167" s="472"/>
      <c r="M278167" s="472"/>
    </row>
    <row r="278168" spans="12:13" x14ac:dyDescent="0.25">
      <c r="L278168" s="472"/>
      <c r="M278168" s="472"/>
    </row>
    <row r="278169" spans="12:13" x14ac:dyDescent="0.25">
      <c r="L278169" s="472"/>
      <c r="M278169" s="472"/>
    </row>
    <row r="278241" spans="12:13" x14ac:dyDescent="0.25">
      <c r="L278241" s="472"/>
      <c r="M278241" s="472"/>
    </row>
    <row r="278242" spans="12:13" x14ac:dyDescent="0.25">
      <c r="L278242" s="472"/>
      <c r="M278242" s="472"/>
    </row>
    <row r="278243" spans="12:13" x14ac:dyDescent="0.25">
      <c r="L278243" s="472"/>
      <c r="M278243" s="472"/>
    </row>
    <row r="278315" spans="12:13" x14ac:dyDescent="0.25">
      <c r="L278315" s="472"/>
      <c r="M278315" s="472"/>
    </row>
    <row r="278316" spans="12:13" x14ac:dyDescent="0.25">
      <c r="L278316" s="472"/>
      <c r="M278316" s="472"/>
    </row>
    <row r="278317" spans="12:13" x14ac:dyDescent="0.25">
      <c r="L278317" s="472"/>
      <c r="M278317" s="472"/>
    </row>
    <row r="278389" spans="12:13" x14ac:dyDescent="0.25">
      <c r="L278389" s="472"/>
      <c r="M278389" s="472"/>
    </row>
    <row r="278390" spans="12:13" x14ac:dyDescent="0.25">
      <c r="L278390" s="472"/>
      <c r="M278390" s="472"/>
    </row>
    <row r="278391" spans="12:13" x14ac:dyDescent="0.25">
      <c r="L278391" s="472"/>
      <c r="M278391" s="472"/>
    </row>
    <row r="278463" spans="12:13" x14ac:dyDescent="0.25">
      <c r="L278463" s="472"/>
      <c r="M278463" s="472"/>
    </row>
    <row r="278464" spans="12:13" x14ac:dyDescent="0.25">
      <c r="L278464" s="472"/>
      <c r="M278464" s="472"/>
    </row>
    <row r="278465" spans="12:13" x14ac:dyDescent="0.25">
      <c r="L278465" s="472"/>
      <c r="M278465" s="472"/>
    </row>
    <row r="278537" spans="12:13" x14ac:dyDescent="0.25">
      <c r="L278537" s="472"/>
      <c r="M278537" s="472"/>
    </row>
    <row r="278538" spans="12:13" x14ac:dyDescent="0.25">
      <c r="L278538" s="472"/>
      <c r="M278538" s="472"/>
    </row>
    <row r="278539" spans="12:13" x14ac:dyDescent="0.25">
      <c r="L278539" s="472"/>
      <c r="M278539" s="472"/>
    </row>
    <row r="278611" spans="12:13" x14ac:dyDescent="0.25">
      <c r="L278611" s="472"/>
      <c r="M278611" s="472"/>
    </row>
    <row r="278612" spans="12:13" x14ac:dyDescent="0.25">
      <c r="L278612" s="472"/>
      <c r="M278612" s="472"/>
    </row>
    <row r="278613" spans="12:13" x14ac:dyDescent="0.25">
      <c r="L278613" s="472"/>
      <c r="M278613" s="472"/>
    </row>
    <row r="278685" spans="12:13" x14ac:dyDescent="0.25">
      <c r="L278685" s="472"/>
      <c r="M278685" s="472"/>
    </row>
    <row r="278686" spans="12:13" x14ac:dyDescent="0.25">
      <c r="L278686" s="472"/>
      <c r="M278686" s="472"/>
    </row>
    <row r="278687" spans="12:13" x14ac:dyDescent="0.25">
      <c r="L278687" s="472"/>
      <c r="M278687" s="472"/>
    </row>
    <row r="278759" spans="12:13" x14ac:dyDescent="0.25">
      <c r="L278759" s="472"/>
      <c r="M278759" s="472"/>
    </row>
    <row r="278760" spans="12:13" x14ac:dyDescent="0.25">
      <c r="L278760" s="472"/>
      <c r="M278760" s="472"/>
    </row>
    <row r="278761" spans="12:13" x14ac:dyDescent="0.25">
      <c r="L278761" s="472"/>
      <c r="M278761" s="472"/>
    </row>
    <row r="278833" spans="12:13" x14ac:dyDescent="0.25">
      <c r="L278833" s="472"/>
      <c r="M278833" s="472"/>
    </row>
    <row r="278834" spans="12:13" x14ac:dyDescent="0.25">
      <c r="L278834" s="472"/>
      <c r="M278834" s="472"/>
    </row>
    <row r="278835" spans="12:13" x14ac:dyDescent="0.25">
      <c r="L278835" s="472"/>
      <c r="M278835" s="472"/>
    </row>
    <row r="278907" spans="12:13" x14ac:dyDescent="0.25">
      <c r="L278907" s="472"/>
      <c r="M278907" s="472"/>
    </row>
    <row r="278908" spans="12:13" x14ac:dyDescent="0.25">
      <c r="L278908" s="472"/>
      <c r="M278908" s="472"/>
    </row>
    <row r="278909" spans="12:13" x14ac:dyDescent="0.25">
      <c r="L278909" s="472"/>
      <c r="M278909" s="472"/>
    </row>
    <row r="278981" spans="12:13" x14ac:dyDescent="0.25">
      <c r="L278981" s="472"/>
      <c r="M278981" s="472"/>
    </row>
    <row r="278982" spans="12:13" x14ac:dyDescent="0.25">
      <c r="L278982" s="472"/>
      <c r="M278982" s="472"/>
    </row>
    <row r="278983" spans="12:13" x14ac:dyDescent="0.25">
      <c r="L278983" s="472"/>
      <c r="M278983" s="472"/>
    </row>
    <row r="279055" spans="12:13" x14ac:dyDescent="0.25">
      <c r="L279055" s="472"/>
      <c r="M279055" s="472"/>
    </row>
    <row r="279056" spans="12:13" x14ac:dyDescent="0.25">
      <c r="L279056" s="472"/>
      <c r="M279056" s="472"/>
    </row>
    <row r="279057" spans="12:13" x14ac:dyDescent="0.25">
      <c r="L279057" s="472"/>
      <c r="M279057" s="472"/>
    </row>
    <row r="279129" spans="12:13" x14ac:dyDescent="0.25">
      <c r="L279129" s="472"/>
      <c r="M279129" s="472"/>
    </row>
    <row r="279130" spans="12:13" x14ac:dyDescent="0.25">
      <c r="L279130" s="472"/>
      <c r="M279130" s="472"/>
    </row>
    <row r="279131" spans="12:13" x14ac:dyDescent="0.25">
      <c r="L279131" s="472"/>
      <c r="M279131" s="472"/>
    </row>
    <row r="279203" spans="12:13" x14ac:dyDescent="0.25">
      <c r="L279203" s="472"/>
      <c r="M279203" s="472"/>
    </row>
    <row r="279204" spans="12:13" x14ac:dyDescent="0.25">
      <c r="L279204" s="472"/>
      <c r="M279204" s="472"/>
    </row>
    <row r="279205" spans="12:13" x14ac:dyDescent="0.25">
      <c r="L279205" s="472"/>
      <c r="M279205" s="472"/>
    </row>
    <row r="279277" spans="12:13" x14ac:dyDescent="0.25">
      <c r="L279277" s="472"/>
      <c r="M279277" s="472"/>
    </row>
    <row r="279278" spans="12:13" x14ac:dyDescent="0.25">
      <c r="L279278" s="472"/>
      <c r="M279278" s="472"/>
    </row>
    <row r="279279" spans="12:13" x14ac:dyDescent="0.25">
      <c r="L279279" s="472"/>
      <c r="M279279" s="472"/>
    </row>
    <row r="279351" spans="12:13" x14ac:dyDescent="0.25">
      <c r="L279351" s="472"/>
      <c r="M279351" s="472"/>
    </row>
    <row r="279352" spans="12:13" x14ac:dyDescent="0.25">
      <c r="L279352" s="472"/>
      <c r="M279352" s="472"/>
    </row>
    <row r="279353" spans="12:13" x14ac:dyDescent="0.25">
      <c r="L279353" s="472"/>
      <c r="M279353" s="472"/>
    </row>
    <row r="279425" spans="12:13" x14ac:dyDescent="0.25">
      <c r="L279425" s="472"/>
      <c r="M279425" s="472"/>
    </row>
    <row r="279426" spans="12:13" x14ac:dyDescent="0.25">
      <c r="L279426" s="472"/>
      <c r="M279426" s="472"/>
    </row>
    <row r="279427" spans="12:13" x14ac:dyDescent="0.25">
      <c r="L279427" s="472"/>
      <c r="M279427" s="472"/>
    </row>
    <row r="279499" spans="12:13" x14ac:dyDescent="0.25">
      <c r="L279499" s="472"/>
      <c r="M279499" s="472"/>
    </row>
    <row r="279500" spans="12:13" x14ac:dyDescent="0.25">
      <c r="L279500" s="472"/>
      <c r="M279500" s="472"/>
    </row>
    <row r="279501" spans="12:13" x14ac:dyDescent="0.25">
      <c r="L279501" s="472"/>
      <c r="M279501" s="472"/>
    </row>
    <row r="279573" spans="12:13" x14ac:dyDescent="0.25">
      <c r="L279573" s="472"/>
      <c r="M279573" s="472"/>
    </row>
    <row r="279574" spans="12:13" x14ac:dyDescent="0.25">
      <c r="L279574" s="472"/>
      <c r="M279574" s="472"/>
    </row>
    <row r="279575" spans="12:13" x14ac:dyDescent="0.25">
      <c r="L279575" s="472"/>
      <c r="M279575" s="472"/>
    </row>
    <row r="279647" spans="12:13" x14ac:dyDescent="0.25">
      <c r="L279647" s="472"/>
      <c r="M279647" s="472"/>
    </row>
    <row r="279648" spans="12:13" x14ac:dyDescent="0.25">
      <c r="L279648" s="472"/>
      <c r="M279648" s="472"/>
    </row>
    <row r="279649" spans="12:13" x14ac:dyDescent="0.25">
      <c r="L279649" s="472"/>
      <c r="M279649" s="472"/>
    </row>
    <row r="279721" spans="12:13" x14ac:dyDescent="0.25">
      <c r="L279721" s="472"/>
      <c r="M279721" s="472"/>
    </row>
    <row r="279722" spans="12:13" x14ac:dyDescent="0.25">
      <c r="L279722" s="472"/>
      <c r="M279722" s="472"/>
    </row>
    <row r="279723" spans="12:13" x14ac:dyDescent="0.25">
      <c r="L279723" s="472"/>
      <c r="M279723" s="472"/>
    </row>
    <row r="279795" spans="12:13" x14ac:dyDescent="0.25">
      <c r="L279795" s="472"/>
      <c r="M279795" s="472"/>
    </row>
    <row r="279796" spans="12:13" x14ac:dyDescent="0.25">
      <c r="L279796" s="472"/>
      <c r="M279796" s="472"/>
    </row>
    <row r="279797" spans="12:13" x14ac:dyDescent="0.25">
      <c r="L279797" s="472"/>
      <c r="M279797" s="472"/>
    </row>
    <row r="279869" spans="12:13" x14ac:dyDescent="0.25">
      <c r="L279869" s="472"/>
      <c r="M279869" s="472"/>
    </row>
    <row r="279870" spans="12:13" x14ac:dyDescent="0.25">
      <c r="L279870" s="472"/>
      <c r="M279870" s="472"/>
    </row>
    <row r="279871" spans="12:13" x14ac:dyDescent="0.25">
      <c r="L279871" s="472"/>
      <c r="M279871" s="472"/>
    </row>
    <row r="279943" spans="12:13" x14ac:dyDescent="0.25">
      <c r="L279943" s="472"/>
      <c r="M279943" s="472"/>
    </row>
    <row r="279944" spans="12:13" x14ac:dyDescent="0.25">
      <c r="L279944" s="472"/>
      <c r="M279944" s="472"/>
    </row>
    <row r="279945" spans="12:13" x14ac:dyDescent="0.25">
      <c r="L279945" s="472"/>
      <c r="M279945" s="472"/>
    </row>
    <row r="280017" spans="12:13" x14ac:dyDescent="0.25">
      <c r="L280017" s="472"/>
      <c r="M280017" s="472"/>
    </row>
    <row r="280018" spans="12:13" x14ac:dyDescent="0.25">
      <c r="L280018" s="472"/>
      <c r="M280018" s="472"/>
    </row>
    <row r="280019" spans="12:13" x14ac:dyDescent="0.25">
      <c r="L280019" s="472"/>
      <c r="M280019" s="472"/>
    </row>
    <row r="280091" spans="12:13" x14ac:dyDescent="0.25">
      <c r="L280091" s="472"/>
      <c r="M280091" s="472"/>
    </row>
    <row r="280092" spans="12:13" x14ac:dyDescent="0.25">
      <c r="L280092" s="472"/>
      <c r="M280092" s="472"/>
    </row>
    <row r="280093" spans="12:13" x14ac:dyDescent="0.25">
      <c r="L280093" s="472"/>
      <c r="M280093" s="472"/>
    </row>
    <row r="280165" spans="12:13" x14ac:dyDescent="0.25">
      <c r="L280165" s="472"/>
      <c r="M280165" s="472"/>
    </row>
    <row r="280166" spans="12:13" x14ac:dyDescent="0.25">
      <c r="L280166" s="472"/>
      <c r="M280166" s="472"/>
    </row>
    <row r="280167" spans="12:13" x14ac:dyDescent="0.25">
      <c r="L280167" s="472"/>
      <c r="M280167" s="472"/>
    </row>
    <row r="280239" spans="12:13" x14ac:dyDescent="0.25">
      <c r="L280239" s="472"/>
      <c r="M280239" s="472"/>
    </row>
    <row r="280240" spans="12:13" x14ac:dyDescent="0.25">
      <c r="L280240" s="472"/>
      <c r="M280240" s="472"/>
    </row>
    <row r="280241" spans="12:13" x14ac:dyDescent="0.25">
      <c r="L280241" s="472"/>
      <c r="M280241" s="472"/>
    </row>
    <row r="280313" spans="12:13" x14ac:dyDescent="0.25">
      <c r="L280313" s="472"/>
      <c r="M280313" s="472"/>
    </row>
    <row r="280314" spans="12:13" x14ac:dyDescent="0.25">
      <c r="L280314" s="472"/>
      <c r="M280314" s="472"/>
    </row>
    <row r="280315" spans="12:13" x14ac:dyDescent="0.25">
      <c r="L280315" s="472"/>
      <c r="M280315" s="472"/>
    </row>
    <row r="280387" spans="12:13" x14ac:dyDescent="0.25">
      <c r="L280387" s="472"/>
      <c r="M280387" s="472"/>
    </row>
    <row r="280388" spans="12:13" x14ac:dyDescent="0.25">
      <c r="L280388" s="472"/>
      <c r="M280388" s="472"/>
    </row>
    <row r="280389" spans="12:13" x14ac:dyDescent="0.25">
      <c r="L280389" s="472"/>
      <c r="M280389" s="472"/>
    </row>
    <row r="280461" spans="12:13" x14ac:dyDescent="0.25">
      <c r="L280461" s="472"/>
      <c r="M280461" s="472"/>
    </row>
    <row r="280462" spans="12:13" x14ac:dyDescent="0.25">
      <c r="L280462" s="472"/>
      <c r="M280462" s="472"/>
    </row>
    <row r="280463" spans="12:13" x14ac:dyDescent="0.25">
      <c r="L280463" s="472"/>
      <c r="M280463" s="472"/>
    </row>
    <row r="280535" spans="12:13" x14ac:dyDescent="0.25">
      <c r="L280535" s="472"/>
      <c r="M280535" s="472"/>
    </row>
    <row r="280536" spans="12:13" x14ac:dyDescent="0.25">
      <c r="L280536" s="472"/>
      <c r="M280536" s="472"/>
    </row>
    <row r="280537" spans="12:13" x14ac:dyDescent="0.25">
      <c r="L280537" s="472"/>
      <c r="M280537" s="472"/>
    </row>
    <row r="280609" spans="12:13" x14ac:dyDescent="0.25">
      <c r="L280609" s="472"/>
      <c r="M280609" s="472"/>
    </row>
    <row r="280610" spans="12:13" x14ac:dyDescent="0.25">
      <c r="L280610" s="472"/>
      <c r="M280610" s="472"/>
    </row>
    <row r="280611" spans="12:13" x14ac:dyDescent="0.25">
      <c r="L280611" s="472"/>
      <c r="M280611" s="472"/>
    </row>
    <row r="280683" spans="12:13" x14ac:dyDescent="0.25">
      <c r="L280683" s="472"/>
      <c r="M280683" s="472"/>
    </row>
    <row r="280684" spans="12:13" x14ac:dyDescent="0.25">
      <c r="L280684" s="472"/>
      <c r="M280684" s="472"/>
    </row>
    <row r="280685" spans="12:13" x14ac:dyDescent="0.25">
      <c r="L280685" s="472"/>
      <c r="M280685" s="472"/>
    </row>
    <row r="280757" spans="12:13" x14ac:dyDescent="0.25">
      <c r="L280757" s="472"/>
      <c r="M280757" s="472"/>
    </row>
    <row r="280758" spans="12:13" x14ac:dyDescent="0.25">
      <c r="L280758" s="472"/>
      <c r="M280758" s="472"/>
    </row>
    <row r="280759" spans="12:13" x14ac:dyDescent="0.25">
      <c r="L280759" s="472"/>
      <c r="M280759" s="472"/>
    </row>
    <row r="280831" spans="12:13" x14ac:dyDescent="0.25">
      <c r="L280831" s="472"/>
      <c r="M280831" s="472"/>
    </row>
    <row r="280832" spans="12:13" x14ac:dyDescent="0.25">
      <c r="L280832" s="472"/>
      <c r="M280832" s="472"/>
    </row>
    <row r="280833" spans="12:13" x14ac:dyDescent="0.25">
      <c r="L280833" s="472"/>
      <c r="M280833" s="472"/>
    </row>
    <row r="280905" spans="12:13" x14ac:dyDescent="0.25">
      <c r="L280905" s="472"/>
      <c r="M280905" s="472"/>
    </row>
    <row r="280906" spans="12:13" x14ac:dyDescent="0.25">
      <c r="L280906" s="472"/>
      <c r="M280906" s="472"/>
    </row>
    <row r="280907" spans="12:13" x14ac:dyDescent="0.25">
      <c r="L280907" s="472"/>
      <c r="M280907" s="472"/>
    </row>
    <row r="280979" spans="12:13" x14ac:dyDescent="0.25">
      <c r="L280979" s="472"/>
      <c r="M280979" s="472"/>
    </row>
    <row r="280980" spans="12:13" x14ac:dyDescent="0.25">
      <c r="L280980" s="472"/>
      <c r="M280980" s="472"/>
    </row>
    <row r="280981" spans="12:13" x14ac:dyDescent="0.25">
      <c r="L280981" s="472"/>
      <c r="M280981" s="472"/>
    </row>
    <row r="281053" spans="12:13" x14ac:dyDescent="0.25">
      <c r="L281053" s="472"/>
      <c r="M281053" s="472"/>
    </row>
    <row r="281054" spans="12:13" x14ac:dyDescent="0.25">
      <c r="L281054" s="472"/>
      <c r="M281054" s="472"/>
    </row>
    <row r="281055" spans="12:13" x14ac:dyDescent="0.25">
      <c r="L281055" s="472"/>
      <c r="M281055" s="472"/>
    </row>
    <row r="281127" spans="12:13" x14ac:dyDescent="0.25">
      <c r="L281127" s="472"/>
      <c r="M281127" s="472"/>
    </row>
    <row r="281128" spans="12:13" x14ac:dyDescent="0.25">
      <c r="L281128" s="472"/>
      <c r="M281128" s="472"/>
    </row>
    <row r="281129" spans="12:13" x14ac:dyDescent="0.25">
      <c r="L281129" s="472"/>
      <c r="M281129" s="472"/>
    </row>
    <row r="281201" spans="12:13" x14ac:dyDescent="0.25">
      <c r="L281201" s="472"/>
      <c r="M281201" s="472"/>
    </row>
    <row r="281202" spans="12:13" x14ac:dyDescent="0.25">
      <c r="L281202" s="472"/>
      <c r="M281202" s="472"/>
    </row>
    <row r="281203" spans="12:13" x14ac:dyDescent="0.25">
      <c r="L281203" s="472"/>
      <c r="M281203" s="472"/>
    </row>
    <row r="281275" spans="12:13" x14ac:dyDescent="0.25">
      <c r="L281275" s="472"/>
      <c r="M281275" s="472"/>
    </row>
    <row r="281276" spans="12:13" x14ac:dyDescent="0.25">
      <c r="L281276" s="472"/>
      <c r="M281276" s="472"/>
    </row>
    <row r="281277" spans="12:13" x14ac:dyDescent="0.25">
      <c r="L281277" s="472"/>
      <c r="M281277" s="472"/>
    </row>
    <row r="281349" spans="12:13" x14ac:dyDescent="0.25">
      <c r="L281349" s="472"/>
      <c r="M281349" s="472"/>
    </row>
    <row r="281350" spans="12:13" x14ac:dyDescent="0.25">
      <c r="L281350" s="472"/>
      <c r="M281350" s="472"/>
    </row>
    <row r="281351" spans="12:13" x14ac:dyDescent="0.25">
      <c r="L281351" s="472"/>
      <c r="M281351" s="472"/>
    </row>
    <row r="281423" spans="12:13" x14ac:dyDescent="0.25">
      <c r="L281423" s="472"/>
      <c r="M281423" s="472"/>
    </row>
    <row r="281424" spans="12:13" x14ac:dyDescent="0.25">
      <c r="L281424" s="472"/>
      <c r="M281424" s="472"/>
    </row>
    <row r="281425" spans="12:13" x14ac:dyDescent="0.25">
      <c r="L281425" s="472"/>
      <c r="M281425" s="472"/>
    </row>
    <row r="281497" spans="12:13" x14ac:dyDescent="0.25">
      <c r="L281497" s="472"/>
      <c r="M281497" s="472"/>
    </row>
    <row r="281498" spans="12:13" x14ac:dyDescent="0.25">
      <c r="L281498" s="472"/>
      <c r="M281498" s="472"/>
    </row>
    <row r="281499" spans="12:13" x14ac:dyDescent="0.25">
      <c r="L281499" s="472"/>
      <c r="M281499" s="472"/>
    </row>
    <row r="281571" spans="12:13" x14ac:dyDescent="0.25">
      <c r="L281571" s="472"/>
      <c r="M281571" s="472"/>
    </row>
    <row r="281572" spans="12:13" x14ac:dyDescent="0.25">
      <c r="L281572" s="472"/>
      <c r="M281572" s="472"/>
    </row>
    <row r="281573" spans="12:13" x14ac:dyDescent="0.25">
      <c r="L281573" s="472"/>
      <c r="M281573" s="472"/>
    </row>
    <row r="281645" spans="12:13" x14ac:dyDescent="0.25">
      <c r="L281645" s="472"/>
      <c r="M281645" s="472"/>
    </row>
    <row r="281646" spans="12:13" x14ac:dyDescent="0.25">
      <c r="L281646" s="472"/>
      <c r="M281646" s="472"/>
    </row>
    <row r="281647" spans="12:13" x14ac:dyDescent="0.25">
      <c r="L281647" s="472"/>
      <c r="M281647" s="472"/>
    </row>
    <row r="281719" spans="12:13" x14ac:dyDescent="0.25">
      <c r="L281719" s="472"/>
      <c r="M281719" s="472"/>
    </row>
    <row r="281720" spans="12:13" x14ac:dyDescent="0.25">
      <c r="L281720" s="472"/>
      <c r="M281720" s="472"/>
    </row>
    <row r="281721" spans="12:13" x14ac:dyDescent="0.25">
      <c r="L281721" s="472"/>
      <c r="M281721" s="472"/>
    </row>
    <row r="281793" spans="12:13" x14ac:dyDescent="0.25">
      <c r="L281793" s="472"/>
      <c r="M281793" s="472"/>
    </row>
    <row r="281794" spans="12:13" x14ac:dyDescent="0.25">
      <c r="L281794" s="472"/>
      <c r="M281794" s="472"/>
    </row>
    <row r="281795" spans="12:13" x14ac:dyDescent="0.25">
      <c r="L281795" s="472"/>
      <c r="M281795" s="472"/>
    </row>
    <row r="281867" spans="12:13" x14ac:dyDescent="0.25">
      <c r="L281867" s="472"/>
      <c r="M281867" s="472"/>
    </row>
    <row r="281868" spans="12:13" x14ac:dyDescent="0.25">
      <c r="L281868" s="472"/>
      <c r="M281868" s="472"/>
    </row>
    <row r="281869" spans="12:13" x14ac:dyDescent="0.25">
      <c r="L281869" s="472"/>
      <c r="M281869" s="472"/>
    </row>
    <row r="281941" spans="12:13" x14ac:dyDescent="0.25">
      <c r="L281941" s="472"/>
      <c r="M281941" s="472"/>
    </row>
    <row r="281942" spans="12:13" x14ac:dyDescent="0.25">
      <c r="L281942" s="472"/>
      <c r="M281942" s="472"/>
    </row>
    <row r="281943" spans="12:13" x14ac:dyDescent="0.25">
      <c r="L281943" s="472"/>
      <c r="M281943" s="472"/>
    </row>
    <row r="282015" spans="12:13" x14ac:dyDescent="0.25">
      <c r="L282015" s="472"/>
      <c r="M282015" s="472"/>
    </row>
    <row r="282016" spans="12:13" x14ac:dyDescent="0.25">
      <c r="L282016" s="472"/>
      <c r="M282016" s="472"/>
    </row>
    <row r="282017" spans="12:13" x14ac:dyDescent="0.25">
      <c r="L282017" s="472"/>
      <c r="M282017" s="472"/>
    </row>
    <row r="282089" spans="12:13" x14ac:dyDescent="0.25">
      <c r="L282089" s="472"/>
      <c r="M282089" s="472"/>
    </row>
    <row r="282090" spans="12:13" x14ac:dyDescent="0.25">
      <c r="L282090" s="472"/>
      <c r="M282090" s="472"/>
    </row>
    <row r="282091" spans="12:13" x14ac:dyDescent="0.25">
      <c r="L282091" s="472"/>
      <c r="M282091" s="472"/>
    </row>
    <row r="282163" spans="12:13" x14ac:dyDescent="0.25">
      <c r="L282163" s="472"/>
      <c r="M282163" s="472"/>
    </row>
    <row r="282164" spans="12:13" x14ac:dyDescent="0.25">
      <c r="L282164" s="472"/>
      <c r="M282164" s="472"/>
    </row>
    <row r="282165" spans="12:13" x14ac:dyDescent="0.25">
      <c r="L282165" s="472"/>
      <c r="M282165" s="472"/>
    </row>
    <row r="282237" spans="12:13" x14ac:dyDescent="0.25">
      <c r="L282237" s="472"/>
      <c r="M282237" s="472"/>
    </row>
    <row r="282238" spans="12:13" x14ac:dyDescent="0.25">
      <c r="L282238" s="472"/>
      <c r="M282238" s="472"/>
    </row>
    <row r="282239" spans="12:13" x14ac:dyDescent="0.25">
      <c r="L282239" s="472"/>
      <c r="M282239" s="472"/>
    </row>
    <row r="282311" spans="12:13" x14ac:dyDescent="0.25">
      <c r="L282311" s="472"/>
      <c r="M282311" s="472"/>
    </row>
    <row r="282312" spans="12:13" x14ac:dyDescent="0.25">
      <c r="L282312" s="472"/>
      <c r="M282312" s="472"/>
    </row>
    <row r="282313" spans="12:13" x14ac:dyDescent="0.25">
      <c r="L282313" s="472"/>
      <c r="M282313" s="472"/>
    </row>
    <row r="282385" spans="12:13" x14ac:dyDescent="0.25">
      <c r="L282385" s="472"/>
      <c r="M282385" s="472"/>
    </row>
    <row r="282386" spans="12:13" x14ac:dyDescent="0.25">
      <c r="L282386" s="472"/>
      <c r="M282386" s="472"/>
    </row>
    <row r="282387" spans="12:13" x14ac:dyDescent="0.25">
      <c r="L282387" s="472"/>
      <c r="M282387" s="472"/>
    </row>
    <row r="282459" spans="12:13" x14ac:dyDescent="0.25">
      <c r="L282459" s="472"/>
      <c r="M282459" s="472"/>
    </row>
    <row r="282460" spans="12:13" x14ac:dyDescent="0.25">
      <c r="L282460" s="472"/>
      <c r="M282460" s="472"/>
    </row>
    <row r="282461" spans="12:13" x14ac:dyDescent="0.25">
      <c r="L282461" s="472"/>
      <c r="M282461" s="472"/>
    </row>
    <row r="282533" spans="12:13" x14ac:dyDescent="0.25">
      <c r="L282533" s="472"/>
      <c r="M282533" s="472"/>
    </row>
    <row r="282534" spans="12:13" x14ac:dyDescent="0.25">
      <c r="L282534" s="472"/>
      <c r="M282534" s="472"/>
    </row>
    <row r="282535" spans="12:13" x14ac:dyDescent="0.25">
      <c r="L282535" s="472"/>
      <c r="M282535" s="472"/>
    </row>
    <row r="282607" spans="12:13" x14ac:dyDescent="0.25">
      <c r="L282607" s="472"/>
      <c r="M282607" s="472"/>
    </row>
    <row r="282608" spans="12:13" x14ac:dyDescent="0.25">
      <c r="L282608" s="472"/>
      <c r="M282608" s="472"/>
    </row>
    <row r="282609" spans="12:13" x14ac:dyDescent="0.25">
      <c r="L282609" s="472"/>
      <c r="M282609" s="472"/>
    </row>
    <row r="282681" spans="12:13" x14ac:dyDescent="0.25">
      <c r="L282681" s="472"/>
      <c r="M282681" s="472"/>
    </row>
    <row r="282682" spans="12:13" x14ac:dyDescent="0.25">
      <c r="L282682" s="472"/>
      <c r="M282682" s="472"/>
    </row>
    <row r="282683" spans="12:13" x14ac:dyDescent="0.25">
      <c r="L282683" s="472"/>
      <c r="M282683" s="472"/>
    </row>
    <row r="282755" spans="12:13" x14ac:dyDescent="0.25">
      <c r="L282755" s="472"/>
      <c r="M282755" s="472"/>
    </row>
    <row r="282756" spans="12:13" x14ac:dyDescent="0.25">
      <c r="L282756" s="472"/>
      <c r="M282756" s="472"/>
    </row>
    <row r="282757" spans="12:13" x14ac:dyDescent="0.25">
      <c r="L282757" s="472"/>
      <c r="M282757" s="472"/>
    </row>
    <row r="282829" spans="12:13" x14ac:dyDescent="0.25">
      <c r="L282829" s="472"/>
      <c r="M282829" s="472"/>
    </row>
    <row r="282830" spans="12:13" x14ac:dyDescent="0.25">
      <c r="L282830" s="472"/>
      <c r="M282830" s="472"/>
    </row>
    <row r="282831" spans="12:13" x14ac:dyDescent="0.25">
      <c r="L282831" s="472"/>
      <c r="M282831" s="472"/>
    </row>
    <row r="282903" spans="12:13" x14ac:dyDescent="0.25">
      <c r="L282903" s="472"/>
      <c r="M282903" s="472"/>
    </row>
    <row r="282904" spans="12:13" x14ac:dyDescent="0.25">
      <c r="L282904" s="472"/>
      <c r="M282904" s="472"/>
    </row>
    <row r="282905" spans="12:13" x14ac:dyDescent="0.25">
      <c r="L282905" s="472"/>
      <c r="M282905" s="472"/>
    </row>
    <row r="282977" spans="12:13" x14ac:dyDescent="0.25">
      <c r="L282977" s="472"/>
      <c r="M282977" s="472"/>
    </row>
    <row r="282978" spans="12:13" x14ac:dyDescent="0.25">
      <c r="L282978" s="472"/>
      <c r="M282978" s="472"/>
    </row>
    <row r="282979" spans="12:13" x14ac:dyDescent="0.25">
      <c r="L282979" s="472"/>
      <c r="M282979" s="472"/>
    </row>
    <row r="283051" spans="12:13" x14ac:dyDescent="0.25">
      <c r="L283051" s="472"/>
      <c r="M283051" s="472"/>
    </row>
    <row r="283052" spans="12:13" x14ac:dyDescent="0.25">
      <c r="L283052" s="472"/>
      <c r="M283052" s="472"/>
    </row>
    <row r="283053" spans="12:13" x14ac:dyDescent="0.25">
      <c r="L283053" s="472"/>
      <c r="M283053" s="472"/>
    </row>
    <row r="283125" spans="12:13" x14ac:dyDescent="0.25">
      <c r="L283125" s="472"/>
      <c r="M283125" s="472"/>
    </row>
    <row r="283126" spans="12:13" x14ac:dyDescent="0.25">
      <c r="L283126" s="472"/>
      <c r="M283126" s="472"/>
    </row>
    <row r="283127" spans="12:13" x14ac:dyDescent="0.25">
      <c r="L283127" s="472"/>
      <c r="M283127" s="472"/>
    </row>
    <row r="283199" spans="12:13" x14ac:dyDescent="0.25">
      <c r="L283199" s="472"/>
      <c r="M283199" s="472"/>
    </row>
    <row r="283200" spans="12:13" x14ac:dyDescent="0.25">
      <c r="L283200" s="472"/>
      <c r="M283200" s="472"/>
    </row>
    <row r="283201" spans="12:13" x14ac:dyDescent="0.25">
      <c r="L283201" s="472"/>
      <c r="M283201" s="472"/>
    </row>
    <row r="283273" spans="12:13" x14ac:dyDescent="0.25">
      <c r="L283273" s="472"/>
      <c r="M283273" s="472"/>
    </row>
    <row r="283274" spans="12:13" x14ac:dyDescent="0.25">
      <c r="L283274" s="472"/>
      <c r="M283274" s="472"/>
    </row>
    <row r="283275" spans="12:13" x14ac:dyDescent="0.25">
      <c r="L283275" s="472"/>
      <c r="M283275" s="472"/>
    </row>
    <row r="283347" spans="12:13" x14ac:dyDescent="0.25">
      <c r="L283347" s="472"/>
      <c r="M283347" s="472"/>
    </row>
    <row r="283348" spans="12:13" x14ac:dyDescent="0.25">
      <c r="L283348" s="472"/>
      <c r="M283348" s="472"/>
    </row>
    <row r="283349" spans="12:13" x14ac:dyDescent="0.25">
      <c r="L283349" s="472"/>
      <c r="M283349" s="472"/>
    </row>
    <row r="283421" spans="12:13" x14ac:dyDescent="0.25">
      <c r="L283421" s="472"/>
      <c r="M283421" s="472"/>
    </row>
    <row r="283422" spans="12:13" x14ac:dyDescent="0.25">
      <c r="L283422" s="472"/>
      <c r="M283422" s="472"/>
    </row>
    <row r="283423" spans="12:13" x14ac:dyDescent="0.25">
      <c r="L283423" s="472"/>
      <c r="M283423" s="472"/>
    </row>
    <row r="283495" spans="12:13" x14ac:dyDescent="0.25">
      <c r="L283495" s="472"/>
      <c r="M283495" s="472"/>
    </row>
    <row r="283496" spans="12:13" x14ac:dyDescent="0.25">
      <c r="L283496" s="472"/>
      <c r="M283496" s="472"/>
    </row>
    <row r="283497" spans="12:13" x14ac:dyDescent="0.25">
      <c r="L283497" s="472"/>
      <c r="M283497" s="472"/>
    </row>
    <row r="283569" spans="12:13" x14ac:dyDescent="0.25">
      <c r="L283569" s="472"/>
      <c r="M283569" s="472"/>
    </row>
    <row r="283570" spans="12:13" x14ac:dyDescent="0.25">
      <c r="L283570" s="472"/>
      <c r="M283570" s="472"/>
    </row>
    <row r="283571" spans="12:13" x14ac:dyDescent="0.25">
      <c r="L283571" s="472"/>
      <c r="M283571" s="472"/>
    </row>
    <row r="283643" spans="12:13" x14ac:dyDescent="0.25">
      <c r="L283643" s="472"/>
      <c r="M283643" s="472"/>
    </row>
    <row r="283644" spans="12:13" x14ac:dyDescent="0.25">
      <c r="L283644" s="472"/>
      <c r="M283644" s="472"/>
    </row>
    <row r="283645" spans="12:13" x14ac:dyDescent="0.25">
      <c r="L283645" s="472"/>
      <c r="M283645" s="472"/>
    </row>
    <row r="283717" spans="12:13" x14ac:dyDescent="0.25">
      <c r="L283717" s="472"/>
      <c r="M283717" s="472"/>
    </row>
    <row r="283718" spans="12:13" x14ac:dyDescent="0.25">
      <c r="L283718" s="472"/>
      <c r="M283718" s="472"/>
    </row>
    <row r="283719" spans="12:13" x14ac:dyDescent="0.25">
      <c r="L283719" s="472"/>
      <c r="M283719" s="472"/>
    </row>
    <row r="283791" spans="12:13" x14ac:dyDescent="0.25">
      <c r="L283791" s="472"/>
      <c r="M283791" s="472"/>
    </row>
    <row r="283792" spans="12:13" x14ac:dyDescent="0.25">
      <c r="L283792" s="472"/>
      <c r="M283792" s="472"/>
    </row>
    <row r="283793" spans="12:13" x14ac:dyDescent="0.25">
      <c r="L283793" s="472"/>
      <c r="M283793" s="472"/>
    </row>
    <row r="283865" spans="12:13" x14ac:dyDescent="0.25">
      <c r="L283865" s="472"/>
      <c r="M283865" s="472"/>
    </row>
    <row r="283866" spans="12:13" x14ac:dyDescent="0.25">
      <c r="L283866" s="472"/>
      <c r="M283866" s="472"/>
    </row>
    <row r="283867" spans="12:13" x14ac:dyDescent="0.25">
      <c r="L283867" s="472"/>
      <c r="M283867" s="472"/>
    </row>
    <row r="283939" spans="12:13" x14ac:dyDescent="0.25">
      <c r="L283939" s="472"/>
      <c r="M283939" s="472"/>
    </row>
    <row r="283940" spans="12:13" x14ac:dyDescent="0.25">
      <c r="L283940" s="472"/>
      <c r="M283940" s="472"/>
    </row>
    <row r="283941" spans="12:13" x14ac:dyDescent="0.25">
      <c r="L283941" s="472"/>
      <c r="M283941" s="472"/>
    </row>
    <row r="284013" spans="12:13" x14ac:dyDescent="0.25">
      <c r="L284013" s="472"/>
      <c r="M284013" s="472"/>
    </row>
    <row r="284014" spans="12:13" x14ac:dyDescent="0.25">
      <c r="L284014" s="472"/>
      <c r="M284014" s="472"/>
    </row>
    <row r="284015" spans="12:13" x14ac:dyDescent="0.25">
      <c r="L284015" s="472"/>
      <c r="M284015" s="472"/>
    </row>
    <row r="284087" spans="12:13" x14ac:dyDescent="0.25">
      <c r="L284087" s="472"/>
      <c r="M284087" s="472"/>
    </row>
    <row r="284088" spans="12:13" x14ac:dyDescent="0.25">
      <c r="L284088" s="472"/>
      <c r="M284088" s="472"/>
    </row>
    <row r="284089" spans="12:13" x14ac:dyDescent="0.25">
      <c r="L284089" s="472"/>
      <c r="M284089" s="472"/>
    </row>
    <row r="284161" spans="12:13" x14ac:dyDescent="0.25">
      <c r="L284161" s="472"/>
      <c r="M284161" s="472"/>
    </row>
    <row r="284162" spans="12:13" x14ac:dyDescent="0.25">
      <c r="L284162" s="472"/>
      <c r="M284162" s="472"/>
    </row>
    <row r="284163" spans="12:13" x14ac:dyDescent="0.25">
      <c r="L284163" s="472"/>
      <c r="M284163" s="472"/>
    </row>
    <row r="284235" spans="12:13" x14ac:dyDescent="0.25">
      <c r="L284235" s="472"/>
      <c r="M284235" s="472"/>
    </row>
    <row r="284236" spans="12:13" x14ac:dyDescent="0.25">
      <c r="L284236" s="472"/>
      <c r="M284236" s="472"/>
    </row>
    <row r="284237" spans="12:13" x14ac:dyDescent="0.25">
      <c r="L284237" s="472"/>
      <c r="M284237" s="472"/>
    </row>
    <row r="284309" spans="12:13" x14ac:dyDescent="0.25">
      <c r="L284309" s="472"/>
      <c r="M284309" s="472"/>
    </row>
    <row r="284310" spans="12:13" x14ac:dyDescent="0.25">
      <c r="L284310" s="472"/>
      <c r="M284310" s="472"/>
    </row>
    <row r="284311" spans="12:13" x14ac:dyDescent="0.25">
      <c r="L284311" s="472"/>
      <c r="M284311" s="472"/>
    </row>
    <row r="284383" spans="12:13" x14ac:dyDescent="0.25">
      <c r="L284383" s="472"/>
      <c r="M284383" s="472"/>
    </row>
    <row r="284384" spans="12:13" x14ac:dyDescent="0.25">
      <c r="L284384" s="472"/>
      <c r="M284384" s="472"/>
    </row>
    <row r="284385" spans="12:13" x14ac:dyDescent="0.25">
      <c r="L284385" s="472"/>
      <c r="M284385" s="472"/>
    </row>
    <row r="284457" spans="12:13" x14ac:dyDescent="0.25">
      <c r="L284457" s="472"/>
      <c r="M284457" s="472"/>
    </row>
    <row r="284458" spans="12:13" x14ac:dyDescent="0.25">
      <c r="L284458" s="472"/>
      <c r="M284458" s="472"/>
    </row>
    <row r="284459" spans="12:13" x14ac:dyDescent="0.25">
      <c r="L284459" s="472"/>
      <c r="M284459" s="472"/>
    </row>
    <row r="284531" spans="12:13" x14ac:dyDescent="0.25">
      <c r="L284531" s="472"/>
      <c r="M284531" s="472"/>
    </row>
    <row r="284532" spans="12:13" x14ac:dyDescent="0.25">
      <c r="L284532" s="472"/>
      <c r="M284532" s="472"/>
    </row>
    <row r="284533" spans="12:13" x14ac:dyDescent="0.25">
      <c r="L284533" s="472"/>
      <c r="M284533" s="472"/>
    </row>
    <row r="284605" spans="12:13" x14ac:dyDescent="0.25">
      <c r="L284605" s="472"/>
      <c r="M284605" s="472"/>
    </row>
    <row r="284606" spans="12:13" x14ac:dyDescent="0.25">
      <c r="L284606" s="472"/>
      <c r="M284606" s="472"/>
    </row>
    <row r="284607" spans="12:13" x14ac:dyDescent="0.25">
      <c r="L284607" s="472"/>
      <c r="M284607" s="472"/>
    </row>
    <row r="284679" spans="12:13" x14ac:dyDescent="0.25">
      <c r="L284679" s="472"/>
      <c r="M284679" s="472"/>
    </row>
    <row r="284680" spans="12:13" x14ac:dyDescent="0.25">
      <c r="L284680" s="472"/>
      <c r="M284680" s="472"/>
    </row>
    <row r="284681" spans="12:13" x14ac:dyDescent="0.25">
      <c r="L284681" s="472"/>
      <c r="M284681" s="472"/>
    </row>
    <row r="284753" spans="12:13" x14ac:dyDescent="0.25">
      <c r="L284753" s="472"/>
      <c r="M284753" s="472"/>
    </row>
    <row r="284754" spans="12:13" x14ac:dyDescent="0.25">
      <c r="L284754" s="472"/>
      <c r="M284754" s="472"/>
    </row>
    <row r="284755" spans="12:13" x14ac:dyDescent="0.25">
      <c r="L284755" s="472"/>
      <c r="M284755" s="472"/>
    </row>
    <row r="284827" spans="12:13" x14ac:dyDescent="0.25">
      <c r="L284827" s="472"/>
      <c r="M284827" s="472"/>
    </row>
    <row r="284828" spans="12:13" x14ac:dyDescent="0.25">
      <c r="L284828" s="472"/>
      <c r="M284828" s="472"/>
    </row>
    <row r="284829" spans="12:13" x14ac:dyDescent="0.25">
      <c r="L284829" s="472"/>
      <c r="M284829" s="472"/>
    </row>
    <row r="284901" spans="12:13" x14ac:dyDescent="0.25">
      <c r="L284901" s="472"/>
      <c r="M284901" s="472"/>
    </row>
    <row r="284902" spans="12:13" x14ac:dyDescent="0.25">
      <c r="L284902" s="472"/>
      <c r="M284902" s="472"/>
    </row>
    <row r="284903" spans="12:13" x14ac:dyDescent="0.25">
      <c r="L284903" s="472"/>
      <c r="M284903" s="472"/>
    </row>
    <row r="284975" spans="12:13" x14ac:dyDescent="0.25">
      <c r="L284975" s="472"/>
      <c r="M284975" s="472"/>
    </row>
    <row r="284976" spans="12:13" x14ac:dyDescent="0.25">
      <c r="L284976" s="472"/>
      <c r="M284976" s="472"/>
    </row>
    <row r="284977" spans="12:13" x14ac:dyDescent="0.25">
      <c r="L284977" s="472"/>
      <c r="M284977" s="472"/>
    </row>
    <row r="285049" spans="12:13" x14ac:dyDescent="0.25">
      <c r="L285049" s="472"/>
      <c r="M285049" s="472"/>
    </row>
    <row r="285050" spans="12:13" x14ac:dyDescent="0.25">
      <c r="L285050" s="472"/>
      <c r="M285050" s="472"/>
    </row>
    <row r="285051" spans="12:13" x14ac:dyDescent="0.25">
      <c r="L285051" s="472"/>
      <c r="M285051" s="472"/>
    </row>
    <row r="285123" spans="12:13" x14ac:dyDescent="0.25">
      <c r="L285123" s="472"/>
      <c r="M285123" s="472"/>
    </row>
    <row r="285124" spans="12:13" x14ac:dyDescent="0.25">
      <c r="L285124" s="472"/>
      <c r="M285124" s="472"/>
    </row>
    <row r="285125" spans="12:13" x14ac:dyDescent="0.25">
      <c r="L285125" s="472"/>
      <c r="M285125" s="472"/>
    </row>
    <row r="285197" spans="12:13" x14ac:dyDescent="0.25">
      <c r="L285197" s="472"/>
      <c r="M285197" s="472"/>
    </row>
    <row r="285198" spans="12:13" x14ac:dyDescent="0.25">
      <c r="L285198" s="472"/>
      <c r="M285198" s="472"/>
    </row>
    <row r="285199" spans="12:13" x14ac:dyDescent="0.25">
      <c r="L285199" s="472"/>
      <c r="M285199" s="472"/>
    </row>
    <row r="285271" spans="12:13" x14ac:dyDescent="0.25">
      <c r="L285271" s="472"/>
      <c r="M285271" s="472"/>
    </row>
    <row r="285272" spans="12:13" x14ac:dyDescent="0.25">
      <c r="L285272" s="472"/>
      <c r="M285272" s="472"/>
    </row>
    <row r="285273" spans="12:13" x14ac:dyDescent="0.25">
      <c r="L285273" s="472"/>
      <c r="M285273" s="472"/>
    </row>
    <row r="285345" spans="12:13" x14ac:dyDescent="0.25">
      <c r="L285345" s="472"/>
      <c r="M285345" s="472"/>
    </row>
    <row r="285346" spans="12:13" x14ac:dyDescent="0.25">
      <c r="L285346" s="472"/>
      <c r="M285346" s="472"/>
    </row>
    <row r="285347" spans="12:13" x14ac:dyDescent="0.25">
      <c r="L285347" s="472"/>
      <c r="M285347" s="472"/>
    </row>
    <row r="285419" spans="12:13" x14ac:dyDescent="0.25">
      <c r="L285419" s="472"/>
      <c r="M285419" s="472"/>
    </row>
    <row r="285420" spans="12:13" x14ac:dyDescent="0.25">
      <c r="L285420" s="472"/>
      <c r="M285420" s="472"/>
    </row>
    <row r="285421" spans="12:13" x14ac:dyDescent="0.25">
      <c r="L285421" s="472"/>
      <c r="M285421" s="472"/>
    </row>
    <row r="285493" spans="12:13" x14ac:dyDescent="0.25">
      <c r="L285493" s="472"/>
      <c r="M285493" s="472"/>
    </row>
    <row r="285494" spans="12:13" x14ac:dyDescent="0.25">
      <c r="L285494" s="472"/>
      <c r="M285494" s="472"/>
    </row>
    <row r="285495" spans="12:13" x14ac:dyDescent="0.25">
      <c r="L285495" s="472"/>
      <c r="M285495" s="472"/>
    </row>
    <row r="285567" spans="12:13" x14ac:dyDescent="0.25">
      <c r="L285567" s="472"/>
      <c r="M285567" s="472"/>
    </row>
    <row r="285568" spans="12:13" x14ac:dyDescent="0.25">
      <c r="L285568" s="472"/>
      <c r="M285568" s="472"/>
    </row>
    <row r="285569" spans="12:13" x14ac:dyDescent="0.25">
      <c r="L285569" s="472"/>
      <c r="M285569" s="472"/>
    </row>
    <row r="285641" spans="12:13" x14ac:dyDescent="0.25">
      <c r="L285641" s="472"/>
      <c r="M285641" s="472"/>
    </row>
    <row r="285642" spans="12:13" x14ac:dyDescent="0.25">
      <c r="L285642" s="472"/>
      <c r="M285642" s="472"/>
    </row>
    <row r="285643" spans="12:13" x14ac:dyDescent="0.25">
      <c r="L285643" s="472"/>
      <c r="M285643" s="472"/>
    </row>
    <row r="285715" spans="12:13" x14ac:dyDescent="0.25">
      <c r="L285715" s="472"/>
      <c r="M285715" s="472"/>
    </row>
    <row r="285716" spans="12:13" x14ac:dyDescent="0.25">
      <c r="L285716" s="472"/>
      <c r="M285716" s="472"/>
    </row>
    <row r="285717" spans="12:13" x14ac:dyDescent="0.25">
      <c r="L285717" s="472"/>
      <c r="M285717" s="472"/>
    </row>
    <row r="285789" spans="12:13" x14ac:dyDescent="0.25">
      <c r="L285789" s="472"/>
      <c r="M285789" s="472"/>
    </row>
    <row r="285790" spans="12:13" x14ac:dyDescent="0.25">
      <c r="L285790" s="472"/>
      <c r="M285790" s="472"/>
    </row>
    <row r="285791" spans="12:13" x14ac:dyDescent="0.25">
      <c r="L285791" s="472"/>
      <c r="M285791" s="472"/>
    </row>
    <row r="285863" spans="12:13" x14ac:dyDescent="0.25">
      <c r="L285863" s="472"/>
      <c r="M285863" s="472"/>
    </row>
    <row r="285864" spans="12:13" x14ac:dyDescent="0.25">
      <c r="L285864" s="472"/>
      <c r="M285864" s="472"/>
    </row>
    <row r="285865" spans="12:13" x14ac:dyDescent="0.25">
      <c r="L285865" s="472"/>
      <c r="M285865" s="472"/>
    </row>
    <row r="285937" spans="12:13" x14ac:dyDescent="0.25">
      <c r="L285937" s="472"/>
      <c r="M285937" s="472"/>
    </row>
    <row r="285938" spans="12:13" x14ac:dyDescent="0.25">
      <c r="L285938" s="472"/>
      <c r="M285938" s="472"/>
    </row>
    <row r="285939" spans="12:13" x14ac:dyDescent="0.25">
      <c r="L285939" s="472"/>
      <c r="M285939" s="472"/>
    </row>
    <row r="286011" spans="12:13" x14ac:dyDescent="0.25">
      <c r="L286011" s="472"/>
      <c r="M286011" s="472"/>
    </row>
    <row r="286012" spans="12:13" x14ac:dyDescent="0.25">
      <c r="L286012" s="472"/>
      <c r="M286012" s="472"/>
    </row>
    <row r="286013" spans="12:13" x14ac:dyDescent="0.25">
      <c r="L286013" s="472"/>
      <c r="M286013" s="472"/>
    </row>
    <row r="286085" spans="12:13" x14ac:dyDescent="0.25">
      <c r="L286085" s="472"/>
      <c r="M286085" s="472"/>
    </row>
    <row r="286086" spans="12:13" x14ac:dyDescent="0.25">
      <c r="L286086" s="472"/>
      <c r="M286086" s="472"/>
    </row>
    <row r="286087" spans="12:13" x14ac:dyDescent="0.25">
      <c r="L286087" s="472"/>
      <c r="M286087" s="472"/>
    </row>
    <row r="286159" spans="12:13" x14ac:dyDescent="0.25">
      <c r="L286159" s="472"/>
      <c r="M286159" s="472"/>
    </row>
    <row r="286160" spans="12:13" x14ac:dyDescent="0.25">
      <c r="L286160" s="472"/>
      <c r="M286160" s="472"/>
    </row>
    <row r="286161" spans="12:13" x14ac:dyDescent="0.25">
      <c r="L286161" s="472"/>
      <c r="M286161" s="472"/>
    </row>
    <row r="286233" spans="12:13" x14ac:dyDescent="0.25">
      <c r="L286233" s="472"/>
      <c r="M286233" s="472"/>
    </row>
    <row r="286234" spans="12:13" x14ac:dyDescent="0.25">
      <c r="L286234" s="472"/>
      <c r="M286234" s="472"/>
    </row>
    <row r="286235" spans="12:13" x14ac:dyDescent="0.25">
      <c r="L286235" s="472"/>
      <c r="M286235" s="472"/>
    </row>
    <row r="286307" spans="12:13" x14ac:dyDescent="0.25">
      <c r="L286307" s="472"/>
      <c r="M286307" s="472"/>
    </row>
    <row r="286308" spans="12:13" x14ac:dyDescent="0.25">
      <c r="L286308" s="472"/>
      <c r="M286308" s="472"/>
    </row>
    <row r="286309" spans="12:13" x14ac:dyDescent="0.25">
      <c r="L286309" s="472"/>
      <c r="M286309" s="472"/>
    </row>
    <row r="286381" spans="12:13" x14ac:dyDescent="0.25">
      <c r="L286381" s="472"/>
      <c r="M286381" s="472"/>
    </row>
    <row r="286382" spans="12:13" x14ac:dyDescent="0.25">
      <c r="L286382" s="472"/>
      <c r="M286382" s="472"/>
    </row>
    <row r="286383" spans="12:13" x14ac:dyDescent="0.25">
      <c r="L286383" s="472"/>
      <c r="M286383" s="472"/>
    </row>
    <row r="286455" spans="12:13" x14ac:dyDescent="0.25">
      <c r="L286455" s="472"/>
      <c r="M286455" s="472"/>
    </row>
    <row r="286456" spans="12:13" x14ac:dyDescent="0.25">
      <c r="L286456" s="472"/>
      <c r="M286456" s="472"/>
    </row>
    <row r="286457" spans="12:13" x14ac:dyDescent="0.25">
      <c r="L286457" s="472"/>
      <c r="M286457" s="472"/>
    </row>
    <row r="286529" spans="12:13" x14ac:dyDescent="0.25">
      <c r="L286529" s="472"/>
      <c r="M286529" s="472"/>
    </row>
    <row r="286530" spans="12:13" x14ac:dyDescent="0.25">
      <c r="L286530" s="472"/>
      <c r="M286530" s="472"/>
    </row>
    <row r="286531" spans="12:13" x14ac:dyDescent="0.25">
      <c r="L286531" s="472"/>
      <c r="M286531" s="472"/>
    </row>
    <row r="286603" spans="12:13" x14ac:dyDescent="0.25">
      <c r="L286603" s="472"/>
      <c r="M286603" s="472"/>
    </row>
    <row r="286604" spans="12:13" x14ac:dyDescent="0.25">
      <c r="L286604" s="472"/>
      <c r="M286604" s="472"/>
    </row>
    <row r="286605" spans="12:13" x14ac:dyDescent="0.25">
      <c r="L286605" s="472"/>
      <c r="M286605" s="472"/>
    </row>
    <row r="286677" spans="12:13" x14ac:dyDescent="0.25">
      <c r="L286677" s="472"/>
      <c r="M286677" s="472"/>
    </row>
    <row r="286678" spans="12:13" x14ac:dyDescent="0.25">
      <c r="L286678" s="472"/>
      <c r="M286678" s="472"/>
    </row>
    <row r="286679" spans="12:13" x14ac:dyDescent="0.25">
      <c r="L286679" s="472"/>
      <c r="M286679" s="472"/>
    </row>
    <row r="286751" spans="12:13" x14ac:dyDescent="0.25">
      <c r="L286751" s="472"/>
      <c r="M286751" s="472"/>
    </row>
    <row r="286752" spans="12:13" x14ac:dyDescent="0.25">
      <c r="L286752" s="472"/>
      <c r="M286752" s="472"/>
    </row>
    <row r="286753" spans="12:13" x14ac:dyDescent="0.25">
      <c r="L286753" s="472"/>
      <c r="M286753" s="472"/>
    </row>
    <row r="286825" spans="12:13" x14ac:dyDescent="0.25">
      <c r="L286825" s="472"/>
      <c r="M286825" s="472"/>
    </row>
    <row r="286826" spans="12:13" x14ac:dyDescent="0.25">
      <c r="L286826" s="472"/>
      <c r="M286826" s="472"/>
    </row>
    <row r="286827" spans="12:13" x14ac:dyDescent="0.25">
      <c r="L286827" s="472"/>
      <c r="M286827" s="472"/>
    </row>
    <row r="286899" spans="12:13" x14ac:dyDescent="0.25">
      <c r="L286899" s="472"/>
      <c r="M286899" s="472"/>
    </row>
    <row r="286900" spans="12:13" x14ac:dyDescent="0.25">
      <c r="L286900" s="472"/>
      <c r="M286900" s="472"/>
    </row>
    <row r="286901" spans="12:13" x14ac:dyDescent="0.25">
      <c r="L286901" s="472"/>
      <c r="M286901" s="472"/>
    </row>
    <row r="286973" spans="12:13" x14ac:dyDescent="0.25">
      <c r="L286973" s="472"/>
      <c r="M286973" s="472"/>
    </row>
    <row r="286974" spans="12:13" x14ac:dyDescent="0.25">
      <c r="L286974" s="472"/>
      <c r="M286974" s="472"/>
    </row>
    <row r="286975" spans="12:13" x14ac:dyDescent="0.25">
      <c r="L286975" s="472"/>
      <c r="M286975" s="472"/>
    </row>
    <row r="287047" spans="12:13" x14ac:dyDescent="0.25">
      <c r="L287047" s="472"/>
      <c r="M287047" s="472"/>
    </row>
    <row r="287048" spans="12:13" x14ac:dyDescent="0.25">
      <c r="L287048" s="472"/>
      <c r="M287048" s="472"/>
    </row>
    <row r="287049" spans="12:13" x14ac:dyDescent="0.25">
      <c r="L287049" s="472"/>
      <c r="M287049" s="472"/>
    </row>
    <row r="287121" spans="12:13" x14ac:dyDescent="0.25">
      <c r="L287121" s="472"/>
      <c r="M287121" s="472"/>
    </row>
    <row r="287122" spans="12:13" x14ac:dyDescent="0.25">
      <c r="L287122" s="472"/>
      <c r="M287122" s="472"/>
    </row>
    <row r="287123" spans="12:13" x14ac:dyDescent="0.25">
      <c r="L287123" s="472"/>
      <c r="M287123" s="472"/>
    </row>
    <row r="287195" spans="12:13" x14ac:dyDescent="0.25">
      <c r="L287195" s="472"/>
      <c r="M287195" s="472"/>
    </row>
    <row r="287196" spans="12:13" x14ac:dyDescent="0.25">
      <c r="L287196" s="472"/>
      <c r="M287196" s="472"/>
    </row>
    <row r="287197" spans="12:13" x14ac:dyDescent="0.25">
      <c r="L287197" s="472"/>
      <c r="M287197" s="472"/>
    </row>
    <row r="287269" spans="12:13" x14ac:dyDescent="0.25">
      <c r="L287269" s="472"/>
      <c r="M287269" s="472"/>
    </row>
    <row r="287270" spans="12:13" x14ac:dyDescent="0.25">
      <c r="L287270" s="472"/>
      <c r="M287270" s="472"/>
    </row>
    <row r="287271" spans="12:13" x14ac:dyDescent="0.25">
      <c r="L287271" s="472"/>
      <c r="M287271" s="472"/>
    </row>
    <row r="287343" spans="12:13" x14ac:dyDescent="0.25">
      <c r="L287343" s="472"/>
      <c r="M287343" s="472"/>
    </row>
    <row r="287344" spans="12:13" x14ac:dyDescent="0.25">
      <c r="L287344" s="472"/>
      <c r="M287344" s="472"/>
    </row>
    <row r="287345" spans="12:13" x14ac:dyDescent="0.25">
      <c r="L287345" s="472"/>
      <c r="M287345" s="472"/>
    </row>
    <row r="287417" spans="12:13" x14ac:dyDescent="0.25">
      <c r="L287417" s="472"/>
      <c r="M287417" s="472"/>
    </row>
    <row r="287418" spans="12:13" x14ac:dyDescent="0.25">
      <c r="L287418" s="472"/>
      <c r="M287418" s="472"/>
    </row>
    <row r="287419" spans="12:13" x14ac:dyDescent="0.25">
      <c r="L287419" s="472"/>
      <c r="M287419" s="472"/>
    </row>
    <row r="287491" spans="12:13" x14ac:dyDescent="0.25">
      <c r="L287491" s="472"/>
      <c r="M287491" s="472"/>
    </row>
    <row r="287492" spans="12:13" x14ac:dyDescent="0.25">
      <c r="L287492" s="472"/>
      <c r="M287492" s="472"/>
    </row>
    <row r="287493" spans="12:13" x14ac:dyDescent="0.25">
      <c r="L287493" s="472"/>
      <c r="M287493" s="472"/>
    </row>
    <row r="287565" spans="12:13" x14ac:dyDescent="0.25">
      <c r="L287565" s="472"/>
      <c r="M287565" s="472"/>
    </row>
    <row r="287566" spans="12:13" x14ac:dyDescent="0.25">
      <c r="L287566" s="472"/>
      <c r="M287566" s="472"/>
    </row>
    <row r="287567" spans="12:13" x14ac:dyDescent="0.25">
      <c r="L287567" s="472"/>
      <c r="M287567" s="472"/>
    </row>
    <row r="287639" spans="12:13" x14ac:dyDescent="0.25">
      <c r="L287639" s="472"/>
      <c r="M287639" s="472"/>
    </row>
    <row r="287640" spans="12:13" x14ac:dyDescent="0.25">
      <c r="L287640" s="472"/>
      <c r="M287640" s="472"/>
    </row>
    <row r="287641" spans="12:13" x14ac:dyDescent="0.25">
      <c r="L287641" s="472"/>
      <c r="M287641" s="472"/>
    </row>
    <row r="287713" spans="12:13" x14ac:dyDescent="0.25">
      <c r="L287713" s="472"/>
      <c r="M287713" s="472"/>
    </row>
    <row r="287714" spans="12:13" x14ac:dyDescent="0.25">
      <c r="L287714" s="472"/>
      <c r="M287714" s="472"/>
    </row>
    <row r="287715" spans="12:13" x14ac:dyDescent="0.25">
      <c r="L287715" s="472"/>
      <c r="M287715" s="472"/>
    </row>
    <row r="287787" spans="12:13" x14ac:dyDescent="0.25">
      <c r="L287787" s="472"/>
      <c r="M287787" s="472"/>
    </row>
    <row r="287788" spans="12:13" x14ac:dyDescent="0.25">
      <c r="L287788" s="472"/>
      <c r="M287788" s="472"/>
    </row>
    <row r="287789" spans="12:13" x14ac:dyDescent="0.25">
      <c r="L287789" s="472"/>
      <c r="M287789" s="472"/>
    </row>
    <row r="287861" spans="12:13" x14ac:dyDescent="0.25">
      <c r="L287861" s="472"/>
      <c r="M287861" s="472"/>
    </row>
    <row r="287862" spans="12:13" x14ac:dyDescent="0.25">
      <c r="L287862" s="472"/>
      <c r="M287862" s="472"/>
    </row>
    <row r="287863" spans="12:13" x14ac:dyDescent="0.25">
      <c r="L287863" s="472"/>
      <c r="M287863" s="472"/>
    </row>
    <row r="287935" spans="12:13" x14ac:dyDescent="0.25">
      <c r="L287935" s="472"/>
      <c r="M287935" s="472"/>
    </row>
    <row r="287936" spans="12:13" x14ac:dyDescent="0.25">
      <c r="L287936" s="472"/>
      <c r="M287936" s="472"/>
    </row>
    <row r="287937" spans="12:13" x14ac:dyDescent="0.25">
      <c r="L287937" s="472"/>
      <c r="M287937" s="472"/>
    </row>
    <row r="288009" spans="12:13" x14ac:dyDescent="0.25">
      <c r="L288009" s="472"/>
      <c r="M288009" s="472"/>
    </row>
    <row r="288010" spans="12:13" x14ac:dyDescent="0.25">
      <c r="L288010" s="472"/>
      <c r="M288010" s="472"/>
    </row>
    <row r="288011" spans="12:13" x14ac:dyDescent="0.25">
      <c r="L288011" s="472"/>
      <c r="M288011" s="472"/>
    </row>
    <row r="288083" spans="12:13" x14ac:dyDescent="0.25">
      <c r="L288083" s="472"/>
      <c r="M288083" s="472"/>
    </row>
    <row r="288084" spans="12:13" x14ac:dyDescent="0.25">
      <c r="L288084" s="472"/>
      <c r="M288084" s="472"/>
    </row>
    <row r="288085" spans="12:13" x14ac:dyDescent="0.25">
      <c r="L288085" s="472"/>
      <c r="M288085" s="472"/>
    </row>
    <row r="288157" spans="12:13" x14ac:dyDescent="0.25">
      <c r="L288157" s="472"/>
      <c r="M288157" s="472"/>
    </row>
    <row r="288158" spans="12:13" x14ac:dyDescent="0.25">
      <c r="L288158" s="472"/>
      <c r="M288158" s="472"/>
    </row>
    <row r="288159" spans="12:13" x14ac:dyDescent="0.25">
      <c r="L288159" s="472"/>
      <c r="M288159" s="472"/>
    </row>
    <row r="288231" spans="12:13" x14ac:dyDescent="0.25">
      <c r="L288231" s="472"/>
      <c r="M288231" s="472"/>
    </row>
    <row r="288232" spans="12:13" x14ac:dyDescent="0.25">
      <c r="L288232" s="472"/>
      <c r="M288232" s="472"/>
    </row>
    <row r="288233" spans="12:13" x14ac:dyDescent="0.25">
      <c r="L288233" s="472"/>
      <c r="M288233" s="472"/>
    </row>
    <row r="288305" spans="12:13" x14ac:dyDescent="0.25">
      <c r="L288305" s="472"/>
      <c r="M288305" s="472"/>
    </row>
    <row r="288306" spans="12:13" x14ac:dyDescent="0.25">
      <c r="L288306" s="472"/>
      <c r="M288306" s="472"/>
    </row>
    <row r="288307" spans="12:13" x14ac:dyDescent="0.25">
      <c r="L288307" s="472"/>
      <c r="M288307" s="472"/>
    </row>
    <row r="288379" spans="12:13" x14ac:dyDescent="0.25">
      <c r="L288379" s="472"/>
      <c r="M288379" s="472"/>
    </row>
    <row r="288380" spans="12:13" x14ac:dyDescent="0.25">
      <c r="L288380" s="472"/>
      <c r="M288380" s="472"/>
    </row>
    <row r="288381" spans="12:13" x14ac:dyDescent="0.25">
      <c r="L288381" s="472"/>
      <c r="M288381" s="472"/>
    </row>
    <row r="288453" spans="12:13" x14ac:dyDescent="0.25">
      <c r="L288453" s="472"/>
      <c r="M288453" s="472"/>
    </row>
    <row r="288454" spans="12:13" x14ac:dyDescent="0.25">
      <c r="L288454" s="472"/>
      <c r="M288454" s="472"/>
    </row>
    <row r="288455" spans="12:13" x14ac:dyDescent="0.25">
      <c r="L288455" s="472"/>
      <c r="M288455" s="472"/>
    </row>
    <row r="288527" spans="12:13" x14ac:dyDescent="0.25">
      <c r="L288527" s="472"/>
      <c r="M288527" s="472"/>
    </row>
    <row r="288528" spans="12:13" x14ac:dyDescent="0.25">
      <c r="L288528" s="472"/>
      <c r="M288528" s="472"/>
    </row>
    <row r="288529" spans="12:13" x14ac:dyDescent="0.25">
      <c r="L288529" s="472"/>
      <c r="M288529" s="472"/>
    </row>
    <row r="288601" spans="12:13" x14ac:dyDescent="0.25">
      <c r="L288601" s="472"/>
      <c r="M288601" s="472"/>
    </row>
    <row r="288602" spans="12:13" x14ac:dyDescent="0.25">
      <c r="L288602" s="472"/>
      <c r="M288602" s="472"/>
    </row>
    <row r="288603" spans="12:13" x14ac:dyDescent="0.25">
      <c r="L288603" s="472"/>
      <c r="M288603" s="472"/>
    </row>
    <row r="288675" spans="12:13" x14ac:dyDescent="0.25">
      <c r="L288675" s="472"/>
      <c r="M288675" s="472"/>
    </row>
    <row r="288676" spans="12:13" x14ac:dyDescent="0.25">
      <c r="L288676" s="472"/>
      <c r="M288676" s="472"/>
    </row>
    <row r="288677" spans="12:13" x14ac:dyDescent="0.25">
      <c r="L288677" s="472"/>
      <c r="M288677" s="472"/>
    </row>
    <row r="288749" spans="12:13" x14ac:dyDescent="0.25">
      <c r="L288749" s="472"/>
      <c r="M288749" s="472"/>
    </row>
    <row r="288750" spans="12:13" x14ac:dyDescent="0.25">
      <c r="L288750" s="472"/>
      <c r="M288750" s="472"/>
    </row>
    <row r="288751" spans="12:13" x14ac:dyDescent="0.25">
      <c r="L288751" s="472"/>
      <c r="M288751" s="472"/>
    </row>
    <row r="288823" spans="12:13" x14ac:dyDescent="0.25">
      <c r="L288823" s="472"/>
      <c r="M288823" s="472"/>
    </row>
    <row r="288824" spans="12:13" x14ac:dyDescent="0.25">
      <c r="L288824" s="472"/>
      <c r="M288824" s="472"/>
    </row>
    <row r="288825" spans="12:13" x14ac:dyDescent="0.25">
      <c r="L288825" s="472"/>
      <c r="M288825" s="472"/>
    </row>
    <row r="288897" spans="12:13" x14ac:dyDescent="0.25">
      <c r="L288897" s="472"/>
      <c r="M288897" s="472"/>
    </row>
    <row r="288898" spans="12:13" x14ac:dyDescent="0.25">
      <c r="L288898" s="472"/>
      <c r="M288898" s="472"/>
    </row>
    <row r="288899" spans="12:13" x14ac:dyDescent="0.25">
      <c r="L288899" s="472"/>
      <c r="M288899" s="472"/>
    </row>
    <row r="288971" spans="12:13" x14ac:dyDescent="0.25">
      <c r="L288971" s="472"/>
      <c r="M288971" s="472"/>
    </row>
    <row r="288972" spans="12:13" x14ac:dyDescent="0.25">
      <c r="L288972" s="472"/>
      <c r="M288972" s="472"/>
    </row>
    <row r="288973" spans="12:13" x14ac:dyDescent="0.25">
      <c r="L288973" s="472"/>
      <c r="M288973" s="472"/>
    </row>
    <row r="289045" spans="12:13" x14ac:dyDescent="0.25">
      <c r="L289045" s="472"/>
      <c r="M289045" s="472"/>
    </row>
    <row r="289046" spans="12:13" x14ac:dyDescent="0.25">
      <c r="L289046" s="472"/>
      <c r="M289046" s="472"/>
    </row>
    <row r="289047" spans="12:13" x14ac:dyDescent="0.25">
      <c r="L289047" s="472"/>
      <c r="M289047" s="472"/>
    </row>
    <row r="289119" spans="12:13" x14ac:dyDescent="0.25">
      <c r="L289119" s="472"/>
      <c r="M289119" s="472"/>
    </row>
    <row r="289120" spans="12:13" x14ac:dyDescent="0.25">
      <c r="L289120" s="472"/>
      <c r="M289120" s="472"/>
    </row>
    <row r="289121" spans="12:13" x14ac:dyDescent="0.25">
      <c r="L289121" s="472"/>
      <c r="M289121" s="472"/>
    </row>
    <row r="289193" spans="12:13" x14ac:dyDescent="0.25">
      <c r="L289193" s="472"/>
      <c r="M289193" s="472"/>
    </row>
    <row r="289194" spans="12:13" x14ac:dyDescent="0.25">
      <c r="L289194" s="472"/>
      <c r="M289194" s="472"/>
    </row>
    <row r="289195" spans="12:13" x14ac:dyDescent="0.25">
      <c r="L289195" s="472"/>
      <c r="M289195" s="472"/>
    </row>
    <row r="289267" spans="12:13" x14ac:dyDescent="0.25">
      <c r="L289267" s="472"/>
      <c r="M289267" s="472"/>
    </row>
    <row r="289268" spans="12:13" x14ac:dyDescent="0.25">
      <c r="L289268" s="472"/>
      <c r="M289268" s="472"/>
    </row>
    <row r="289269" spans="12:13" x14ac:dyDescent="0.25">
      <c r="L289269" s="472"/>
      <c r="M289269" s="472"/>
    </row>
    <row r="289341" spans="12:13" x14ac:dyDescent="0.25">
      <c r="L289341" s="472"/>
      <c r="M289341" s="472"/>
    </row>
    <row r="289342" spans="12:13" x14ac:dyDescent="0.25">
      <c r="L289342" s="472"/>
      <c r="M289342" s="472"/>
    </row>
    <row r="289343" spans="12:13" x14ac:dyDescent="0.25">
      <c r="L289343" s="472"/>
      <c r="M289343" s="472"/>
    </row>
    <row r="289415" spans="12:13" x14ac:dyDescent="0.25">
      <c r="L289415" s="472"/>
      <c r="M289415" s="472"/>
    </row>
    <row r="289416" spans="12:13" x14ac:dyDescent="0.25">
      <c r="L289416" s="472"/>
      <c r="M289416" s="472"/>
    </row>
    <row r="289417" spans="12:13" x14ac:dyDescent="0.25">
      <c r="L289417" s="472"/>
      <c r="M289417" s="472"/>
    </row>
    <row r="289489" spans="12:13" x14ac:dyDescent="0.25">
      <c r="L289489" s="472"/>
      <c r="M289489" s="472"/>
    </row>
    <row r="289490" spans="12:13" x14ac:dyDescent="0.25">
      <c r="L289490" s="472"/>
      <c r="M289490" s="472"/>
    </row>
    <row r="289491" spans="12:13" x14ac:dyDescent="0.25">
      <c r="L289491" s="472"/>
      <c r="M289491" s="472"/>
    </row>
    <row r="289563" spans="12:13" x14ac:dyDescent="0.25">
      <c r="L289563" s="472"/>
      <c r="M289563" s="472"/>
    </row>
    <row r="289564" spans="12:13" x14ac:dyDescent="0.25">
      <c r="L289564" s="472"/>
      <c r="M289564" s="472"/>
    </row>
    <row r="289565" spans="12:13" x14ac:dyDescent="0.25">
      <c r="L289565" s="472"/>
      <c r="M289565" s="472"/>
    </row>
    <row r="289637" spans="12:13" x14ac:dyDescent="0.25">
      <c r="L289637" s="472"/>
      <c r="M289637" s="472"/>
    </row>
    <row r="289638" spans="12:13" x14ac:dyDescent="0.25">
      <c r="L289638" s="472"/>
      <c r="M289638" s="472"/>
    </row>
    <row r="289639" spans="12:13" x14ac:dyDescent="0.25">
      <c r="L289639" s="472"/>
      <c r="M289639" s="472"/>
    </row>
    <row r="289711" spans="12:13" x14ac:dyDescent="0.25">
      <c r="L289711" s="472"/>
      <c r="M289711" s="472"/>
    </row>
    <row r="289712" spans="12:13" x14ac:dyDescent="0.25">
      <c r="L289712" s="472"/>
      <c r="M289712" s="472"/>
    </row>
    <row r="289713" spans="12:13" x14ac:dyDescent="0.25">
      <c r="L289713" s="472"/>
      <c r="M289713" s="472"/>
    </row>
    <row r="289785" spans="12:13" x14ac:dyDescent="0.25">
      <c r="L289785" s="472"/>
      <c r="M289785" s="472"/>
    </row>
    <row r="289786" spans="12:13" x14ac:dyDescent="0.25">
      <c r="L289786" s="472"/>
      <c r="M289786" s="472"/>
    </row>
    <row r="289787" spans="12:13" x14ac:dyDescent="0.25">
      <c r="L289787" s="472"/>
      <c r="M289787" s="472"/>
    </row>
    <row r="289859" spans="12:13" x14ac:dyDescent="0.25">
      <c r="L289859" s="472"/>
      <c r="M289859" s="472"/>
    </row>
    <row r="289860" spans="12:13" x14ac:dyDescent="0.25">
      <c r="L289860" s="472"/>
      <c r="M289860" s="472"/>
    </row>
    <row r="289861" spans="12:13" x14ac:dyDescent="0.25">
      <c r="L289861" s="472"/>
      <c r="M289861" s="472"/>
    </row>
    <row r="289933" spans="12:13" x14ac:dyDescent="0.25">
      <c r="L289933" s="472"/>
      <c r="M289933" s="472"/>
    </row>
    <row r="289934" spans="12:13" x14ac:dyDescent="0.25">
      <c r="L289934" s="472"/>
      <c r="M289934" s="472"/>
    </row>
    <row r="289935" spans="12:13" x14ac:dyDescent="0.25">
      <c r="L289935" s="472"/>
      <c r="M289935" s="472"/>
    </row>
    <row r="290007" spans="12:13" x14ac:dyDescent="0.25">
      <c r="L290007" s="472"/>
      <c r="M290007" s="472"/>
    </row>
    <row r="290008" spans="12:13" x14ac:dyDescent="0.25">
      <c r="L290008" s="472"/>
      <c r="M290008" s="472"/>
    </row>
    <row r="290009" spans="12:13" x14ac:dyDescent="0.25">
      <c r="L290009" s="472"/>
      <c r="M290009" s="472"/>
    </row>
    <row r="290081" spans="12:13" x14ac:dyDescent="0.25">
      <c r="L290081" s="472"/>
      <c r="M290081" s="472"/>
    </row>
    <row r="290082" spans="12:13" x14ac:dyDescent="0.25">
      <c r="L290082" s="472"/>
      <c r="M290082" s="472"/>
    </row>
    <row r="290083" spans="12:13" x14ac:dyDescent="0.25">
      <c r="L290083" s="472"/>
      <c r="M290083" s="472"/>
    </row>
    <row r="290155" spans="12:13" x14ac:dyDescent="0.25">
      <c r="L290155" s="472"/>
      <c r="M290155" s="472"/>
    </row>
    <row r="290156" spans="12:13" x14ac:dyDescent="0.25">
      <c r="L290156" s="472"/>
      <c r="M290156" s="472"/>
    </row>
    <row r="290157" spans="12:13" x14ac:dyDescent="0.25">
      <c r="L290157" s="472"/>
      <c r="M290157" s="472"/>
    </row>
    <row r="290229" spans="12:13" x14ac:dyDescent="0.25">
      <c r="L290229" s="472"/>
      <c r="M290229" s="472"/>
    </row>
    <row r="290230" spans="12:13" x14ac:dyDescent="0.25">
      <c r="L290230" s="472"/>
      <c r="M290230" s="472"/>
    </row>
    <row r="290231" spans="12:13" x14ac:dyDescent="0.25">
      <c r="L290231" s="472"/>
      <c r="M290231" s="472"/>
    </row>
    <row r="290303" spans="12:13" x14ac:dyDescent="0.25">
      <c r="L290303" s="472"/>
      <c r="M290303" s="472"/>
    </row>
    <row r="290304" spans="12:13" x14ac:dyDescent="0.25">
      <c r="L290304" s="472"/>
      <c r="M290304" s="472"/>
    </row>
    <row r="290305" spans="12:13" x14ac:dyDescent="0.25">
      <c r="L290305" s="472"/>
      <c r="M290305" s="472"/>
    </row>
    <row r="290377" spans="12:13" x14ac:dyDescent="0.25">
      <c r="L290377" s="472"/>
      <c r="M290377" s="472"/>
    </row>
    <row r="290378" spans="12:13" x14ac:dyDescent="0.25">
      <c r="L290378" s="472"/>
      <c r="M290378" s="472"/>
    </row>
    <row r="290379" spans="12:13" x14ac:dyDescent="0.25">
      <c r="L290379" s="472"/>
      <c r="M290379" s="472"/>
    </row>
    <row r="290451" spans="12:13" x14ac:dyDescent="0.25">
      <c r="L290451" s="472"/>
      <c r="M290451" s="472"/>
    </row>
    <row r="290452" spans="12:13" x14ac:dyDescent="0.25">
      <c r="L290452" s="472"/>
      <c r="M290452" s="472"/>
    </row>
    <row r="290453" spans="12:13" x14ac:dyDescent="0.25">
      <c r="L290453" s="472"/>
      <c r="M290453" s="472"/>
    </row>
    <row r="290525" spans="12:13" x14ac:dyDescent="0.25">
      <c r="L290525" s="472"/>
      <c r="M290525" s="472"/>
    </row>
    <row r="290526" spans="12:13" x14ac:dyDescent="0.25">
      <c r="L290526" s="472"/>
      <c r="M290526" s="472"/>
    </row>
    <row r="290527" spans="12:13" x14ac:dyDescent="0.25">
      <c r="L290527" s="472"/>
      <c r="M290527" s="472"/>
    </row>
    <row r="290599" spans="12:13" x14ac:dyDescent="0.25">
      <c r="L290599" s="472"/>
      <c r="M290599" s="472"/>
    </row>
    <row r="290600" spans="12:13" x14ac:dyDescent="0.25">
      <c r="L290600" s="472"/>
      <c r="M290600" s="472"/>
    </row>
    <row r="290601" spans="12:13" x14ac:dyDescent="0.25">
      <c r="L290601" s="472"/>
      <c r="M290601" s="472"/>
    </row>
    <row r="290673" spans="12:13" x14ac:dyDescent="0.25">
      <c r="L290673" s="472"/>
      <c r="M290673" s="472"/>
    </row>
    <row r="290674" spans="12:13" x14ac:dyDescent="0.25">
      <c r="L290674" s="472"/>
      <c r="M290674" s="472"/>
    </row>
    <row r="290675" spans="12:13" x14ac:dyDescent="0.25">
      <c r="L290675" s="472"/>
      <c r="M290675" s="472"/>
    </row>
    <row r="290747" spans="12:13" x14ac:dyDescent="0.25">
      <c r="L290747" s="472"/>
      <c r="M290747" s="472"/>
    </row>
    <row r="290748" spans="12:13" x14ac:dyDescent="0.25">
      <c r="L290748" s="472"/>
      <c r="M290748" s="472"/>
    </row>
    <row r="290749" spans="12:13" x14ac:dyDescent="0.25">
      <c r="L290749" s="472"/>
      <c r="M290749" s="472"/>
    </row>
    <row r="290821" spans="12:13" x14ac:dyDescent="0.25">
      <c r="L290821" s="472"/>
      <c r="M290821" s="472"/>
    </row>
    <row r="290822" spans="12:13" x14ac:dyDescent="0.25">
      <c r="L290822" s="472"/>
      <c r="M290822" s="472"/>
    </row>
    <row r="290823" spans="12:13" x14ac:dyDescent="0.25">
      <c r="L290823" s="472"/>
      <c r="M290823" s="472"/>
    </row>
    <row r="290895" spans="12:13" x14ac:dyDescent="0.25">
      <c r="L290895" s="472"/>
      <c r="M290895" s="472"/>
    </row>
    <row r="290896" spans="12:13" x14ac:dyDescent="0.25">
      <c r="L290896" s="472"/>
      <c r="M290896" s="472"/>
    </row>
    <row r="290897" spans="12:13" x14ac:dyDescent="0.25">
      <c r="L290897" s="472"/>
      <c r="M290897" s="472"/>
    </row>
    <row r="290969" spans="12:13" x14ac:dyDescent="0.25">
      <c r="L290969" s="472"/>
      <c r="M290969" s="472"/>
    </row>
    <row r="290970" spans="12:13" x14ac:dyDescent="0.25">
      <c r="L290970" s="472"/>
      <c r="M290970" s="472"/>
    </row>
    <row r="290971" spans="12:13" x14ac:dyDescent="0.25">
      <c r="L290971" s="472"/>
      <c r="M290971" s="472"/>
    </row>
    <row r="291043" spans="12:13" x14ac:dyDescent="0.25">
      <c r="L291043" s="472"/>
      <c r="M291043" s="472"/>
    </row>
    <row r="291044" spans="12:13" x14ac:dyDescent="0.25">
      <c r="L291044" s="472"/>
      <c r="M291044" s="472"/>
    </row>
    <row r="291045" spans="12:13" x14ac:dyDescent="0.25">
      <c r="L291045" s="472"/>
      <c r="M291045" s="472"/>
    </row>
    <row r="291117" spans="12:13" x14ac:dyDescent="0.25">
      <c r="L291117" s="472"/>
      <c r="M291117" s="472"/>
    </row>
    <row r="291118" spans="12:13" x14ac:dyDescent="0.25">
      <c r="L291118" s="472"/>
      <c r="M291118" s="472"/>
    </row>
    <row r="291119" spans="12:13" x14ac:dyDescent="0.25">
      <c r="L291119" s="472"/>
      <c r="M291119" s="472"/>
    </row>
    <row r="291191" spans="12:13" x14ac:dyDescent="0.25">
      <c r="L291191" s="472"/>
      <c r="M291191" s="472"/>
    </row>
    <row r="291192" spans="12:13" x14ac:dyDescent="0.25">
      <c r="L291192" s="472"/>
      <c r="M291192" s="472"/>
    </row>
    <row r="291193" spans="12:13" x14ac:dyDescent="0.25">
      <c r="L291193" s="472"/>
      <c r="M291193" s="472"/>
    </row>
    <row r="291265" spans="12:13" x14ac:dyDescent="0.25">
      <c r="L291265" s="472"/>
      <c r="M291265" s="472"/>
    </row>
    <row r="291266" spans="12:13" x14ac:dyDescent="0.25">
      <c r="L291266" s="472"/>
      <c r="M291266" s="472"/>
    </row>
    <row r="291267" spans="12:13" x14ac:dyDescent="0.25">
      <c r="L291267" s="472"/>
      <c r="M291267" s="472"/>
    </row>
    <row r="291339" spans="12:13" x14ac:dyDescent="0.25">
      <c r="L291339" s="472"/>
      <c r="M291339" s="472"/>
    </row>
    <row r="291340" spans="12:13" x14ac:dyDescent="0.25">
      <c r="L291340" s="472"/>
      <c r="M291340" s="472"/>
    </row>
    <row r="291341" spans="12:13" x14ac:dyDescent="0.25">
      <c r="L291341" s="472"/>
      <c r="M291341" s="472"/>
    </row>
    <row r="291413" spans="12:13" x14ac:dyDescent="0.25">
      <c r="L291413" s="472"/>
      <c r="M291413" s="472"/>
    </row>
    <row r="291414" spans="12:13" x14ac:dyDescent="0.25">
      <c r="L291414" s="472"/>
      <c r="M291414" s="472"/>
    </row>
    <row r="291415" spans="12:13" x14ac:dyDescent="0.25">
      <c r="L291415" s="472"/>
      <c r="M291415" s="472"/>
    </row>
    <row r="291487" spans="12:13" x14ac:dyDescent="0.25">
      <c r="L291487" s="472"/>
      <c r="M291487" s="472"/>
    </row>
    <row r="291488" spans="12:13" x14ac:dyDescent="0.25">
      <c r="L291488" s="472"/>
      <c r="M291488" s="472"/>
    </row>
    <row r="291489" spans="12:13" x14ac:dyDescent="0.25">
      <c r="L291489" s="472"/>
      <c r="M291489" s="472"/>
    </row>
    <row r="291561" spans="12:13" x14ac:dyDescent="0.25">
      <c r="L291561" s="472"/>
      <c r="M291561" s="472"/>
    </row>
    <row r="291562" spans="12:13" x14ac:dyDescent="0.25">
      <c r="L291562" s="472"/>
      <c r="M291562" s="472"/>
    </row>
    <row r="291563" spans="12:13" x14ac:dyDescent="0.25">
      <c r="L291563" s="472"/>
      <c r="M291563" s="472"/>
    </row>
    <row r="291635" spans="12:13" x14ac:dyDescent="0.25">
      <c r="L291635" s="472"/>
      <c r="M291635" s="472"/>
    </row>
    <row r="291636" spans="12:13" x14ac:dyDescent="0.25">
      <c r="L291636" s="472"/>
      <c r="M291636" s="472"/>
    </row>
    <row r="291637" spans="12:13" x14ac:dyDescent="0.25">
      <c r="L291637" s="472"/>
      <c r="M291637" s="472"/>
    </row>
    <row r="291709" spans="12:13" x14ac:dyDescent="0.25">
      <c r="L291709" s="472"/>
      <c r="M291709" s="472"/>
    </row>
    <row r="291710" spans="12:13" x14ac:dyDescent="0.25">
      <c r="L291710" s="472"/>
      <c r="M291710" s="472"/>
    </row>
    <row r="291711" spans="12:13" x14ac:dyDescent="0.25">
      <c r="L291711" s="472"/>
      <c r="M291711" s="472"/>
    </row>
    <row r="291783" spans="12:13" x14ac:dyDescent="0.25">
      <c r="L291783" s="472"/>
      <c r="M291783" s="472"/>
    </row>
    <row r="291784" spans="12:13" x14ac:dyDescent="0.25">
      <c r="L291784" s="472"/>
      <c r="M291784" s="472"/>
    </row>
    <row r="291785" spans="12:13" x14ac:dyDescent="0.25">
      <c r="L291785" s="472"/>
      <c r="M291785" s="472"/>
    </row>
    <row r="291857" spans="12:13" x14ac:dyDescent="0.25">
      <c r="L291857" s="472"/>
      <c r="M291857" s="472"/>
    </row>
    <row r="291858" spans="12:13" x14ac:dyDescent="0.25">
      <c r="L291858" s="472"/>
      <c r="M291858" s="472"/>
    </row>
    <row r="291859" spans="12:13" x14ac:dyDescent="0.25">
      <c r="L291859" s="472"/>
      <c r="M291859" s="472"/>
    </row>
    <row r="291931" spans="12:13" x14ac:dyDescent="0.25">
      <c r="L291931" s="472"/>
      <c r="M291931" s="472"/>
    </row>
    <row r="291932" spans="12:13" x14ac:dyDescent="0.25">
      <c r="L291932" s="472"/>
      <c r="M291932" s="472"/>
    </row>
    <row r="291933" spans="12:13" x14ac:dyDescent="0.25">
      <c r="L291933" s="472"/>
      <c r="M291933" s="472"/>
    </row>
    <row r="292005" spans="12:13" x14ac:dyDescent="0.25">
      <c r="L292005" s="472"/>
      <c r="M292005" s="472"/>
    </row>
    <row r="292006" spans="12:13" x14ac:dyDescent="0.25">
      <c r="L292006" s="472"/>
      <c r="M292006" s="472"/>
    </row>
    <row r="292007" spans="12:13" x14ac:dyDescent="0.25">
      <c r="L292007" s="472"/>
      <c r="M292007" s="472"/>
    </row>
    <row r="292079" spans="12:13" x14ac:dyDescent="0.25">
      <c r="L292079" s="472"/>
      <c r="M292079" s="472"/>
    </row>
    <row r="292080" spans="12:13" x14ac:dyDescent="0.25">
      <c r="L292080" s="472"/>
      <c r="M292080" s="472"/>
    </row>
    <row r="292081" spans="12:13" x14ac:dyDescent="0.25">
      <c r="L292081" s="472"/>
      <c r="M292081" s="472"/>
    </row>
    <row r="292153" spans="12:13" x14ac:dyDescent="0.25">
      <c r="L292153" s="472"/>
      <c r="M292153" s="472"/>
    </row>
    <row r="292154" spans="12:13" x14ac:dyDescent="0.25">
      <c r="L292154" s="472"/>
      <c r="M292154" s="472"/>
    </row>
    <row r="292155" spans="12:13" x14ac:dyDescent="0.25">
      <c r="L292155" s="472"/>
      <c r="M292155" s="472"/>
    </row>
    <row r="292227" spans="12:13" x14ac:dyDescent="0.25">
      <c r="L292227" s="472"/>
      <c r="M292227" s="472"/>
    </row>
    <row r="292228" spans="12:13" x14ac:dyDescent="0.25">
      <c r="L292228" s="472"/>
      <c r="M292228" s="472"/>
    </row>
    <row r="292229" spans="12:13" x14ac:dyDescent="0.25">
      <c r="L292229" s="472"/>
      <c r="M292229" s="472"/>
    </row>
    <row r="292301" spans="12:13" x14ac:dyDescent="0.25">
      <c r="L292301" s="472"/>
      <c r="M292301" s="472"/>
    </row>
    <row r="292302" spans="12:13" x14ac:dyDescent="0.25">
      <c r="L292302" s="472"/>
      <c r="M292302" s="472"/>
    </row>
    <row r="292303" spans="12:13" x14ac:dyDescent="0.25">
      <c r="L292303" s="472"/>
      <c r="M292303" s="472"/>
    </row>
    <row r="292375" spans="12:13" x14ac:dyDescent="0.25">
      <c r="L292375" s="472"/>
      <c r="M292375" s="472"/>
    </row>
    <row r="292376" spans="12:13" x14ac:dyDescent="0.25">
      <c r="L292376" s="472"/>
      <c r="M292376" s="472"/>
    </row>
    <row r="292377" spans="12:13" x14ac:dyDescent="0.25">
      <c r="L292377" s="472"/>
      <c r="M292377" s="472"/>
    </row>
    <row r="292449" spans="12:13" x14ac:dyDescent="0.25">
      <c r="L292449" s="472"/>
      <c r="M292449" s="472"/>
    </row>
    <row r="292450" spans="12:13" x14ac:dyDescent="0.25">
      <c r="L292450" s="472"/>
      <c r="M292450" s="472"/>
    </row>
    <row r="292451" spans="12:13" x14ac:dyDescent="0.25">
      <c r="L292451" s="472"/>
      <c r="M292451" s="472"/>
    </row>
    <row r="292523" spans="12:13" x14ac:dyDescent="0.25">
      <c r="L292523" s="472"/>
      <c r="M292523" s="472"/>
    </row>
    <row r="292524" spans="12:13" x14ac:dyDescent="0.25">
      <c r="L292524" s="472"/>
      <c r="M292524" s="472"/>
    </row>
    <row r="292525" spans="12:13" x14ac:dyDescent="0.25">
      <c r="L292525" s="472"/>
      <c r="M292525" s="472"/>
    </row>
    <row r="292597" spans="12:13" x14ac:dyDescent="0.25">
      <c r="L292597" s="472"/>
      <c r="M292597" s="472"/>
    </row>
    <row r="292598" spans="12:13" x14ac:dyDescent="0.25">
      <c r="L292598" s="472"/>
      <c r="M292598" s="472"/>
    </row>
    <row r="292599" spans="12:13" x14ac:dyDescent="0.25">
      <c r="L292599" s="472"/>
      <c r="M292599" s="472"/>
    </row>
    <row r="292671" spans="12:13" x14ac:dyDescent="0.25">
      <c r="L292671" s="472"/>
      <c r="M292671" s="472"/>
    </row>
    <row r="292672" spans="12:13" x14ac:dyDescent="0.25">
      <c r="L292672" s="472"/>
      <c r="M292672" s="472"/>
    </row>
    <row r="292673" spans="12:13" x14ac:dyDescent="0.25">
      <c r="L292673" s="472"/>
      <c r="M292673" s="472"/>
    </row>
    <row r="292745" spans="12:13" x14ac:dyDescent="0.25">
      <c r="L292745" s="472"/>
      <c r="M292745" s="472"/>
    </row>
    <row r="292746" spans="12:13" x14ac:dyDescent="0.25">
      <c r="L292746" s="472"/>
      <c r="M292746" s="472"/>
    </row>
    <row r="292747" spans="12:13" x14ac:dyDescent="0.25">
      <c r="L292747" s="472"/>
      <c r="M292747" s="472"/>
    </row>
    <row r="292819" spans="12:13" x14ac:dyDescent="0.25">
      <c r="L292819" s="472"/>
      <c r="M292819" s="472"/>
    </row>
    <row r="292820" spans="12:13" x14ac:dyDescent="0.25">
      <c r="L292820" s="472"/>
      <c r="M292820" s="472"/>
    </row>
    <row r="292821" spans="12:13" x14ac:dyDescent="0.25">
      <c r="L292821" s="472"/>
      <c r="M292821" s="472"/>
    </row>
    <row r="292893" spans="12:13" x14ac:dyDescent="0.25">
      <c r="L292893" s="472"/>
      <c r="M292893" s="472"/>
    </row>
    <row r="292894" spans="12:13" x14ac:dyDescent="0.25">
      <c r="L292894" s="472"/>
      <c r="M292894" s="472"/>
    </row>
    <row r="292895" spans="12:13" x14ac:dyDescent="0.25">
      <c r="L292895" s="472"/>
      <c r="M292895" s="472"/>
    </row>
    <row r="292967" spans="12:13" x14ac:dyDescent="0.25">
      <c r="L292967" s="472"/>
      <c r="M292967" s="472"/>
    </row>
    <row r="292968" spans="12:13" x14ac:dyDescent="0.25">
      <c r="L292968" s="472"/>
      <c r="M292968" s="472"/>
    </row>
    <row r="292969" spans="12:13" x14ac:dyDescent="0.25">
      <c r="L292969" s="472"/>
      <c r="M292969" s="472"/>
    </row>
    <row r="293041" spans="12:13" x14ac:dyDescent="0.25">
      <c r="L293041" s="472"/>
      <c r="M293041" s="472"/>
    </row>
    <row r="293042" spans="12:13" x14ac:dyDescent="0.25">
      <c r="L293042" s="472"/>
      <c r="M293042" s="472"/>
    </row>
    <row r="293043" spans="12:13" x14ac:dyDescent="0.25">
      <c r="L293043" s="472"/>
      <c r="M293043" s="472"/>
    </row>
    <row r="293115" spans="12:13" x14ac:dyDescent="0.25">
      <c r="L293115" s="472"/>
      <c r="M293115" s="472"/>
    </row>
    <row r="293116" spans="12:13" x14ac:dyDescent="0.25">
      <c r="L293116" s="472"/>
      <c r="M293116" s="472"/>
    </row>
    <row r="293117" spans="12:13" x14ac:dyDescent="0.25">
      <c r="L293117" s="472"/>
      <c r="M293117" s="472"/>
    </row>
    <row r="293189" spans="12:13" x14ac:dyDescent="0.25">
      <c r="L293189" s="472"/>
      <c r="M293189" s="472"/>
    </row>
    <row r="293190" spans="12:13" x14ac:dyDescent="0.25">
      <c r="L293190" s="472"/>
      <c r="M293190" s="472"/>
    </row>
    <row r="293191" spans="12:13" x14ac:dyDescent="0.25">
      <c r="L293191" s="472"/>
      <c r="M293191" s="472"/>
    </row>
    <row r="293263" spans="12:13" x14ac:dyDescent="0.25">
      <c r="L293263" s="472"/>
      <c r="M293263" s="472"/>
    </row>
    <row r="293264" spans="12:13" x14ac:dyDescent="0.25">
      <c r="L293264" s="472"/>
      <c r="M293264" s="472"/>
    </row>
    <row r="293265" spans="12:13" x14ac:dyDescent="0.25">
      <c r="L293265" s="472"/>
      <c r="M293265" s="472"/>
    </row>
    <row r="293337" spans="12:13" x14ac:dyDescent="0.25">
      <c r="L293337" s="472"/>
      <c r="M293337" s="472"/>
    </row>
    <row r="293338" spans="12:13" x14ac:dyDescent="0.25">
      <c r="L293338" s="472"/>
      <c r="M293338" s="472"/>
    </row>
    <row r="293339" spans="12:13" x14ac:dyDescent="0.25">
      <c r="L293339" s="472"/>
      <c r="M293339" s="472"/>
    </row>
    <row r="293411" spans="12:13" x14ac:dyDescent="0.25">
      <c r="L293411" s="472"/>
      <c r="M293411" s="472"/>
    </row>
    <row r="293412" spans="12:13" x14ac:dyDescent="0.25">
      <c r="L293412" s="472"/>
      <c r="M293412" s="472"/>
    </row>
    <row r="293413" spans="12:13" x14ac:dyDescent="0.25">
      <c r="L293413" s="472"/>
      <c r="M293413" s="472"/>
    </row>
    <row r="293485" spans="12:13" x14ac:dyDescent="0.25">
      <c r="L293485" s="472"/>
      <c r="M293485" s="472"/>
    </row>
    <row r="293486" spans="12:13" x14ac:dyDescent="0.25">
      <c r="L293486" s="472"/>
      <c r="M293486" s="472"/>
    </row>
    <row r="293487" spans="12:13" x14ac:dyDescent="0.25">
      <c r="L293487" s="472"/>
      <c r="M293487" s="472"/>
    </row>
    <row r="293559" spans="12:13" x14ac:dyDescent="0.25">
      <c r="L293559" s="472"/>
      <c r="M293559" s="472"/>
    </row>
    <row r="293560" spans="12:13" x14ac:dyDescent="0.25">
      <c r="L293560" s="472"/>
      <c r="M293560" s="472"/>
    </row>
    <row r="293561" spans="12:13" x14ac:dyDescent="0.25">
      <c r="L293561" s="472"/>
      <c r="M293561" s="472"/>
    </row>
    <row r="293633" spans="12:13" x14ac:dyDescent="0.25">
      <c r="L293633" s="472"/>
      <c r="M293633" s="472"/>
    </row>
    <row r="293634" spans="12:13" x14ac:dyDescent="0.25">
      <c r="L293634" s="472"/>
      <c r="M293634" s="472"/>
    </row>
    <row r="293635" spans="12:13" x14ac:dyDescent="0.25">
      <c r="L293635" s="472"/>
      <c r="M293635" s="472"/>
    </row>
    <row r="293707" spans="12:13" x14ac:dyDescent="0.25">
      <c r="L293707" s="472"/>
      <c r="M293707" s="472"/>
    </row>
    <row r="293708" spans="12:13" x14ac:dyDescent="0.25">
      <c r="L293708" s="472"/>
      <c r="M293708" s="472"/>
    </row>
    <row r="293709" spans="12:13" x14ac:dyDescent="0.25">
      <c r="L293709" s="472"/>
      <c r="M293709" s="472"/>
    </row>
    <row r="293781" spans="12:13" x14ac:dyDescent="0.25">
      <c r="L293781" s="472"/>
      <c r="M293781" s="472"/>
    </row>
    <row r="293782" spans="12:13" x14ac:dyDescent="0.25">
      <c r="L293782" s="472"/>
      <c r="M293782" s="472"/>
    </row>
    <row r="293783" spans="12:13" x14ac:dyDescent="0.25">
      <c r="L293783" s="472"/>
      <c r="M293783" s="472"/>
    </row>
    <row r="293855" spans="12:13" x14ac:dyDescent="0.25">
      <c r="L293855" s="472"/>
      <c r="M293855" s="472"/>
    </row>
    <row r="293856" spans="12:13" x14ac:dyDescent="0.25">
      <c r="L293856" s="472"/>
      <c r="M293856" s="472"/>
    </row>
    <row r="293857" spans="12:13" x14ac:dyDescent="0.25">
      <c r="L293857" s="472"/>
      <c r="M293857" s="472"/>
    </row>
    <row r="293929" spans="12:13" x14ac:dyDescent="0.25">
      <c r="L293929" s="472"/>
      <c r="M293929" s="472"/>
    </row>
    <row r="293930" spans="12:13" x14ac:dyDescent="0.25">
      <c r="L293930" s="472"/>
      <c r="M293930" s="472"/>
    </row>
    <row r="293931" spans="12:13" x14ac:dyDescent="0.25">
      <c r="L293931" s="472"/>
      <c r="M293931" s="472"/>
    </row>
    <row r="294003" spans="12:13" x14ac:dyDescent="0.25">
      <c r="L294003" s="472"/>
      <c r="M294003" s="472"/>
    </row>
    <row r="294004" spans="12:13" x14ac:dyDescent="0.25">
      <c r="L294004" s="472"/>
      <c r="M294004" s="472"/>
    </row>
    <row r="294005" spans="12:13" x14ac:dyDescent="0.25">
      <c r="L294005" s="472"/>
      <c r="M294005" s="472"/>
    </row>
    <row r="294077" spans="12:13" x14ac:dyDescent="0.25">
      <c r="L294077" s="472"/>
      <c r="M294077" s="472"/>
    </row>
    <row r="294078" spans="12:13" x14ac:dyDescent="0.25">
      <c r="L294078" s="472"/>
      <c r="M294078" s="472"/>
    </row>
    <row r="294079" spans="12:13" x14ac:dyDescent="0.25">
      <c r="L294079" s="472"/>
      <c r="M294079" s="472"/>
    </row>
    <row r="294151" spans="12:13" x14ac:dyDescent="0.25">
      <c r="L294151" s="472"/>
      <c r="M294151" s="472"/>
    </row>
    <row r="294152" spans="12:13" x14ac:dyDescent="0.25">
      <c r="L294152" s="472"/>
      <c r="M294152" s="472"/>
    </row>
    <row r="294153" spans="12:13" x14ac:dyDescent="0.25">
      <c r="L294153" s="472"/>
      <c r="M294153" s="472"/>
    </row>
    <row r="294225" spans="12:13" x14ac:dyDescent="0.25">
      <c r="L294225" s="472"/>
      <c r="M294225" s="472"/>
    </row>
    <row r="294226" spans="12:13" x14ac:dyDescent="0.25">
      <c r="L294226" s="472"/>
      <c r="M294226" s="472"/>
    </row>
    <row r="294227" spans="12:13" x14ac:dyDescent="0.25">
      <c r="L294227" s="472"/>
      <c r="M294227" s="472"/>
    </row>
    <row r="294299" spans="12:13" x14ac:dyDescent="0.25">
      <c r="L294299" s="472"/>
      <c r="M294299" s="472"/>
    </row>
    <row r="294300" spans="12:13" x14ac:dyDescent="0.25">
      <c r="L294300" s="472"/>
      <c r="M294300" s="472"/>
    </row>
    <row r="294301" spans="12:13" x14ac:dyDescent="0.25">
      <c r="L294301" s="472"/>
      <c r="M294301" s="472"/>
    </row>
    <row r="294373" spans="12:13" x14ac:dyDescent="0.25">
      <c r="L294373" s="472"/>
      <c r="M294373" s="472"/>
    </row>
    <row r="294374" spans="12:13" x14ac:dyDescent="0.25">
      <c r="L294374" s="472"/>
      <c r="M294374" s="472"/>
    </row>
    <row r="294375" spans="12:13" x14ac:dyDescent="0.25">
      <c r="L294375" s="472"/>
      <c r="M294375" s="472"/>
    </row>
    <row r="294447" spans="12:13" x14ac:dyDescent="0.25">
      <c r="L294447" s="472"/>
      <c r="M294447" s="472"/>
    </row>
    <row r="294448" spans="12:13" x14ac:dyDescent="0.25">
      <c r="L294448" s="472"/>
      <c r="M294448" s="472"/>
    </row>
    <row r="294449" spans="12:13" x14ac:dyDescent="0.25">
      <c r="L294449" s="472"/>
      <c r="M294449" s="472"/>
    </row>
    <row r="294521" spans="12:13" x14ac:dyDescent="0.25">
      <c r="L294521" s="472"/>
      <c r="M294521" s="472"/>
    </row>
    <row r="294522" spans="12:13" x14ac:dyDescent="0.25">
      <c r="L294522" s="472"/>
      <c r="M294522" s="472"/>
    </row>
    <row r="294523" spans="12:13" x14ac:dyDescent="0.25">
      <c r="L294523" s="472"/>
      <c r="M294523" s="472"/>
    </row>
    <row r="294595" spans="12:13" x14ac:dyDescent="0.25">
      <c r="L294595" s="472"/>
      <c r="M294595" s="472"/>
    </row>
    <row r="294596" spans="12:13" x14ac:dyDescent="0.25">
      <c r="L294596" s="472"/>
      <c r="M294596" s="472"/>
    </row>
    <row r="294597" spans="12:13" x14ac:dyDescent="0.25">
      <c r="L294597" s="472"/>
      <c r="M294597" s="472"/>
    </row>
    <row r="294669" spans="12:13" x14ac:dyDescent="0.25">
      <c r="L294669" s="472"/>
      <c r="M294669" s="472"/>
    </row>
    <row r="294670" spans="12:13" x14ac:dyDescent="0.25">
      <c r="L294670" s="472"/>
      <c r="M294670" s="472"/>
    </row>
    <row r="294671" spans="12:13" x14ac:dyDescent="0.25">
      <c r="L294671" s="472"/>
      <c r="M294671" s="472"/>
    </row>
    <row r="294743" spans="12:13" x14ac:dyDescent="0.25">
      <c r="L294743" s="472"/>
      <c r="M294743" s="472"/>
    </row>
    <row r="294744" spans="12:13" x14ac:dyDescent="0.25">
      <c r="L294744" s="472"/>
      <c r="M294744" s="472"/>
    </row>
    <row r="294745" spans="12:13" x14ac:dyDescent="0.25">
      <c r="L294745" s="472"/>
      <c r="M294745" s="472"/>
    </row>
    <row r="294817" spans="12:13" x14ac:dyDescent="0.25">
      <c r="L294817" s="472"/>
      <c r="M294817" s="472"/>
    </row>
    <row r="294818" spans="12:13" x14ac:dyDescent="0.25">
      <c r="L294818" s="472"/>
      <c r="M294818" s="472"/>
    </row>
    <row r="294819" spans="12:13" x14ac:dyDescent="0.25">
      <c r="L294819" s="472"/>
      <c r="M294819" s="472"/>
    </row>
    <row r="294891" spans="12:13" x14ac:dyDescent="0.25">
      <c r="L294891" s="472"/>
      <c r="M294891" s="472"/>
    </row>
    <row r="294892" spans="12:13" x14ac:dyDescent="0.25">
      <c r="L294892" s="472"/>
      <c r="M294892" s="472"/>
    </row>
    <row r="294893" spans="12:13" x14ac:dyDescent="0.25">
      <c r="L294893" s="472"/>
      <c r="M294893" s="472"/>
    </row>
    <row r="294965" spans="12:13" x14ac:dyDescent="0.25">
      <c r="L294965" s="472"/>
      <c r="M294965" s="472"/>
    </row>
    <row r="294966" spans="12:13" x14ac:dyDescent="0.25">
      <c r="L294966" s="472"/>
      <c r="M294966" s="472"/>
    </row>
    <row r="294967" spans="12:13" x14ac:dyDescent="0.25">
      <c r="L294967" s="472"/>
      <c r="M294967" s="472"/>
    </row>
    <row r="295039" spans="12:13" x14ac:dyDescent="0.25">
      <c r="L295039" s="472"/>
      <c r="M295039" s="472"/>
    </row>
    <row r="295040" spans="12:13" x14ac:dyDescent="0.25">
      <c r="L295040" s="472"/>
      <c r="M295040" s="472"/>
    </row>
    <row r="295041" spans="12:13" x14ac:dyDescent="0.25">
      <c r="L295041" s="472"/>
      <c r="M295041" s="472"/>
    </row>
    <row r="295113" spans="12:13" x14ac:dyDescent="0.25">
      <c r="L295113" s="472"/>
      <c r="M295113" s="472"/>
    </row>
    <row r="295114" spans="12:13" x14ac:dyDescent="0.25">
      <c r="L295114" s="472"/>
      <c r="M295114" s="472"/>
    </row>
    <row r="295115" spans="12:13" x14ac:dyDescent="0.25">
      <c r="L295115" s="472"/>
      <c r="M295115" s="472"/>
    </row>
    <row r="295187" spans="12:13" x14ac:dyDescent="0.25">
      <c r="L295187" s="472"/>
      <c r="M295187" s="472"/>
    </row>
    <row r="295188" spans="12:13" x14ac:dyDescent="0.25">
      <c r="L295188" s="472"/>
      <c r="M295188" s="472"/>
    </row>
    <row r="295189" spans="12:13" x14ac:dyDescent="0.25">
      <c r="L295189" s="472"/>
      <c r="M295189" s="472"/>
    </row>
    <row r="295261" spans="12:13" x14ac:dyDescent="0.25">
      <c r="L295261" s="472"/>
      <c r="M295261" s="472"/>
    </row>
    <row r="295262" spans="12:13" x14ac:dyDescent="0.25">
      <c r="L295262" s="472"/>
      <c r="M295262" s="472"/>
    </row>
    <row r="295263" spans="12:13" x14ac:dyDescent="0.25">
      <c r="L295263" s="472"/>
      <c r="M295263" s="472"/>
    </row>
    <row r="295335" spans="12:13" x14ac:dyDescent="0.25">
      <c r="L295335" s="472"/>
      <c r="M295335" s="472"/>
    </row>
    <row r="295336" spans="12:13" x14ac:dyDescent="0.25">
      <c r="L295336" s="472"/>
      <c r="M295336" s="472"/>
    </row>
    <row r="295337" spans="12:13" x14ac:dyDescent="0.25">
      <c r="L295337" s="472"/>
      <c r="M295337" s="472"/>
    </row>
    <row r="295409" spans="12:13" x14ac:dyDescent="0.25">
      <c r="L295409" s="472"/>
      <c r="M295409" s="472"/>
    </row>
    <row r="295410" spans="12:13" x14ac:dyDescent="0.25">
      <c r="L295410" s="472"/>
      <c r="M295410" s="472"/>
    </row>
    <row r="295411" spans="12:13" x14ac:dyDescent="0.25">
      <c r="L295411" s="472"/>
      <c r="M295411" s="472"/>
    </row>
    <row r="295483" spans="12:13" x14ac:dyDescent="0.25">
      <c r="L295483" s="472"/>
      <c r="M295483" s="472"/>
    </row>
    <row r="295484" spans="12:13" x14ac:dyDescent="0.25">
      <c r="L295484" s="472"/>
      <c r="M295484" s="472"/>
    </row>
    <row r="295485" spans="12:13" x14ac:dyDescent="0.25">
      <c r="L295485" s="472"/>
      <c r="M295485" s="472"/>
    </row>
    <row r="295557" spans="12:13" x14ac:dyDescent="0.25">
      <c r="L295557" s="472"/>
      <c r="M295557" s="472"/>
    </row>
    <row r="295558" spans="12:13" x14ac:dyDescent="0.25">
      <c r="L295558" s="472"/>
      <c r="M295558" s="472"/>
    </row>
    <row r="295559" spans="12:13" x14ac:dyDescent="0.25">
      <c r="L295559" s="472"/>
      <c r="M295559" s="472"/>
    </row>
    <row r="295631" spans="12:13" x14ac:dyDescent="0.25">
      <c r="L295631" s="472"/>
      <c r="M295631" s="472"/>
    </row>
    <row r="295632" spans="12:13" x14ac:dyDescent="0.25">
      <c r="L295632" s="472"/>
      <c r="M295632" s="472"/>
    </row>
    <row r="295633" spans="12:13" x14ac:dyDescent="0.25">
      <c r="L295633" s="472"/>
      <c r="M295633" s="472"/>
    </row>
    <row r="295705" spans="12:13" x14ac:dyDescent="0.25">
      <c r="L295705" s="472"/>
      <c r="M295705" s="472"/>
    </row>
    <row r="295706" spans="12:13" x14ac:dyDescent="0.25">
      <c r="L295706" s="472"/>
      <c r="M295706" s="472"/>
    </row>
    <row r="295707" spans="12:13" x14ac:dyDescent="0.25">
      <c r="L295707" s="472"/>
      <c r="M295707" s="472"/>
    </row>
    <row r="295779" spans="12:13" x14ac:dyDescent="0.25">
      <c r="L295779" s="472"/>
      <c r="M295779" s="472"/>
    </row>
    <row r="295780" spans="12:13" x14ac:dyDescent="0.25">
      <c r="L295780" s="472"/>
      <c r="M295780" s="472"/>
    </row>
    <row r="295781" spans="12:13" x14ac:dyDescent="0.25">
      <c r="L295781" s="472"/>
      <c r="M295781" s="472"/>
    </row>
    <row r="295853" spans="12:13" x14ac:dyDescent="0.25">
      <c r="L295853" s="472"/>
      <c r="M295853" s="472"/>
    </row>
    <row r="295854" spans="12:13" x14ac:dyDescent="0.25">
      <c r="L295854" s="472"/>
      <c r="M295854" s="472"/>
    </row>
    <row r="295855" spans="12:13" x14ac:dyDescent="0.25">
      <c r="L295855" s="472"/>
      <c r="M295855" s="472"/>
    </row>
    <row r="295927" spans="12:13" x14ac:dyDescent="0.25">
      <c r="L295927" s="472"/>
      <c r="M295927" s="472"/>
    </row>
    <row r="295928" spans="12:13" x14ac:dyDescent="0.25">
      <c r="L295928" s="472"/>
      <c r="M295928" s="472"/>
    </row>
    <row r="295929" spans="12:13" x14ac:dyDescent="0.25">
      <c r="L295929" s="472"/>
      <c r="M295929" s="472"/>
    </row>
    <row r="296001" spans="12:13" x14ac:dyDescent="0.25">
      <c r="L296001" s="472"/>
      <c r="M296001" s="472"/>
    </row>
    <row r="296002" spans="12:13" x14ac:dyDescent="0.25">
      <c r="L296002" s="472"/>
      <c r="M296002" s="472"/>
    </row>
    <row r="296003" spans="12:13" x14ac:dyDescent="0.25">
      <c r="L296003" s="472"/>
      <c r="M296003" s="472"/>
    </row>
    <row r="296075" spans="12:13" x14ac:dyDescent="0.25">
      <c r="L296075" s="472"/>
      <c r="M296075" s="472"/>
    </row>
    <row r="296076" spans="12:13" x14ac:dyDescent="0.25">
      <c r="L296076" s="472"/>
      <c r="M296076" s="472"/>
    </row>
    <row r="296077" spans="12:13" x14ac:dyDescent="0.25">
      <c r="L296077" s="472"/>
      <c r="M296077" s="472"/>
    </row>
    <row r="296149" spans="12:13" x14ac:dyDescent="0.25">
      <c r="L296149" s="472"/>
      <c r="M296149" s="472"/>
    </row>
    <row r="296150" spans="12:13" x14ac:dyDescent="0.25">
      <c r="L296150" s="472"/>
      <c r="M296150" s="472"/>
    </row>
    <row r="296151" spans="12:13" x14ac:dyDescent="0.25">
      <c r="L296151" s="472"/>
      <c r="M296151" s="472"/>
    </row>
    <row r="296223" spans="12:13" x14ac:dyDescent="0.25">
      <c r="L296223" s="472"/>
      <c r="M296223" s="472"/>
    </row>
    <row r="296224" spans="12:13" x14ac:dyDescent="0.25">
      <c r="L296224" s="472"/>
      <c r="M296224" s="472"/>
    </row>
    <row r="296225" spans="12:13" x14ac:dyDescent="0.25">
      <c r="L296225" s="472"/>
      <c r="M296225" s="472"/>
    </row>
    <row r="296297" spans="12:13" x14ac:dyDescent="0.25">
      <c r="L296297" s="472"/>
      <c r="M296297" s="472"/>
    </row>
    <row r="296298" spans="12:13" x14ac:dyDescent="0.25">
      <c r="L296298" s="472"/>
      <c r="M296298" s="472"/>
    </row>
    <row r="296299" spans="12:13" x14ac:dyDescent="0.25">
      <c r="L296299" s="472"/>
      <c r="M296299" s="472"/>
    </row>
    <row r="296371" spans="12:13" x14ac:dyDescent="0.25">
      <c r="L296371" s="472"/>
      <c r="M296371" s="472"/>
    </row>
    <row r="296372" spans="12:13" x14ac:dyDescent="0.25">
      <c r="L296372" s="472"/>
      <c r="M296372" s="472"/>
    </row>
    <row r="296373" spans="12:13" x14ac:dyDescent="0.25">
      <c r="L296373" s="472"/>
      <c r="M296373" s="472"/>
    </row>
    <row r="296445" spans="12:13" x14ac:dyDescent="0.25">
      <c r="L296445" s="472"/>
      <c r="M296445" s="472"/>
    </row>
    <row r="296446" spans="12:13" x14ac:dyDescent="0.25">
      <c r="L296446" s="472"/>
      <c r="M296446" s="472"/>
    </row>
    <row r="296447" spans="12:13" x14ac:dyDescent="0.25">
      <c r="L296447" s="472"/>
      <c r="M296447" s="472"/>
    </row>
    <row r="296519" spans="12:13" x14ac:dyDescent="0.25">
      <c r="L296519" s="472"/>
      <c r="M296519" s="472"/>
    </row>
    <row r="296520" spans="12:13" x14ac:dyDescent="0.25">
      <c r="L296520" s="472"/>
      <c r="M296520" s="472"/>
    </row>
    <row r="296521" spans="12:13" x14ac:dyDescent="0.25">
      <c r="L296521" s="472"/>
      <c r="M296521" s="472"/>
    </row>
    <row r="296593" spans="12:13" x14ac:dyDescent="0.25">
      <c r="L296593" s="472"/>
      <c r="M296593" s="472"/>
    </row>
    <row r="296594" spans="12:13" x14ac:dyDescent="0.25">
      <c r="L296594" s="472"/>
      <c r="M296594" s="472"/>
    </row>
    <row r="296595" spans="12:13" x14ac:dyDescent="0.25">
      <c r="L296595" s="472"/>
      <c r="M296595" s="472"/>
    </row>
    <row r="296667" spans="12:13" x14ac:dyDescent="0.25">
      <c r="L296667" s="472"/>
      <c r="M296667" s="472"/>
    </row>
    <row r="296668" spans="12:13" x14ac:dyDescent="0.25">
      <c r="L296668" s="472"/>
      <c r="M296668" s="472"/>
    </row>
    <row r="296669" spans="12:13" x14ac:dyDescent="0.25">
      <c r="L296669" s="472"/>
      <c r="M296669" s="472"/>
    </row>
    <row r="296741" spans="12:13" x14ac:dyDescent="0.25">
      <c r="L296741" s="472"/>
      <c r="M296741" s="472"/>
    </row>
    <row r="296742" spans="12:13" x14ac:dyDescent="0.25">
      <c r="L296742" s="472"/>
      <c r="M296742" s="472"/>
    </row>
    <row r="296743" spans="12:13" x14ac:dyDescent="0.25">
      <c r="L296743" s="472"/>
      <c r="M296743" s="472"/>
    </row>
    <row r="296815" spans="12:13" x14ac:dyDescent="0.25">
      <c r="L296815" s="472"/>
      <c r="M296815" s="472"/>
    </row>
    <row r="296816" spans="12:13" x14ac:dyDescent="0.25">
      <c r="L296816" s="472"/>
      <c r="M296816" s="472"/>
    </row>
    <row r="296817" spans="12:13" x14ac:dyDescent="0.25">
      <c r="L296817" s="472"/>
      <c r="M296817" s="472"/>
    </row>
    <row r="296889" spans="12:13" x14ac:dyDescent="0.25">
      <c r="L296889" s="472"/>
      <c r="M296889" s="472"/>
    </row>
    <row r="296890" spans="12:13" x14ac:dyDescent="0.25">
      <c r="L296890" s="472"/>
      <c r="M296890" s="472"/>
    </row>
    <row r="296891" spans="12:13" x14ac:dyDescent="0.25">
      <c r="L296891" s="472"/>
      <c r="M296891" s="472"/>
    </row>
    <row r="296963" spans="12:13" x14ac:dyDescent="0.25">
      <c r="L296963" s="472"/>
      <c r="M296963" s="472"/>
    </row>
    <row r="296964" spans="12:13" x14ac:dyDescent="0.25">
      <c r="L296964" s="472"/>
      <c r="M296964" s="472"/>
    </row>
    <row r="296965" spans="12:13" x14ac:dyDescent="0.25">
      <c r="L296965" s="472"/>
      <c r="M296965" s="472"/>
    </row>
    <row r="297037" spans="12:13" x14ac:dyDescent="0.25">
      <c r="L297037" s="472"/>
      <c r="M297037" s="472"/>
    </row>
    <row r="297038" spans="12:13" x14ac:dyDescent="0.25">
      <c r="L297038" s="472"/>
      <c r="M297038" s="472"/>
    </row>
    <row r="297039" spans="12:13" x14ac:dyDescent="0.25">
      <c r="L297039" s="472"/>
      <c r="M297039" s="472"/>
    </row>
    <row r="297111" spans="12:13" x14ac:dyDescent="0.25">
      <c r="L297111" s="472"/>
      <c r="M297111" s="472"/>
    </row>
    <row r="297112" spans="12:13" x14ac:dyDescent="0.25">
      <c r="L297112" s="472"/>
      <c r="M297112" s="472"/>
    </row>
    <row r="297113" spans="12:13" x14ac:dyDescent="0.25">
      <c r="L297113" s="472"/>
      <c r="M297113" s="472"/>
    </row>
    <row r="297185" spans="12:13" x14ac:dyDescent="0.25">
      <c r="L297185" s="472"/>
      <c r="M297185" s="472"/>
    </row>
    <row r="297186" spans="12:13" x14ac:dyDescent="0.25">
      <c r="L297186" s="472"/>
      <c r="M297186" s="472"/>
    </row>
    <row r="297187" spans="12:13" x14ac:dyDescent="0.25">
      <c r="L297187" s="472"/>
      <c r="M297187" s="472"/>
    </row>
    <row r="297259" spans="12:13" x14ac:dyDescent="0.25">
      <c r="L297259" s="472"/>
      <c r="M297259" s="472"/>
    </row>
    <row r="297260" spans="12:13" x14ac:dyDescent="0.25">
      <c r="L297260" s="472"/>
      <c r="M297260" s="472"/>
    </row>
    <row r="297261" spans="12:13" x14ac:dyDescent="0.25">
      <c r="L297261" s="472"/>
      <c r="M297261" s="472"/>
    </row>
    <row r="297333" spans="12:13" x14ac:dyDescent="0.25">
      <c r="L297333" s="472"/>
      <c r="M297333" s="472"/>
    </row>
    <row r="297334" spans="12:13" x14ac:dyDescent="0.25">
      <c r="L297334" s="472"/>
      <c r="M297334" s="472"/>
    </row>
    <row r="297335" spans="12:13" x14ac:dyDescent="0.25">
      <c r="L297335" s="472"/>
      <c r="M297335" s="472"/>
    </row>
    <row r="297407" spans="12:13" x14ac:dyDescent="0.25">
      <c r="L297407" s="472"/>
      <c r="M297407" s="472"/>
    </row>
    <row r="297408" spans="12:13" x14ac:dyDescent="0.25">
      <c r="L297408" s="472"/>
      <c r="M297408" s="472"/>
    </row>
    <row r="297409" spans="12:13" x14ac:dyDescent="0.25">
      <c r="L297409" s="472"/>
      <c r="M297409" s="472"/>
    </row>
    <row r="297481" spans="12:13" x14ac:dyDescent="0.25">
      <c r="L297481" s="472"/>
      <c r="M297481" s="472"/>
    </row>
    <row r="297482" spans="12:13" x14ac:dyDescent="0.25">
      <c r="L297482" s="472"/>
      <c r="M297482" s="472"/>
    </row>
    <row r="297483" spans="12:13" x14ac:dyDescent="0.25">
      <c r="L297483" s="472"/>
      <c r="M297483" s="472"/>
    </row>
    <row r="297555" spans="12:13" x14ac:dyDescent="0.25">
      <c r="L297555" s="472"/>
      <c r="M297555" s="472"/>
    </row>
    <row r="297556" spans="12:13" x14ac:dyDescent="0.25">
      <c r="L297556" s="472"/>
      <c r="M297556" s="472"/>
    </row>
    <row r="297557" spans="12:13" x14ac:dyDescent="0.25">
      <c r="L297557" s="472"/>
      <c r="M297557" s="472"/>
    </row>
    <row r="297629" spans="12:13" x14ac:dyDescent="0.25">
      <c r="L297629" s="472"/>
      <c r="M297629" s="472"/>
    </row>
    <row r="297630" spans="12:13" x14ac:dyDescent="0.25">
      <c r="L297630" s="472"/>
      <c r="M297630" s="472"/>
    </row>
    <row r="297631" spans="12:13" x14ac:dyDescent="0.25">
      <c r="L297631" s="472"/>
      <c r="M297631" s="472"/>
    </row>
    <row r="297703" spans="12:13" x14ac:dyDescent="0.25">
      <c r="L297703" s="472"/>
      <c r="M297703" s="472"/>
    </row>
    <row r="297704" spans="12:13" x14ac:dyDescent="0.25">
      <c r="L297704" s="472"/>
      <c r="M297704" s="472"/>
    </row>
    <row r="297705" spans="12:13" x14ac:dyDescent="0.25">
      <c r="L297705" s="472"/>
      <c r="M297705" s="472"/>
    </row>
    <row r="297777" spans="12:13" x14ac:dyDescent="0.25">
      <c r="L297777" s="472"/>
      <c r="M297777" s="472"/>
    </row>
    <row r="297778" spans="12:13" x14ac:dyDescent="0.25">
      <c r="L297778" s="472"/>
      <c r="M297778" s="472"/>
    </row>
    <row r="297779" spans="12:13" x14ac:dyDescent="0.25">
      <c r="L297779" s="472"/>
      <c r="M297779" s="472"/>
    </row>
    <row r="297851" spans="12:13" x14ac:dyDescent="0.25">
      <c r="L297851" s="472"/>
      <c r="M297851" s="472"/>
    </row>
    <row r="297852" spans="12:13" x14ac:dyDescent="0.25">
      <c r="L297852" s="472"/>
      <c r="M297852" s="472"/>
    </row>
    <row r="297853" spans="12:13" x14ac:dyDescent="0.25">
      <c r="L297853" s="472"/>
      <c r="M297853" s="472"/>
    </row>
    <row r="297925" spans="12:13" x14ac:dyDescent="0.25">
      <c r="L297925" s="472"/>
      <c r="M297925" s="472"/>
    </row>
    <row r="297926" spans="12:13" x14ac:dyDescent="0.25">
      <c r="L297926" s="472"/>
      <c r="M297926" s="472"/>
    </row>
    <row r="297927" spans="12:13" x14ac:dyDescent="0.25">
      <c r="L297927" s="472"/>
      <c r="M297927" s="472"/>
    </row>
    <row r="297999" spans="12:13" x14ac:dyDescent="0.25">
      <c r="L297999" s="472"/>
      <c r="M297999" s="472"/>
    </row>
    <row r="298000" spans="12:13" x14ac:dyDescent="0.25">
      <c r="L298000" s="472"/>
      <c r="M298000" s="472"/>
    </row>
    <row r="298001" spans="12:13" x14ac:dyDescent="0.25">
      <c r="L298001" s="472"/>
      <c r="M298001" s="472"/>
    </row>
    <row r="298073" spans="12:13" x14ac:dyDescent="0.25">
      <c r="L298073" s="472"/>
      <c r="M298073" s="472"/>
    </row>
    <row r="298074" spans="12:13" x14ac:dyDescent="0.25">
      <c r="L298074" s="472"/>
      <c r="M298074" s="472"/>
    </row>
    <row r="298075" spans="12:13" x14ac:dyDescent="0.25">
      <c r="L298075" s="472"/>
      <c r="M298075" s="472"/>
    </row>
    <row r="298147" spans="12:13" x14ac:dyDescent="0.25">
      <c r="L298147" s="472"/>
      <c r="M298147" s="472"/>
    </row>
    <row r="298148" spans="12:13" x14ac:dyDescent="0.25">
      <c r="L298148" s="472"/>
      <c r="M298148" s="472"/>
    </row>
    <row r="298149" spans="12:13" x14ac:dyDescent="0.25">
      <c r="L298149" s="472"/>
      <c r="M298149" s="472"/>
    </row>
    <row r="298221" spans="12:13" x14ac:dyDescent="0.25">
      <c r="L298221" s="472"/>
      <c r="M298221" s="472"/>
    </row>
    <row r="298222" spans="12:13" x14ac:dyDescent="0.25">
      <c r="L298222" s="472"/>
      <c r="M298222" s="472"/>
    </row>
    <row r="298223" spans="12:13" x14ac:dyDescent="0.25">
      <c r="L298223" s="472"/>
      <c r="M298223" s="472"/>
    </row>
    <row r="298295" spans="12:13" x14ac:dyDescent="0.25">
      <c r="L298295" s="472"/>
      <c r="M298295" s="472"/>
    </row>
    <row r="298296" spans="12:13" x14ac:dyDescent="0.25">
      <c r="L298296" s="472"/>
      <c r="M298296" s="472"/>
    </row>
    <row r="298297" spans="12:13" x14ac:dyDescent="0.25">
      <c r="L298297" s="472"/>
      <c r="M298297" s="472"/>
    </row>
    <row r="298369" spans="12:13" x14ac:dyDescent="0.25">
      <c r="L298369" s="472"/>
      <c r="M298369" s="472"/>
    </row>
    <row r="298370" spans="12:13" x14ac:dyDescent="0.25">
      <c r="L298370" s="472"/>
      <c r="M298370" s="472"/>
    </row>
    <row r="298371" spans="12:13" x14ac:dyDescent="0.25">
      <c r="L298371" s="472"/>
      <c r="M298371" s="472"/>
    </row>
    <row r="298443" spans="12:13" x14ac:dyDescent="0.25">
      <c r="L298443" s="472"/>
      <c r="M298443" s="472"/>
    </row>
    <row r="298444" spans="12:13" x14ac:dyDescent="0.25">
      <c r="L298444" s="472"/>
      <c r="M298444" s="472"/>
    </row>
    <row r="298445" spans="12:13" x14ac:dyDescent="0.25">
      <c r="L298445" s="472"/>
      <c r="M298445" s="472"/>
    </row>
    <row r="298517" spans="12:13" x14ac:dyDescent="0.25">
      <c r="L298517" s="472"/>
      <c r="M298517" s="472"/>
    </row>
    <row r="298518" spans="12:13" x14ac:dyDescent="0.25">
      <c r="L298518" s="472"/>
      <c r="M298518" s="472"/>
    </row>
    <row r="298519" spans="12:13" x14ac:dyDescent="0.25">
      <c r="L298519" s="472"/>
      <c r="M298519" s="472"/>
    </row>
    <row r="298591" spans="12:13" x14ac:dyDescent="0.25">
      <c r="L298591" s="472"/>
      <c r="M298591" s="472"/>
    </row>
    <row r="298592" spans="12:13" x14ac:dyDescent="0.25">
      <c r="L298592" s="472"/>
      <c r="M298592" s="472"/>
    </row>
    <row r="298593" spans="12:13" x14ac:dyDescent="0.25">
      <c r="L298593" s="472"/>
      <c r="M298593" s="472"/>
    </row>
    <row r="298665" spans="12:13" x14ac:dyDescent="0.25">
      <c r="L298665" s="472"/>
      <c r="M298665" s="472"/>
    </row>
    <row r="298666" spans="12:13" x14ac:dyDescent="0.25">
      <c r="L298666" s="472"/>
      <c r="M298666" s="472"/>
    </row>
    <row r="298667" spans="12:13" x14ac:dyDescent="0.25">
      <c r="L298667" s="472"/>
      <c r="M298667" s="472"/>
    </row>
    <row r="298739" spans="12:13" x14ac:dyDescent="0.25">
      <c r="L298739" s="472"/>
      <c r="M298739" s="472"/>
    </row>
    <row r="298740" spans="12:13" x14ac:dyDescent="0.25">
      <c r="L298740" s="472"/>
      <c r="M298740" s="472"/>
    </row>
    <row r="298741" spans="12:13" x14ac:dyDescent="0.25">
      <c r="L298741" s="472"/>
      <c r="M298741" s="472"/>
    </row>
    <row r="298813" spans="12:13" x14ac:dyDescent="0.25">
      <c r="L298813" s="472"/>
      <c r="M298813" s="472"/>
    </row>
    <row r="298814" spans="12:13" x14ac:dyDescent="0.25">
      <c r="L298814" s="472"/>
      <c r="M298814" s="472"/>
    </row>
    <row r="298815" spans="12:13" x14ac:dyDescent="0.25">
      <c r="L298815" s="472"/>
      <c r="M298815" s="472"/>
    </row>
    <row r="298887" spans="12:13" x14ac:dyDescent="0.25">
      <c r="L298887" s="472"/>
      <c r="M298887" s="472"/>
    </row>
    <row r="298888" spans="12:13" x14ac:dyDescent="0.25">
      <c r="L298888" s="472"/>
      <c r="M298888" s="472"/>
    </row>
    <row r="298889" spans="12:13" x14ac:dyDescent="0.25">
      <c r="L298889" s="472"/>
      <c r="M298889" s="472"/>
    </row>
    <row r="298961" spans="12:13" x14ac:dyDescent="0.25">
      <c r="L298961" s="472"/>
      <c r="M298961" s="472"/>
    </row>
    <row r="298962" spans="12:13" x14ac:dyDescent="0.25">
      <c r="L298962" s="472"/>
      <c r="M298962" s="472"/>
    </row>
    <row r="298963" spans="12:13" x14ac:dyDescent="0.25">
      <c r="L298963" s="472"/>
      <c r="M298963" s="472"/>
    </row>
    <row r="299035" spans="12:13" x14ac:dyDescent="0.25">
      <c r="L299035" s="472"/>
      <c r="M299035" s="472"/>
    </row>
    <row r="299036" spans="12:13" x14ac:dyDescent="0.25">
      <c r="L299036" s="472"/>
      <c r="M299036" s="472"/>
    </row>
    <row r="299037" spans="12:13" x14ac:dyDescent="0.25">
      <c r="L299037" s="472"/>
      <c r="M299037" s="472"/>
    </row>
    <row r="299109" spans="12:13" x14ac:dyDescent="0.25">
      <c r="L299109" s="472"/>
      <c r="M299109" s="472"/>
    </row>
    <row r="299110" spans="12:13" x14ac:dyDescent="0.25">
      <c r="L299110" s="472"/>
      <c r="M299110" s="472"/>
    </row>
    <row r="299111" spans="12:13" x14ac:dyDescent="0.25">
      <c r="L299111" s="472"/>
      <c r="M299111" s="472"/>
    </row>
    <row r="299183" spans="12:13" x14ac:dyDescent="0.25">
      <c r="L299183" s="472"/>
      <c r="M299183" s="472"/>
    </row>
    <row r="299184" spans="12:13" x14ac:dyDescent="0.25">
      <c r="L299184" s="472"/>
      <c r="M299184" s="472"/>
    </row>
    <row r="299185" spans="12:13" x14ac:dyDescent="0.25">
      <c r="L299185" s="472"/>
      <c r="M299185" s="472"/>
    </row>
    <row r="299257" spans="12:13" x14ac:dyDescent="0.25">
      <c r="L299257" s="472"/>
      <c r="M299257" s="472"/>
    </row>
    <row r="299258" spans="12:13" x14ac:dyDescent="0.25">
      <c r="L299258" s="472"/>
      <c r="M299258" s="472"/>
    </row>
    <row r="299259" spans="12:13" x14ac:dyDescent="0.25">
      <c r="L299259" s="472"/>
      <c r="M299259" s="472"/>
    </row>
    <row r="299331" spans="12:13" x14ac:dyDescent="0.25">
      <c r="L299331" s="472"/>
      <c r="M299331" s="472"/>
    </row>
    <row r="299332" spans="12:13" x14ac:dyDescent="0.25">
      <c r="L299332" s="472"/>
      <c r="M299332" s="472"/>
    </row>
    <row r="299333" spans="12:13" x14ac:dyDescent="0.25">
      <c r="L299333" s="472"/>
      <c r="M299333" s="472"/>
    </row>
    <row r="299405" spans="12:13" x14ac:dyDescent="0.25">
      <c r="L299405" s="472"/>
      <c r="M299405" s="472"/>
    </row>
    <row r="299406" spans="12:13" x14ac:dyDescent="0.25">
      <c r="L299406" s="472"/>
      <c r="M299406" s="472"/>
    </row>
    <row r="299407" spans="12:13" x14ac:dyDescent="0.25">
      <c r="L299407" s="472"/>
      <c r="M299407" s="472"/>
    </row>
    <row r="299479" spans="12:13" x14ac:dyDescent="0.25">
      <c r="L299479" s="472"/>
      <c r="M299479" s="472"/>
    </row>
    <row r="299480" spans="12:13" x14ac:dyDescent="0.25">
      <c r="L299480" s="472"/>
      <c r="M299480" s="472"/>
    </row>
    <row r="299481" spans="12:13" x14ac:dyDescent="0.25">
      <c r="L299481" s="472"/>
      <c r="M299481" s="472"/>
    </row>
    <row r="299553" spans="12:13" x14ac:dyDescent="0.25">
      <c r="L299553" s="472"/>
      <c r="M299553" s="472"/>
    </row>
    <row r="299554" spans="12:13" x14ac:dyDescent="0.25">
      <c r="L299554" s="472"/>
      <c r="M299554" s="472"/>
    </row>
    <row r="299555" spans="12:13" x14ac:dyDescent="0.25">
      <c r="L299555" s="472"/>
      <c r="M299555" s="472"/>
    </row>
    <row r="299627" spans="12:13" x14ac:dyDescent="0.25">
      <c r="L299627" s="472"/>
      <c r="M299627" s="472"/>
    </row>
    <row r="299628" spans="12:13" x14ac:dyDescent="0.25">
      <c r="L299628" s="472"/>
      <c r="M299628" s="472"/>
    </row>
    <row r="299629" spans="12:13" x14ac:dyDescent="0.25">
      <c r="L299629" s="472"/>
      <c r="M299629" s="472"/>
    </row>
    <row r="299701" spans="12:13" x14ac:dyDescent="0.25">
      <c r="L299701" s="472"/>
      <c r="M299701" s="472"/>
    </row>
    <row r="299702" spans="12:13" x14ac:dyDescent="0.25">
      <c r="L299702" s="472"/>
      <c r="M299702" s="472"/>
    </row>
    <row r="299703" spans="12:13" x14ac:dyDescent="0.25">
      <c r="L299703" s="472"/>
      <c r="M299703" s="472"/>
    </row>
    <row r="299775" spans="12:13" x14ac:dyDescent="0.25">
      <c r="L299775" s="472"/>
      <c r="M299775" s="472"/>
    </row>
    <row r="299776" spans="12:13" x14ac:dyDescent="0.25">
      <c r="L299776" s="472"/>
      <c r="M299776" s="472"/>
    </row>
    <row r="299777" spans="12:13" x14ac:dyDescent="0.25">
      <c r="L299777" s="472"/>
      <c r="M299777" s="472"/>
    </row>
    <row r="299849" spans="12:13" x14ac:dyDescent="0.25">
      <c r="L299849" s="472"/>
      <c r="M299849" s="472"/>
    </row>
    <row r="299850" spans="12:13" x14ac:dyDescent="0.25">
      <c r="L299850" s="472"/>
      <c r="M299850" s="472"/>
    </row>
    <row r="299851" spans="12:13" x14ac:dyDescent="0.25">
      <c r="L299851" s="472"/>
      <c r="M299851" s="472"/>
    </row>
    <row r="299923" spans="12:13" x14ac:dyDescent="0.25">
      <c r="L299923" s="472"/>
      <c r="M299923" s="472"/>
    </row>
    <row r="299924" spans="12:13" x14ac:dyDescent="0.25">
      <c r="L299924" s="472"/>
      <c r="M299924" s="472"/>
    </row>
    <row r="299925" spans="12:13" x14ac:dyDescent="0.25">
      <c r="L299925" s="472"/>
      <c r="M299925" s="472"/>
    </row>
    <row r="299997" spans="12:13" x14ac:dyDescent="0.25">
      <c r="L299997" s="472"/>
      <c r="M299997" s="472"/>
    </row>
    <row r="299998" spans="12:13" x14ac:dyDescent="0.25">
      <c r="L299998" s="472"/>
      <c r="M299998" s="472"/>
    </row>
    <row r="299999" spans="12:13" x14ac:dyDescent="0.25">
      <c r="L299999" s="472"/>
      <c r="M299999" s="472"/>
    </row>
    <row r="300071" spans="12:13" x14ac:dyDescent="0.25">
      <c r="L300071" s="472"/>
      <c r="M300071" s="472"/>
    </row>
    <row r="300072" spans="12:13" x14ac:dyDescent="0.25">
      <c r="L300072" s="472"/>
      <c r="M300072" s="472"/>
    </row>
    <row r="300073" spans="12:13" x14ac:dyDescent="0.25">
      <c r="L300073" s="472"/>
      <c r="M300073" s="472"/>
    </row>
    <row r="300145" spans="12:13" x14ac:dyDescent="0.25">
      <c r="L300145" s="472"/>
      <c r="M300145" s="472"/>
    </row>
    <row r="300146" spans="12:13" x14ac:dyDescent="0.25">
      <c r="L300146" s="472"/>
      <c r="M300146" s="472"/>
    </row>
    <row r="300147" spans="12:13" x14ac:dyDescent="0.25">
      <c r="L300147" s="472"/>
      <c r="M300147" s="472"/>
    </row>
    <row r="300219" spans="12:13" x14ac:dyDescent="0.25">
      <c r="L300219" s="472"/>
      <c r="M300219" s="472"/>
    </row>
    <row r="300220" spans="12:13" x14ac:dyDescent="0.25">
      <c r="L300220" s="472"/>
      <c r="M300220" s="472"/>
    </row>
    <row r="300221" spans="12:13" x14ac:dyDescent="0.25">
      <c r="L300221" s="472"/>
      <c r="M300221" s="472"/>
    </row>
    <row r="300293" spans="12:13" x14ac:dyDescent="0.25">
      <c r="L300293" s="472"/>
      <c r="M300293" s="472"/>
    </row>
    <row r="300294" spans="12:13" x14ac:dyDescent="0.25">
      <c r="L300294" s="472"/>
      <c r="M300294" s="472"/>
    </row>
    <row r="300295" spans="12:13" x14ac:dyDescent="0.25">
      <c r="L300295" s="472"/>
      <c r="M300295" s="472"/>
    </row>
    <row r="300367" spans="12:13" x14ac:dyDescent="0.25">
      <c r="L300367" s="472"/>
      <c r="M300367" s="472"/>
    </row>
    <row r="300368" spans="12:13" x14ac:dyDescent="0.25">
      <c r="L300368" s="472"/>
      <c r="M300368" s="472"/>
    </row>
    <row r="300369" spans="12:13" x14ac:dyDescent="0.25">
      <c r="L300369" s="472"/>
      <c r="M300369" s="472"/>
    </row>
    <row r="300441" spans="12:13" x14ac:dyDescent="0.25">
      <c r="L300441" s="472"/>
      <c r="M300441" s="472"/>
    </row>
    <row r="300442" spans="12:13" x14ac:dyDescent="0.25">
      <c r="L300442" s="472"/>
      <c r="M300442" s="472"/>
    </row>
    <row r="300443" spans="12:13" x14ac:dyDescent="0.25">
      <c r="L300443" s="472"/>
      <c r="M300443" s="472"/>
    </row>
    <row r="300515" spans="12:13" x14ac:dyDescent="0.25">
      <c r="L300515" s="472"/>
      <c r="M300515" s="472"/>
    </row>
    <row r="300516" spans="12:13" x14ac:dyDescent="0.25">
      <c r="L300516" s="472"/>
      <c r="M300516" s="472"/>
    </row>
    <row r="300517" spans="12:13" x14ac:dyDescent="0.25">
      <c r="L300517" s="472"/>
      <c r="M300517" s="472"/>
    </row>
    <row r="300589" spans="12:13" x14ac:dyDescent="0.25">
      <c r="L300589" s="472"/>
      <c r="M300589" s="472"/>
    </row>
    <row r="300590" spans="12:13" x14ac:dyDescent="0.25">
      <c r="L300590" s="472"/>
      <c r="M300590" s="472"/>
    </row>
    <row r="300591" spans="12:13" x14ac:dyDescent="0.25">
      <c r="L300591" s="472"/>
      <c r="M300591" s="472"/>
    </row>
    <row r="300663" spans="12:13" x14ac:dyDescent="0.25">
      <c r="L300663" s="472"/>
      <c r="M300663" s="472"/>
    </row>
    <row r="300664" spans="12:13" x14ac:dyDescent="0.25">
      <c r="L300664" s="472"/>
      <c r="M300664" s="472"/>
    </row>
    <row r="300665" spans="12:13" x14ac:dyDescent="0.25">
      <c r="L300665" s="472"/>
      <c r="M300665" s="472"/>
    </row>
    <row r="300737" spans="12:13" x14ac:dyDescent="0.25">
      <c r="L300737" s="472"/>
      <c r="M300737" s="472"/>
    </row>
    <row r="300738" spans="12:13" x14ac:dyDescent="0.25">
      <c r="L300738" s="472"/>
      <c r="M300738" s="472"/>
    </row>
    <row r="300739" spans="12:13" x14ac:dyDescent="0.25">
      <c r="L300739" s="472"/>
      <c r="M300739" s="472"/>
    </row>
    <row r="300811" spans="12:13" x14ac:dyDescent="0.25">
      <c r="L300811" s="472"/>
      <c r="M300811" s="472"/>
    </row>
    <row r="300812" spans="12:13" x14ac:dyDescent="0.25">
      <c r="L300812" s="472"/>
      <c r="M300812" s="472"/>
    </row>
    <row r="300813" spans="12:13" x14ac:dyDescent="0.25">
      <c r="L300813" s="472"/>
      <c r="M300813" s="472"/>
    </row>
    <row r="300885" spans="12:13" x14ac:dyDescent="0.25">
      <c r="L300885" s="472"/>
      <c r="M300885" s="472"/>
    </row>
    <row r="300886" spans="12:13" x14ac:dyDescent="0.25">
      <c r="L300886" s="472"/>
      <c r="M300886" s="472"/>
    </row>
    <row r="300887" spans="12:13" x14ac:dyDescent="0.25">
      <c r="L300887" s="472"/>
      <c r="M300887" s="472"/>
    </row>
    <row r="300959" spans="12:13" x14ac:dyDescent="0.25">
      <c r="L300959" s="472"/>
      <c r="M300959" s="472"/>
    </row>
    <row r="300960" spans="12:13" x14ac:dyDescent="0.25">
      <c r="L300960" s="472"/>
      <c r="M300960" s="472"/>
    </row>
    <row r="300961" spans="12:13" x14ac:dyDescent="0.25">
      <c r="L300961" s="472"/>
      <c r="M300961" s="472"/>
    </row>
    <row r="301033" spans="12:13" x14ac:dyDescent="0.25">
      <c r="L301033" s="472"/>
      <c r="M301033" s="472"/>
    </row>
    <row r="301034" spans="12:13" x14ac:dyDescent="0.25">
      <c r="L301034" s="472"/>
      <c r="M301034" s="472"/>
    </row>
    <row r="301035" spans="12:13" x14ac:dyDescent="0.25">
      <c r="L301035" s="472"/>
      <c r="M301035" s="472"/>
    </row>
    <row r="301107" spans="12:13" x14ac:dyDescent="0.25">
      <c r="L301107" s="472"/>
      <c r="M301107" s="472"/>
    </row>
    <row r="301108" spans="12:13" x14ac:dyDescent="0.25">
      <c r="L301108" s="472"/>
      <c r="M301108" s="472"/>
    </row>
    <row r="301109" spans="12:13" x14ac:dyDescent="0.25">
      <c r="L301109" s="472"/>
      <c r="M301109" s="472"/>
    </row>
    <row r="301181" spans="12:13" x14ac:dyDescent="0.25">
      <c r="L301181" s="472"/>
      <c r="M301181" s="472"/>
    </row>
    <row r="301182" spans="12:13" x14ac:dyDescent="0.25">
      <c r="L301182" s="472"/>
      <c r="M301182" s="472"/>
    </row>
    <row r="301183" spans="12:13" x14ac:dyDescent="0.25">
      <c r="L301183" s="472"/>
      <c r="M301183" s="472"/>
    </row>
    <row r="301255" spans="12:13" x14ac:dyDescent="0.25">
      <c r="L301255" s="472"/>
      <c r="M301255" s="472"/>
    </row>
    <row r="301256" spans="12:13" x14ac:dyDescent="0.25">
      <c r="L301256" s="472"/>
      <c r="M301256" s="472"/>
    </row>
    <row r="301257" spans="12:13" x14ac:dyDescent="0.25">
      <c r="L301257" s="472"/>
      <c r="M301257" s="472"/>
    </row>
    <row r="301329" spans="12:13" x14ac:dyDescent="0.25">
      <c r="L301329" s="472"/>
      <c r="M301329" s="472"/>
    </row>
    <row r="301330" spans="12:13" x14ac:dyDescent="0.25">
      <c r="L301330" s="472"/>
      <c r="M301330" s="472"/>
    </row>
    <row r="301331" spans="12:13" x14ac:dyDescent="0.25">
      <c r="L301331" s="472"/>
      <c r="M301331" s="472"/>
    </row>
    <row r="301403" spans="12:13" x14ac:dyDescent="0.25">
      <c r="L301403" s="472"/>
      <c r="M301403" s="472"/>
    </row>
    <row r="301404" spans="12:13" x14ac:dyDescent="0.25">
      <c r="L301404" s="472"/>
      <c r="M301404" s="472"/>
    </row>
    <row r="301405" spans="12:13" x14ac:dyDescent="0.25">
      <c r="L301405" s="472"/>
      <c r="M301405" s="472"/>
    </row>
    <row r="301477" spans="12:13" x14ac:dyDescent="0.25">
      <c r="L301477" s="472"/>
      <c r="M301477" s="472"/>
    </row>
    <row r="301478" spans="12:13" x14ac:dyDescent="0.25">
      <c r="L301478" s="472"/>
      <c r="M301478" s="472"/>
    </row>
    <row r="301479" spans="12:13" x14ac:dyDescent="0.25">
      <c r="L301479" s="472"/>
      <c r="M301479" s="472"/>
    </row>
    <row r="301551" spans="12:13" x14ac:dyDescent="0.25">
      <c r="L301551" s="472"/>
      <c r="M301551" s="472"/>
    </row>
    <row r="301552" spans="12:13" x14ac:dyDescent="0.25">
      <c r="L301552" s="472"/>
      <c r="M301552" s="472"/>
    </row>
    <row r="301553" spans="12:13" x14ac:dyDescent="0.25">
      <c r="L301553" s="472"/>
      <c r="M301553" s="472"/>
    </row>
    <row r="301625" spans="12:13" x14ac:dyDescent="0.25">
      <c r="L301625" s="472"/>
      <c r="M301625" s="472"/>
    </row>
    <row r="301626" spans="12:13" x14ac:dyDescent="0.25">
      <c r="L301626" s="472"/>
      <c r="M301626" s="472"/>
    </row>
    <row r="301627" spans="12:13" x14ac:dyDescent="0.25">
      <c r="L301627" s="472"/>
      <c r="M301627" s="472"/>
    </row>
    <row r="301699" spans="12:13" x14ac:dyDescent="0.25">
      <c r="L301699" s="472"/>
      <c r="M301699" s="472"/>
    </row>
    <row r="301700" spans="12:13" x14ac:dyDescent="0.25">
      <c r="L301700" s="472"/>
      <c r="M301700" s="472"/>
    </row>
    <row r="301701" spans="12:13" x14ac:dyDescent="0.25">
      <c r="L301701" s="472"/>
      <c r="M301701" s="472"/>
    </row>
    <row r="301773" spans="12:13" x14ac:dyDescent="0.25">
      <c r="L301773" s="472"/>
      <c r="M301773" s="472"/>
    </row>
    <row r="301774" spans="12:13" x14ac:dyDescent="0.25">
      <c r="L301774" s="472"/>
      <c r="M301774" s="472"/>
    </row>
    <row r="301775" spans="12:13" x14ac:dyDescent="0.25">
      <c r="L301775" s="472"/>
      <c r="M301775" s="472"/>
    </row>
    <row r="301847" spans="12:13" x14ac:dyDescent="0.25">
      <c r="L301847" s="472"/>
      <c r="M301847" s="472"/>
    </row>
    <row r="301848" spans="12:13" x14ac:dyDescent="0.25">
      <c r="L301848" s="472"/>
      <c r="M301848" s="472"/>
    </row>
    <row r="301849" spans="12:13" x14ac:dyDescent="0.25">
      <c r="L301849" s="472"/>
      <c r="M301849" s="472"/>
    </row>
    <row r="301921" spans="12:13" x14ac:dyDescent="0.25">
      <c r="L301921" s="472"/>
      <c r="M301921" s="472"/>
    </row>
    <row r="301922" spans="12:13" x14ac:dyDescent="0.25">
      <c r="L301922" s="472"/>
      <c r="M301922" s="472"/>
    </row>
    <row r="301923" spans="12:13" x14ac:dyDescent="0.25">
      <c r="L301923" s="472"/>
      <c r="M301923" s="472"/>
    </row>
    <row r="301995" spans="12:13" x14ac:dyDescent="0.25">
      <c r="L301995" s="472"/>
      <c r="M301995" s="472"/>
    </row>
    <row r="301996" spans="12:13" x14ac:dyDescent="0.25">
      <c r="L301996" s="472"/>
      <c r="M301996" s="472"/>
    </row>
    <row r="301997" spans="12:13" x14ac:dyDescent="0.25">
      <c r="L301997" s="472"/>
      <c r="M301997" s="472"/>
    </row>
    <row r="302069" spans="12:13" x14ac:dyDescent="0.25">
      <c r="L302069" s="472"/>
      <c r="M302069" s="472"/>
    </row>
    <row r="302070" spans="12:13" x14ac:dyDescent="0.25">
      <c r="L302070" s="472"/>
      <c r="M302070" s="472"/>
    </row>
    <row r="302071" spans="12:13" x14ac:dyDescent="0.25">
      <c r="L302071" s="472"/>
      <c r="M302071" s="472"/>
    </row>
    <row r="302143" spans="12:13" x14ac:dyDescent="0.25">
      <c r="L302143" s="472"/>
      <c r="M302143" s="472"/>
    </row>
    <row r="302144" spans="12:13" x14ac:dyDescent="0.25">
      <c r="L302144" s="472"/>
      <c r="M302144" s="472"/>
    </row>
    <row r="302145" spans="12:13" x14ac:dyDescent="0.25">
      <c r="L302145" s="472"/>
      <c r="M302145" s="472"/>
    </row>
    <row r="302217" spans="12:13" x14ac:dyDescent="0.25">
      <c r="L302217" s="472"/>
      <c r="M302217" s="472"/>
    </row>
    <row r="302218" spans="12:13" x14ac:dyDescent="0.25">
      <c r="L302218" s="472"/>
      <c r="M302218" s="472"/>
    </row>
    <row r="302219" spans="12:13" x14ac:dyDescent="0.25">
      <c r="L302219" s="472"/>
      <c r="M302219" s="472"/>
    </row>
    <row r="302291" spans="12:13" x14ac:dyDescent="0.25">
      <c r="L302291" s="472"/>
      <c r="M302291" s="472"/>
    </row>
    <row r="302292" spans="12:13" x14ac:dyDescent="0.25">
      <c r="L302292" s="472"/>
      <c r="M302292" s="472"/>
    </row>
    <row r="302293" spans="12:13" x14ac:dyDescent="0.25">
      <c r="L302293" s="472"/>
      <c r="M302293" s="472"/>
    </row>
    <row r="302365" spans="12:13" x14ac:dyDescent="0.25">
      <c r="L302365" s="472"/>
      <c r="M302365" s="472"/>
    </row>
    <row r="302366" spans="12:13" x14ac:dyDescent="0.25">
      <c r="L302366" s="472"/>
      <c r="M302366" s="472"/>
    </row>
    <row r="302367" spans="12:13" x14ac:dyDescent="0.25">
      <c r="L302367" s="472"/>
      <c r="M302367" s="472"/>
    </row>
    <row r="302439" spans="12:13" x14ac:dyDescent="0.25">
      <c r="L302439" s="472"/>
      <c r="M302439" s="472"/>
    </row>
    <row r="302440" spans="12:13" x14ac:dyDescent="0.25">
      <c r="L302440" s="472"/>
      <c r="M302440" s="472"/>
    </row>
    <row r="302441" spans="12:13" x14ac:dyDescent="0.25">
      <c r="L302441" s="472"/>
      <c r="M302441" s="472"/>
    </row>
    <row r="302513" spans="12:13" x14ac:dyDescent="0.25">
      <c r="L302513" s="472"/>
      <c r="M302513" s="472"/>
    </row>
    <row r="302514" spans="12:13" x14ac:dyDescent="0.25">
      <c r="L302514" s="472"/>
      <c r="M302514" s="472"/>
    </row>
    <row r="302515" spans="12:13" x14ac:dyDescent="0.25">
      <c r="L302515" s="472"/>
      <c r="M302515" s="472"/>
    </row>
    <row r="302587" spans="12:13" x14ac:dyDescent="0.25">
      <c r="L302587" s="472"/>
      <c r="M302587" s="472"/>
    </row>
    <row r="302588" spans="12:13" x14ac:dyDescent="0.25">
      <c r="L302588" s="472"/>
      <c r="M302588" s="472"/>
    </row>
    <row r="302589" spans="12:13" x14ac:dyDescent="0.25">
      <c r="L302589" s="472"/>
      <c r="M302589" s="472"/>
    </row>
    <row r="302661" spans="12:13" x14ac:dyDescent="0.25">
      <c r="L302661" s="472"/>
      <c r="M302661" s="472"/>
    </row>
    <row r="302662" spans="12:13" x14ac:dyDescent="0.25">
      <c r="L302662" s="472"/>
      <c r="M302662" s="472"/>
    </row>
    <row r="302663" spans="12:13" x14ac:dyDescent="0.25">
      <c r="L302663" s="472"/>
      <c r="M302663" s="472"/>
    </row>
    <row r="302735" spans="12:13" x14ac:dyDescent="0.25">
      <c r="L302735" s="472"/>
      <c r="M302735" s="472"/>
    </row>
    <row r="302736" spans="12:13" x14ac:dyDescent="0.25">
      <c r="L302736" s="472"/>
      <c r="M302736" s="472"/>
    </row>
    <row r="302737" spans="12:13" x14ac:dyDescent="0.25">
      <c r="L302737" s="472"/>
      <c r="M302737" s="472"/>
    </row>
    <row r="302809" spans="12:13" x14ac:dyDescent="0.25">
      <c r="L302809" s="472"/>
      <c r="M302809" s="472"/>
    </row>
    <row r="302810" spans="12:13" x14ac:dyDescent="0.25">
      <c r="L302810" s="472"/>
      <c r="M302810" s="472"/>
    </row>
    <row r="302811" spans="12:13" x14ac:dyDescent="0.25">
      <c r="L302811" s="472"/>
      <c r="M302811" s="472"/>
    </row>
    <row r="302883" spans="12:13" x14ac:dyDescent="0.25">
      <c r="L302883" s="472"/>
      <c r="M302883" s="472"/>
    </row>
    <row r="302884" spans="12:13" x14ac:dyDescent="0.25">
      <c r="L302884" s="472"/>
      <c r="M302884" s="472"/>
    </row>
    <row r="302885" spans="12:13" x14ac:dyDescent="0.25">
      <c r="L302885" s="472"/>
      <c r="M302885" s="472"/>
    </row>
    <row r="302957" spans="12:13" x14ac:dyDescent="0.25">
      <c r="L302957" s="472"/>
      <c r="M302957" s="472"/>
    </row>
    <row r="302958" spans="12:13" x14ac:dyDescent="0.25">
      <c r="L302958" s="472"/>
      <c r="M302958" s="472"/>
    </row>
    <row r="302959" spans="12:13" x14ac:dyDescent="0.25">
      <c r="L302959" s="472"/>
      <c r="M302959" s="472"/>
    </row>
    <row r="303031" spans="12:13" x14ac:dyDescent="0.25">
      <c r="L303031" s="472"/>
      <c r="M303031" s="472"/>
    </row>
    <row r="303032" spans="12:13" x14ac:dyDescent="0.25">
      <c r="L303032" s="472"/>
      <c r="M303032" s="472"/>
    </row>
    <row r="303033" spans="12:13" x14ac:dyDescent="0.25">
      <c r="L303033" s="472"/>
      <c r="M303033" s="472"/>
    </row>
    <row r="303105" spans="12:13" x14ac:dyDescent="0.25">
      <c r="L303105" s="472"/>
      <c r="M303105" s="472"/>
    </row>
    <row r="303106" spans="12:13" x14ac:dyDescent="0.25">
      <c r="L303106" s="472"/>
      <c r="M303106" s="472"/>
    </row>
    <row r="303107" spans="12:13" x14ac:dyDescent="0.25">
      <c r="L303107" s="472"/>
      <c r="M303107" s="472"/>
    </row>
    <row r="303179" spans="12:13" x14ac:dyDescent="0.25">
      <c r="L303179" s="472"/>
      <c r="M303179" s="472"/>
    </row>
    <row r="303180" spans="12:13" x14ac:dyDescent="0.25">
      <c r="L303180" s="472"/>
      <c r="M303180" s="472"/>
    </row>
    <row r="303181" spans="12:13" x14ac:dyDescent="0.25">
      <c r="L303181" s="472"/>
      <c r="M303181" s="472"/>
    </row>
    <row r="303253" spans="12:13" x14ac:dyDescent="0.25">
      <c r="L303253" s="472"/>
      <c r="M303253" s="472"/>
    </row>
    <row r="303254" spans="12:13" x14ac:dyDescent="0.25">
      <c r="L303254" s="472"/>
      <c r="M303254" s="472"/>
    </row>
    <row r="303255" spans="12:13" x14ac:dyDescent="0.25">
      <c r="L303255" s="472"/>
      <c r="M303255" s="472"/>
    </row>
    <row r="303327" spans="12:13" x14ac:dyDescent="0.25">
      <c r="L303327" s="472"/>
      <c r="M303327" s="472"/>
    </row>
    <row r="303328" spans="12:13" x14ac:dyDescent="0.25">
      <c r="L303328" s="472"/>
      <c r="M303328" s="472"/>
    </row>
    <row r="303329" spans="12:13" x14ac:dyDescent="0.25">
      <c r="L303329" s="472"/>
      <c r="M303329" s="472"/>
    </row>
    <row r="303401" spans="12:13" x14ac:dyDescent="0.25">
      <c r="L303401" s="472"/>
      <c r="M303401" s="472"/>
    </row>
    <row r="303402" spans="12:13" x14ac:dyDescent="0.25">
      <c r="L303402" s="472"/>
      <c r="M303402" s="472"/>
    </row>
    <row r="303403" spans="12:13" x14ac:dyDescent="0.25">
      <c r="L303403" s="472"/>
      <c r="M303403" s="472"/>
    </row>
    <row r="303475" spans="12:13" x14ac:dyDescent="0.25">
      <c r="L303475" s="472"/>
      <c r="M303475" s="472"/>
    </row>
    <row r="303476" spans="12:13" x14ac:dyDescent="0.25">
      <c r="L303476" s="472"/>
      <c r="M303476" s="472"/>
    </row>
    <row r="303477" spans="12:13" x14ac:dyDescent="0.25">
      <c r="L303477" s="472"/>
      <c r="M303477" s="472"/>
    </row>
    <row r="303549" spans="12:13" x14ac:dyDescent="0.25">
      <c r="L303549" s="472"/>
      <c r="M303549" s="472"/>
    </row>
    <row r="303550" spans="12:13" x14ac:dyDescent="0.25">
      <c r="L303550" s="472"/>
      <c r="M303550" s="472"/>
    </row>
    <row r="303551" spans="12:13" x14ac:dyDescent="0.25">
      <c r="L303551" s="472"/>
      <c r="M303551" s="472"/>
    </row>
    <row r="303623" spans="12:13" x14ac:dyDescent="0.25">
      <c r="L303623" s="472"/>
      <c r="M303623" s="472"/>
    </row>
    <row r="303624" spans="12:13" x14ac:dyDescent="0.25">
      <c r="L303624" s="472"/>
      <c r="M303624" s="472"/>
    </row>
    <row r="303625" spans="12:13" x14ac:dyDescent="0.25">
      <c r="L303625" s="472"/>
      <c r="M303625" s="472"/>
    </row>
    <row r="303697" spans="12:13" x14ac:dyDescent="0.25">
      <c r="L303697" s="472"/>
      <c r="M303697" s="472"/>
    </row>
    <row r="303698" spans="12:13" x14ac:dyDescent="0.25">
      <c r="L303698" s="472"/>
      <c r="M303698" s="472"/>
    </row>
    <row r="303699" spans="12:13" x14ac:dyDescent="0.25">
      <c r="L303699" s="472"/>
      <c r="M303699" s="472"/>
    </row>
    <row r="303771" spans="12:13" x14ac:dyDescent="0.25">
      <c r="L303771" s="472"/>
      <c r="M303771" s="472"/>
    </row>
    <row r="303772" spans="12:13" x14ac:dyDescent="0.25">
      <c r="L303772" s="472"/>
      <c r="M303772" s="472"/>
    </row>
    <row r="303773" spans="12:13" x14ac:dyDescent="0.25">
      <c r="L303773" s="472"/>
      <c r="M303773" s="472"/>
    </row>
    <row r="303845" spans="12:13" x14ac:dyDescent="0.25">
      <c r="L303845" s="472"/>
      <c r="M303845" s="472"/>
    </row>
    <row r="303846" spans="12:13" x14ac:dyDescent="0.25">
      <c r="L303846" s="472"/>
      <c r="M303846" s="472"/>
    </row>
    <row r="303847" spans="12:13" x14ac:dyDescent="0.25">
      <c r="L303847" s="472"/>
      <c r="M303847" s="472"/>
    </row>
    <row r="303919" spans="12:13" x14ac:dyDescent="0.25">
      <c r="L303919" s="472"/>
      <c r="M303919" s="472"/>
    </row>
    <row r="303920" spans="12:13" x14ac:dyDescent="0.25">
      <c r="L303920" s="472"/>
      <c r="M303920" s="472"/>
    </row>
    <row r="303921" spans="12:13" x14ac:dyDescent="0.25">
      <c r="L303921" s="472"/>
      <c r="M303921" s="472"/>
    </row>
    <row r="303993" spans="12:13" x14ac:dyDescent="0.25">
      <c r="L303993" s="472"/>
      <c r="M303993" s="472"/>
    </row>
    <row r="303994" spans="12:13" x14ac:dyDescent="0.25">
      <c r="L303994" s="472"/>
      <c r="M303994" s="472"/>
    </row>
    <row r="303995" spans="12:13" x14ac:dyDescent="0.25">
      <c r="L303995" s="472"/>
      <c r="M303995" s="472"/>
    </row>
    <row r="304067" spans="12:13" x14ac:dyDescent="0.25">
      <c r="L304067" s="472"/>
      <c r="M304067" s="472"/>
    </row>
    <row r="304068" spans="12:13" x14ac:dyDescent="0.25">
      <c r="L304068" s="472"/>
      <c r="M304068" s="472"/>
    </row>
    <row r="304069" spans="12:13" x14ac:dyDescent="0.25">
      <c r="L304069" s="472"/>
      <c r="M304069" s="472"/>
    </row>
    <row r="304141" spans="12:13" x14ac:dyDescent="0.25">
      <c r="L304141" s="472"/>
      <c r="M304141" s="472"/>
    </row>
    <row r="304142" spans="12:13" x14ac:dyDescent="0.25">
      <c r="L304142" s="472"/>
      <c r="M304142" s="472"/>
    </row>
    <row r="304143" spans="12:13" x14ac:dyDescent="0.25">
      <c r="L304143" s="472"/>
      <c r="M304143" s="472"/>
    </row>
    <row r="304215" spans="12:13" x14ac:dyDescent="0.25">
      <c r="L304215" s="472"/>
      <c r="M304215" s="472"/>
    </row>
    <row r="304216" spans="12:13" x14ac:dyDescent="0.25">
      <c r="L304216" s="472"/>
      <c r="M304216" s="472"/>
    </row>
    <row r="304217" spans="12:13" x14ac:dyDescent="0.25">
      <c r="L304217" s="472"/>
      <c r="M304217" s="472"/>
    </row>
    <row r="304289" spans="12:13" x14ac:dyDescent="0.25">
      <c r="L304289" s="472"/>
      <c r="M304289" s="472"/>
    </row>
    <row r="304290" spans="12:13" x14ac:dyDescent="0.25">
      <c r="L304290" s="472"/>
      <c r="M304290" s="472"/>
    </row>
    <row r="304291" spans="12:13" x14ac:dyDescent="0.25">
      <c r="L304291" s="472"/>
      <c r="M304291" s="472"/>
    </row>
    <row r="304363" spans="12:13" x14ac:dyDescent="0.25">
      <c r="L304363" s="472"/>
      <c r="M304363" s="472"/>
    </row>
    <row r="304364" spans="12:13" x14ac:dyDescent="0.25">
      <c r="L304364" s="472"/>
      <c r="M304364" s="472"/>
    </row>
    <row r="304365" spans="12:13" x14ac:dyDescent="0.25">
      <c r="L304365" s="472"/>
      <c r="M304365" s="472"/>
    </row>
    <row r="304437" spans="12:13" x14ac:dyDescent="0.25">
      <c r="L304437" s="472"/>
      <c r="M304437" s="472"/>
    </row>
    <row r="304438" spans="12:13" x14ac:dyDescent="0.25">
      <c r="L304438" s="472"/>
      <c r="M304438" s="472"/>
    </row>
    <row r="304439" spans="12:13" x14ac:dyDescent="0.25">
      <c r="L304439" s="472"/>
      <c r="M304439" s="472"/>
    </row>
    <row r="304511" spans="12:13" x14ac:dyDescent="0.25">
      <c r="L304511" s="472"/>
      <c r="M304511" s="472"/>
    </row>
    <row r="304512" spans="12:13" x14ac:dyDescent="0.25">
      <c r="L304512" s="472"/>
      <c r="M304512" s="472"/>
    </row>
    <row r="304513" spans="12:13" x14ac:dyDescent="0.25">
      <c r="L304513" s="472"/>
      <c r="M304513" s="472"/>
    </row>
    <row r="304585" spans="12:13" x14ac:dyDescent="0.25">
      <c r="L304585" s="472"/>
      <c r="M304585" s="472"/>
    </row>
    <row r="304586" spans="12:13" x14ac:dyDescent="0.25">
      <c r="L304586" s="472"/>
      <c r="M304586" s="472"/>
    </row>
    <row r="304587" spans="12:13" x14ac:dyDescent="0.25">
      <c r="L304587" s="472"/>
      <c r="M304587" s="472"/>
    </row>
    <row r="304659" spans="12:13" x14ac:dyDescent="0.25">
      <c r="L304659" s="472"/>
      <c r="M304659" s="472"/>
    </row>
    <row r="304660" spans="12:13" x14ac:dyDescent="0.25">
      <c r="L304660" s="472"/>
      <c r="M304660" s="472"/>
    </row>
    <row r="304661" spans="12:13" x14ac:dyDescent="0.25">
      <c r="L304661" s="472"/>
      <c r="M304661" s="472"/>
    </row>
    <row r="304733" spans="12:13" x14ac:dyDescent="0.25">
      <c r="L304733" s="472"/>
      <c r="M304733" s="472"/>
    </row>
    <row r="304734" spans="12:13" x14ac:dyDescent="0.25">
      <c r="L304734" s="472"/>
      <c r="M304734" s="472"/>
    </row>
    <row r="304735" spans="12:13" x14ac:dyDescent="0.25">
      <c r="L304735" s="472"/>
      <c r="M304735" s="472"/>
    </row>
    <row r="304807" spans="12:13" x14ac:dyDescent="0.25">
      <c r="L304807" s="472"/>
      <c r="M304807" s="472"/>
    </row>
    <row r="304808" spans="12:13" x14ac:dyDescent="0.25">
      <c r="L304808" s="472"/>
      <c r="M304808" s="472"/>
    </row>
    <row r="304809" spans="12:13" x14ac:dyDescent="0.25">
      <c r="L304809" s="472"/>
      <c r="M304809" s="472"/>
    </row>
    <row r="304881" spans="12:13" x14ac:dyDescent="0.25">
      <c r="L304881" s="472"/>
      <c r="M304881" s="472"/>
    </row>
    <row r="304882" spans="12:13" x14ac:dyDescent="0.25">
      <c r="L304882" s="472"/>
      <c r="M304882" s="472"/>
    </row>
    <row r="304883" spans="12:13" x14ac:dyDescent="0.25">
      <c r="L304883" s="472"/>
      <c r="M304883" s="472"/>
    </row>
    <row r="304955" spans="12:13" x14ac:dyDescent="0.25">
      <c r="L304955" s="472"/>
      <c r="M304955" s="472"/>
    </row>
    <row r="304956" spans="12:13" x14ac:dyDescent="0.25">
      <c r="L304956" s="472"/>
      <c r="M304956" s="472"/>
    </row>
    <row r="304957" spans="12:13" x14ac:dyDescent="0.25">
      <c r="L304957" s="472"/>
      <c r="M304957" s="472"/>
    </row>
    <row r="305029" spans="12:13" x14ac:dyDescent="0.25">
      <c r="L305029" s="472"/>
      <c r="M305029" s="472"/>
    </row>
    <row r="305030" spans="12:13" x14ac:dyDescent="0.25">
      <c r="L305030" s="472"/>
      <c r="M305030" s="472"/>
    </row>
    <row r="305031" spans="12:13" x14ac:dyDescent="0.25">
      <c r="L305031" s="472"/>
      <c r="M305031" s="472"/>
    </row>
    <row r="305103" spans="12:13" x14ac:dyDescent="0.25">
      <c r="L305103" s="472"/>
      <c r="M305103" s="472"/>
    </row>
    <row r="305104" spans="12:13" x14ac:dyDescent="0.25">
      <c r="L305104" s="472"/>
      <c r="M305104" s="472"/>
    </row>
    <row r="305105" spans="12:13" x14ac:dyDescent="0.25">
      <c r="L305105" s="472"/>
      <c r="M305105" s="472"/>
    </row>
    <row r="305177" spans="12:13" x14ac:dyDescent="0.25">
      <c r="L305177" s="472"/>
      <c r="M305177" s="472"/>
    </row>
    <row r="305178" spans="12:13" x14ac:dyDescent="0.25">
      <c r="L305178" s="472"/>
      <c r="M305178" s="472"/>
    </row>
    <row r="305179" spans="12:13" x14ac:dyDescent="0.25">
      <c r="L305179" s="472"/>
      <c r="M305179" s="472"/>
    </row>
    <row r="305251" spans="12:13" x14ac:dyDescent="0.25">
      <c r="L305251" s="472"/>
      <c r="M305251" s="472"/>
    </row>
    <row r="305252" spans="12:13" x14ac:dyDescent="0.25">
      <c r="L305252" s="472"/>
      <c r="M305252" s="472"/>
    </row>
    <row r="305253" spans="12:13" x14ac:dyDescent="0.25">
      <c r="L305253" s="472"/>
      <c r="M305253" s="472"/>
    </row>
    <row r="305325" spans="12:13" x14ac:dyDescent="0.25">
      <c r="L305325" s="472"/>
      <c r="M305325" s="472"/>
    </row>
    <row r="305326" spans="12:13" x14ac:dyDescent="0.25">
      <c r="L305326" s="472"/>
      <c r="M305326" s="472"/>
    </row>
    <row r="305327" spans="12:13" x14ac:dyDescent="0.25">
      <c r="L305327" s="472"/>
      <c r="M305327" s="472"/>
    </row>
    <row r="305399" spans="12:13" x14ac:dyDescent="0.25">
      <c r="L305399" s="472"/>
      <c r="M305399" s="472"/>
    </row>
    <row r="305400" spans="12:13" x14ac:dyDescent="0.25">
      <c r="L305400" s="472"/>
      <c r="M305400" s="472"/>
    </row>
    <row r="305401" spans="12:13" x14ac:dyDescent="0.25">
      <c r="L305401" s="472"/>
      <c r="M305401" s="472"/>
    </row>
    <row r="305473" spans="12:13" x14ac:dyDescent="0.25">
      <c r="L305473" s="472"/>
      <c r="M305473" s="472"/>
    </row>
    <row r="305474" spans="12:13" x14ac:dyDescent="0.25">
      <c r="L305474" s="472"/>
      <c r="M305474" s="472"/>
    </row>
    <row r="305475" spans="12:13" x14ac:dyDescent="0.25">
      <c r="L305475" s="472"/>
      <c r="M305475" s="472"/>
    </row>
    <row r="305547" spans="12:13" x14ac:dyDescent="0.25">
      <c r="L305547" s="472"/>
      <c r="M305547" s="472"/>
    </row>
    <row r="305548" spans="12:13" x14ac:dyDescent="0.25">
      <c r="L305548" s="472"/>
      <c r="M305548" s="472"/>
    </row>
    <row r="305549" spans="12:13" x14ac:dyDescent="0.25">
      <c r="L305549" s="472"/>
      <c r="M305549" s="472"/>
    </row>
    <row r="305621" spans="12:13" x14ac:dyDescent="0.25">
      <c r="L305621" s="472"/>
      <c r="M305621" s="472"/>
    </row>
    <row r="305622" spans="12:13" x14ac:dyDescent="0.25">
      <c r="L305622" s="472"/>
      <c r="M305622" s="472"/>
    </row>
    <row r="305623" spans="12:13" x14ac:dyDescent="0.25">
      <c r="L305623" s="472"/>
      <c r="M305623" s="472"/>
    </row>
    <row r="305695" spans="12:13" x14ac:dyDescent="0.25">
      <c r="L305695" s="472"/>
      <c r="M305695" s="472"/>
    </row>
    <row r="305696" spans="12:13" x14ac:dyDescent="0.25">
      <c r="L305696" s="472"/>
      <c r="M305696" s="472"/>
    </row>
    <row r="305697" spans="12:13" x14ac:dyDescent="0.25">
      <c r="L305697" s="472"/>
      <c r="M305697" s="472"/>
    </row>
    <row r="305769" spans="12:13" x14ac:dyDescent="0.25">
      <c r="L305769" s="472"/>
      <c r="M305769" s="472"/>
    </row>
    <row r="305770" spans="12:13" x14ac:dyDescent="0.25">
      <c r="L305770" s="472"/>
      <c r="M305770" s="472"/>
    </row>
    <row r="305771" spans="12:13" x14ac:dyDescent="0.25">
      <c r="L305771" s="472"/>
      <c r="M305771" s="472"/>
    </row>
    <row r="305843" spans="12:13" x14ac:dyDescent="0.25">
      <c r="L305843" s="472"/>
      <c r="M305843" s="472"/>
    </row>
    <row r="305844" spans="12:13" x14ac:dyDescent="0.25">
      <c r="L305844" s="472"/>
      <c r="M305844" s="472"/>
    </row>
    <row r="305845" spans="12:13" x14ac:dyDescent="0.25">
      <c r="L305845" s="472"/>
      <c r="M305845" s="472"/>
    </row>
    <row r="305917" spans="12:13" x14ac:dyDescent="0.25">
      <c r="L305917" s="472"/>
      <c r="M305917" s="472"/>
    </row>
    <row r="305918" spans="12:13" x14ac:dyDescent="0.25">
      <c r="L305918" s="472"/>
      <c r="M305918" s="472"/>
    </row>
    <row r="305919" spans="12:13" x14ac:dyDescent="0.25">
      <c r="L305919" s="472"/>
      <c r="M305919" s="472"/>
    </row>
    <row r="305991" spans="12:13" x14ac:dyDescent="0.25">
      <c r="L305991" s="472"/>
      <c r="M305991" s="472"/>
    </row>
    <row r="305992" spans="12:13" x14ac:dyDescent="0.25">
      <c r="L305992" s="472"/>
      <c r="M305992" s="472"/>
    </row>
    <row r="305993" spans="12:13" x14ac:dyDescent="0.25">
      <c r="L305993" s="472"/>
      <c r="M305993" s="472"/>
    </row>
    <row r="306065" spans="12:13" x14ac:dyDescent="0.25">
      <c r="L306065" s="472"/>
      <c r="M306065" s="472"/>
    </row>
    <row r="306066" spans="12:13" x14ac:dyDescent="0.25">
      <c r="L306066" s="472"/>
      <c r="M306066" s="472"/>
    </row>
    <row r="306067" spans="12:13" x14ac:dyDescent="0.25">
      <c r="L306067" s="472"/>
      <c r="M306067" s="472"/>
    </row>
    <row r="306139" spans="12:13" x14ac:dyDescent="0.25">
      <c r="L306139" s="472"/>
      <c r="M306139" s="472"/>
    </row>
    <row r="306140" spans="12:13" x14ac:dyDescent="0.25">
      <c r="L306140" s="472"/>
      <c r="M306140" s="472"/>
    </row>
    <row r="306141" spans="12:13" x14ac:dyDescent="0.25">
      <c r="L306141" s="472"/>
      <c r="M306141" s="472"/>
    </row>
    <row r="306213" spans="12:13" x14ac:dyDescent="0.25">
      <c r="L306213" s="472"/>
      <c r="M306213" s="472"/>
    </row>
    <row r="306214" spans="12:13" x14ac:dyDescent="0.25">
      <c r="L306214" s="472"/>
      <c r="M306214" s="472"/>
    </row>
    <row r="306215" spans="12:13" x14ac:dyDescent="0.25">
      <c r="L306215" s="472"/>
      <c r="M306215" s="472"/>
    </row>
    <row r="306287" spans="12:13" x14ac:dyDescent="0.25">
      <c r="L306287" s="472"/>
      <c r="M306287" s="472"/>
    </row>
    <row r="306288" spans="12:13" x14ac:dyDescent="0.25">
      <c r="L306288" s="472"/>
      <c r="M306288" s="472"/>
    </row>
    <row r="306289" spans="12:13" x14ac:dyDescent="0.25">
      <c r="L306289" s="472"/>
      <c r="M306289" s="472"/>
    </row>
    <row r="306361" spans="12:13" x14ac:dyDescent="0.25">
      <c r="L306361" s="472"/>
      <c r="M306361" s="472"/>
    </row>
    <row r="306362" spans="12:13" x14ac:dyDescent="0.25">
      <c r="L306362" s="472"/>
      <c r="M306362" s="472"/>
    </row>
    <row r="306363" spans="12:13" x14ac:dyDescent="0.25">
      <c r="L306363" s="472"/>
      <c r="M306363" s="472"/>
    </row>
    <row r="306435" spans="12:13" x14ac:dyDescent="0.25">
      <c r="L306435" s="472"/>
      <c r="M306435" s="472"/>
    </row>
    <row r="306436" spans="12:13" x14ac:dyDescent="0.25">
      <c r="L306436" s="472"/>
      <c r="M306436" s="472"/>
    </row>
    <row r="306437" spans="12:13" x14ac:dyDescent="0.25">
      <c r="L306437" s="472"/>
      <c r="M306437" s="472"/>
    </row>
    <row r="306509" spans="12:13" x14ac:dyDescent="0.25">
      <c r="L306509" s="472"/>
      <c r="M306509" s="472"/>
    </row>
    <row r="306510" spans="12:13" x14ac:dyDescent="0.25">
      <c r="L306510" s="472"/>
      <c r="M306510" s="472"/>
    </row>
    <row r="306511" spans="12:13" x14ac:dyDescent="0.25">
      <c r="L306511" s="472"/>
      <c r="M306511" s="472"/>
    </row>
    <row r="306583" spans="12:13" x14ac:dyDescent="0.25">
      <c r="L306583" s="472"/>
      <c r="M306583" s="472"/>
    </row>
    <row r="306584" spans="12:13" x14ac:dyDescent="0.25">
      <c r="L306584" s="472"/>
      <c r="M306584" s="472"/>
    </row>
    <row r="306585" spans="12:13" x14ac:dyDescent="0.25">
      <c r="L306585" s="472"/>
      <c r="M306585" s="472"/>
    </row>
    <row r="306657" spans="12:13" x14ac:dyDescent="0.25">
      <c r="L306657" s="472"/>
      <c r="M306657" s="472"/>
    </row>
    <row r="306658" spans="12:13" x14ac:dyDescent="0.25">
      <c r="L306658" s="472"/>
      <c r="M306658" s="472"/>
    </row>
    <row r="306659" spans="12:13" x14ac:dyDescent="0.25">
      <c r="L306659" s="472"/>
      <c r="M306659" s="472"/>
    </row>
    <row r="306731" spans="12:13" x14ac:dyDescent="0.25">
      <c r="L306731" s="472"/>
      <c r="M306731" s="472"/>
    </row>
    <row r="306732" spans="12:13" x14ac:dyDescent="0.25">
      <c r="L306732" s="472"/>
      <c r="M306732" s="472"/>
    </row>
    <row r="306733" spans="12:13" x14ac:dyDescent="0.25">
      <c r="L306733" s="472"/>
      <c r="M306733" s="472"/>
    </row>
    <row r="306805" spans="12:13" x14ac:dyDescent="0.25">
      <c r="L306805" s="472"/>
      <c r="M306805" s="472"/>
    </row>
    <row r="306806" spans="12:13" x14ac:dyDescent="0.25">
      <c r="L306806" s="472"/>
      <c r="M306806" s="472"/>
    </row>
    <row r="306807" spans="12:13" x14ac:dyDescent="0.25">
      <c r="L306807" s="472"/>
      <c r="M306807" s="472"/>
    </row>
    <row r="306879" spans="12:13" x14ac:dyDescent="0.25">
      <c r="L306879" s="472"/>
      <c r="M306879" s="472"/>
    </row>
    <row r="306880" spans="12:13" x14ac:dyDescent="0.25">
      <c r="L306880" s="472"/>
      <c r="M306880" s="472"/>
    </row>
    <row r="306881" spans="12:13" x14ac:dyDescent="0.25">
      <c r="L306881" s="472"/>
      <c r="M306881" s="472"/>
    </row>
    <row r="306953" spans="12:13" x14ac:dyDescent="0.25">
      <c r="L306953" s="472"/>
      <c r="M306953" s="472"/>
    </row>
    <row r="306954" spans="12:13" x14ac:dyDescent="0.25">
      <c r="L306954" s="472"/>
      <c r="M306954" s="472"/>
    </row>
    <row r="306955" spans="12:13" x14ac:dyDescent="0.25">
      <c r="L306955" s="472"/>
      <c r="M306955" s="472"/>
    </row>
    <row r="307027" spans="12:13" x14ac:dyDescent="0.25">
      <c r="L307027" s="472"/>
      <c r="M307027" s="472"/>
    </row>
    <row r="307028" spans="12:13" x14ac:dyDescent="0.25">
      <c r="L307028" s="472"/>
      <c r="M307028" s="472"/>
    </row>
    <row r="307029" spans="12:13" x14ac:dyDescent="0.25">
      <c r="L307029" s="472"/>
      <c r="M307029" s="472"/>
    </row>
    <row r="307101" spans="12:13" x14ac:dyDescent="0.25">
      <c r="L307101" s="472"/>
      <c r="M307101" s="472"/>
    </row>
    <row r="307102" spans="12:13" x14ac:dyDescent="0.25">
      <c r="L307102" s="472"/>
      <c r="M307102" s="472"/>
    </row>
    <row r="307103" spans="12:13" x14ac:dyDescent="0.25">
      <c r="L307103" s="472"/>
      <c r="M307103" s="472"/>
    </row>
    <row r="307175" spans="12:13" x14ac:dyDescent="0.25">
      <c r="L307175" s="472"/>
      <c r="M307175" s="472"/>
    </row>
    <row r="307176" spans="12:13" x14ac:dyDescent="0.25">
      <c r="L307176" s="472"/>
      <c r="M307176" s="472"/>
    </row>
    <row r="307177" spans="12:13" x14ac:dyDescent="0.25">
      <c r="L307177" s="472"/>
      <c r="M307177" s="472"/>
    </row>
    <row r="307249" spans="12:13" x14ac:dyDescent="0.25">
      <c r="L307249" s="472"/>
      <c r="M307249" s="472"/>
    </row>
    <row r="307250" spans="12:13" x14ac:dyDescent="0.25">
      <c r="L307250" s="472"/>
      <c r="M307250" s="472"/>
    </row>
    <row r="307251" spans="12:13" x14ac:dyDescent="0.25">
      <c r="L307251" s="472"/>
      <c r="M307251" s="472"/>
    </row>
    <row r="307323" spans="12:13" x14ac:dyDescent="0.25">
      <c r="L307323" s="472"/>
      <c r="M307323" s="472"/>
    </row>
    <row r="307324" spans="12:13" x14ac:dyDescent="0.25">
      <c r="L307324" s="472"/>
      <c r="M307324" s="472"/>
    </row>
    <row r="307325" spans="12:13" x14ac:dyDescent="0.25">
      <c r="L307325" s="472"/>
      <c r="M307325" s="472"/>
    </row>
    <row r="307397" spans="12:13" x14ac:dyDescent="0.25">
      <c r="L307397" s="472"/>
      <c r="M307397" s="472"/>
    </row>
    <row r="307398" spans="12:13" x14ac:dyDescent="0.25">
      <c r="L307398" s="472"/>
      <c r="M307398" s="472"/>
    </row>
    <row r="307399" spans="12:13" x14ac:dyDescent="0.25">
      <c r="L307399" s="472"/>
      <c r="M307399" s="472"/>
    </row>
    <row r="307471" spans="12:13" x14ac:dyDescent="0.25">
      <c r="L307471" s="472"/>
      <c r="M307471" s="472"/>
    </row>
    <row r="307472" spans="12:13" x14ac:dyDescent="0.25">
      <c r="L307472" s="472"/>
      <c r="M307472" s="472"/>
    </row>
    <row r="307473" spans="12:13" x14ac:dyDescent="0.25">
      <c r="L307473" s="472"/>
      <c r="M307473" s="472"/>
    </row>
    <row r="307545" spans="12:13" x14ac:dyDescent="0.25">
      <c r="L307545" s="472"/>
      <c r="M307545" s="472"/>
    </row>
    <row r="307546" spans="12:13" x14ac:dyDescent="0.25">
      <c r="L307546" s="472"/>
      <c r="M307546" s="472"/>
    </row>
    <row r="307547" spans="12:13" x14ac:dyDescent="0.25">
      <c r="L307547" s="472"/>
      <c r="M307547" s="472"/>
    </row>
    <row r="307619" spans="12:13" x14ac:dyDescent="0.25">
      <c r="L307619" s="472"/>
      <c r="M307619" s="472"/>
    </row>
    <row r="307620" spans="12:13" x14ac:dyDescent="0.25">
      <c r="L307620" s="472"/>
      <c r="M307620" s="472"/>
    </row>
    <row r="307621" spans="12:13" x14ac:dyDescent="0.25">
      <c r="L307621" s="472"/>
      <c r="M307621" s="472"/>
    </row>
    <row r="307693" spans="12:13" x14ac:dyDescent="0.25">
      <c r="L307693" s="472"/>
      <c r="M307693" s="472"/>
    </row>
    <row r="307694" spans="12:13" x14ac:dyDescent="0.25">
      <c r="L307694" s="472"/>
      <c r="M307694" s="472"/>
    </row>
    <row r="307695" spans="12:13" x14ac:dyDescent="0.25">
      <c r="L307695" s="472"/>
      <c r="M307695" s="472"/>
    </row>
    <row r="307767" spans="12:13" x14ac:dyDescent="0.25">
      <c r="L307767" s="472"/>
      <c r="M307767" s="472"/>
    </row>
    <row r="307768" spans="12:13" x14ac:dyDescent="0.25">
      <c r="L307768" s="472"/>
      <c r="M307768" s="472"/>
    </row>
    <row r="307769" spans="12:13" x14ac:dyDescent="0.25">
      <c r="L307769" s="472"/>
      <c r="M307769" s="472"/>
    </row>
    <row r="307841" spans="12:13" x14ac:dyDescent="0.25">
      <c r="L307841" s="472"/>
      <c r="M307841" s="472"/>
    </row>
    <row r="307842" spans="12:13" x14ac:dyDescent="0.25">
      <c r="L307842" s="472"/>
      <c r="M307842" s="472"/>
    </row>
    <row r="307843" spans="12:13" x14ac:dyDescent="0.25">
      <c r="L307843" s="472"/>
      <c r="M307843" s="472"/>
    </row>
    <row r="307915" spans="12:13" x14ac:dyDescent="0.25">
      <c r="L307915" s="472"/>
      <c r="M307915" s="472"/>
    </row>
    <row r="307916" spans="12:13" x14ac:dyDescent="0.25">
      <c r="L307916" s="472"/>
      <c r="M307916" s="472"/>
    </row>
    <row r="307917" spans="12:13" x14ac:dyDescent="0.25">
      <c r="L307917" s="472"/>
      <c r="M307917" s="472"/>
    </row>
    <row r="307989" spans="12:13" x14ac:dyDescent="0.25">
      <c r="L307989" s="472"/>
      <c r="M307989" s="472"/>
    </row>
    <row r="307990" spans="12:13" x14ac:dyDescent="0.25">
      <c r="L307990" s="472"/>
      <c r="M307990" s="472"/>
    </row>
    <row r="307991" spans="12:13" x14ac:dyDescent="0.25">
      <c r="L307991" s="472"/>
      <c r="M307991" s="472"/>
    </row>
    <row r="308063" spans="12:13" x14ac:dyDescent="0.25">
      <c r="L308063" s="472"/>
      <c r="M308063" s="472"/>
    </row>
    <row r="308064" spans="12:13" x14ac:dyDescent="0.25">
      <c r="L308064" s="472"/>
      <c r="M308064" s="472"/>
    </row>
    <row r="308065" spans="12:13" x14ac:dyDescent="0.25">
      <c r="L308065" s="472"/>
      <c r="M308065" s="472"/>
    </row>
    <row r="308137" spans="12:13" x14ac:dyDescent="0.25">
      <c r="L308137" s="472"/>
      <c r="M308137" s="472"/>
    </row>
    <row r="308138" spans="12:13" x14ac:dyDescent="0.25">
      <c r="L308138" s="472"/>
      <c r="M308138" s="472"/>
    </row>
    <row r="308139" spans="12:13" x14ac:dyDescent="0.25">
      <c r="L308139" s="472"/>
      <c r="M308139" s="472"/>
    </row>
    <row r="308211" spans="12:13" x14ac:dyDescent="0.25">
      <c r="L308211" s="472"/>
      <c r="M308211" s="472"/>
    </row>
    <row r="308212" spans="12:13" x14ac:dyDescent="0.25">
      <c r="L308212" s="472"/>
      <c r="M308212" s="472"/>
    </row>
    <row r="308213" spans="12:13" x14ac:dyDescent="0.25">
      <c r="L308213" s="472"/>
      <c r="M308213" s="472"/>
    </row>
    <row r="308285" spans="12:13" x14ac:dyDescent="0.25">
      <c r="L308285" s="472"/>
      <c r="M308285" s="472"/>
    </row>
    <row r="308286" spans="12:13" x14ac:dyDescent="0.25">
      <c r="L308286" s="472"/>
      <c r="M308286" s="472"/>
    </row>
    <row r="308287" spans="12:13" x14ac:dyDescent="0.25">
      <c r="L308287" s="472"/>
      <c r="M308287" s="472"/>
    </row>
    <row r="308359" spans="12:13" x14ac:dyDescent="0.25">
      <c r="L308359" s="472"/>
      <c r="M308359" s="472"/>
    </row>
    <row r="308360" spans="12:13" x14ac:dyDescent="0.25">
      <c r="L308360" s="472"/>
      <c r="M308360" s="472"/>
    </row>
    <row r="308361" spans="12:13" x14ac:dyDescent="0.25">
      <c r="L308361" s="472"/>
      <c r="M308361" s="472"/>
    </row>
    <row r="308433" spans="12:13" x14ac:dyDescent="0.25">
      <c r="L308433" s="472"/>
      <c r="M308433" s="472"/>
    </row>
    <row r="308434" spans="12:13" x14ac:dyDescent="0.25">
      <c r="L308434" s="472"/>
      <c r="M308434" s="472"/>
    </row>
    <row r="308435" spans="12:13" x14ac:dyDescent="0.25">
      <c r="L308435" s="472"/>
      <c r="M308435" s="472"/>
    </row>
    <row r="308507" spans="12:13" x14ac:dyDescent="0.25">
      <c r="L308507" s="472"/>
      <c r="M308507" s="472"/>
    </row>
    <row r="308508" spans="12:13" x14ac:dyDescent="0.25">
      <c r="L308508" s="472"/>
      <c r="M308508" s="472"/>
    </row>
    <row r="308509" spans="12:13" x14ac:dyDescent="0.25">
      <c r="L308509" s="472"/>
      <c r="M308509" s="472"/>
    </row>
    <row r="308581" spans="12:13" x14ac:dyDescent="0.25">
      <c r="L308581" s="472"/>
      <c r="M308581" s="472"/>
    </row>
    <row r="308582" spans="12:13" x14ac:dyDescent="0.25">
      <c r="L308582" s="472"/>
      <c r="M308582" s="472"/>
    </row>
    <row r="308583" spans="12:13" x14ac:dyDescent="0.25">
      <c r="L308583" s="472"/>
      <c r="M308583" s="472"/>
    </row>
    <row r="308655" spans="12:13" x14ac:dyDescent="0.25">
      <c r="L308655" s="472"/>
      <c r="M308655" s="472"/>
    </row>
    <row r="308656" spans="12:13" x14ac:dyDescent="0.25">
      <c r="L308656" s="472"/>
      <c r="M308656" s="472"/>
    </row>
    <row r="308657" spans="12:13" x14ac:dyDescent="0.25">
      <c r="L308657" s="472"/>
      <c r="M308657" s="472"/>
    </row>
    <row r="308729" spans="12:13" x14ac:dyDescent="0.25">
      <c r="L308729" s="472"/>
      <c r="M308729" s="472"/>
    </row>
    <row r="308730" spans="12:13" x14ac:dyDescent="0.25">
      <c r="L308730" s="472"/>
      <c r="M308730" s="472"/>
    </row>
    <row r="308731" spans="12:13" x14ac:dyDescent="0.25">
      <c r="L308731" s="472"/>
      <c r="M308731" s="472"/>
    </row>
    <row r="308803" spans="12:13" x14ac:dyDescent="0.25">
      <c r="L308803" s="472"/>
      <c r="M308803" s="472"/>
    </row>
    <row r="308804" spans="12:13" x14ac:dyDescent="0.25">
      <c r="L308804" s="472"/>
      <c r="M308804" s="472"/>
    </row>
    <row r="308805" spans="12:13" x14ac:dyDescent="0.25">
      <c r="L308805" s="472"/>
      <c r="M308805" s="472"/>
    </row>
    <row r="308877" spans="12:13" x14ac:dyDescent="0.25">
      <c r="L308877" s="472"/>
      <c r="M308877" s="472"/>
    </row>
    <row r="308878" spans="12:13" x14ac:dyDescent="0.25">
      <c r="L308878" s="472"/>
      <c r="M308878" s="472"/>
    </row>
    <row r="308879" spans="12:13" x14ac:dyDescent="0.25">
      <c r="L308879" s="472"/>
      <c r="M308879" s="472"/>
    </row>
    <row r="308951" spans="12:13" x14ac:dyDescent="0.25">
      <c r="L308951" s="472"/>
      <c r="M308951" s="472"/>
    </row>
    <row r="308952" spans="12:13" x14ac:dyDescent="0.25">
      <c r="L308952" s="472"/>
      <c r="M308952" s="472"/>
    </row>
    <row r="308953" spans="12:13" x14ac:dyDescent="0.25">
      <c r="L308953" s="472"/>
      <c r="M308953" s="472"/>
    </row>
    <row r="309025" spans="12:13" x14ac:dyDescent="0.25">
      <c r="L309025" s="472"/>
      <c r="M309025" s="472"/>
    </row>
    <row r="309026" spans="12:13" x14ac:dyDescent="0.25">
      <c r="L309026" s="472"/>
      <c r="M309026" s="472"/>
    </row>
    <row r="309027" spans="12:13" x14ac:dyDescent="0.25">
      <c r="L309027" s="472"/>
      <c r="M309027" s="472"/>
    </row>
    <row r="309099" spans="12:13" x14ac:dyDescent="0.25">
      <c r="L309099" s="472"/>
      <c r="M309099" s="472"/>
    </row>
    <row r="309100" spans="12:13" x14ac:dyDescent="0.25">
      <c r="L309100" s="472"/>
      <c r="M309100" s="472"/>
    </row>
    <row r="309101" spans="12:13" x14ac:dyDescent="0.25">
      <c r="L309101" s="472"/>
      <c r="M309101" s="472"/>
    </row>
    <row r="309173" spans="12:13" x14ac:dyDescent="0.25">
      <c r="L309173" s="472"/>
      <c r="M309173" s="472"/>
    </row>
    <row r="309174" spans="12:13" x14ac:dyDescent="0.25">
      <c r="L309174" s="472"/>
      <c r="M309174" s="472"/>
    </row>
    <row r="309175" spans="12:13" x14ac:dyDescent="0.25">
      <c r="L309175" s="472"/>
      <c r="M309175" s="472"/>
    </row>
    <row r="309247" spans="12:13" x14ac:dyDescent="0.25">
      <c r="L309247" s="472"/>
      <c r="M309247" s="472"/>
    </row>
    <row r="309248" spans="12:13" x14ac:dyDescent="0.25">
      <c r="L309248" s="472"/>
      <c r="M309248" s="472"/>
    </row>
    <row r="309249" spans="12:13" x14ac:dyDescent="0.25">
      <c r="L309249" s="472"/>
      <c r="M309249" s="472"/>
    </row>
    <row r="309321" spans="12:13" x14ac:dyDescent="0.25">
      <c r="L309321" s="472"/>
      <c r="M309321" s="472"/>
    </row>
    <row r="309322" spans="12:13" x14ac:dyDescent="0.25">
      <c r="L309322" s="472"/>
      <c r="M309322" s="472"/>
    </row>
    <row r="309323" spans="12:13" x14ac:dyDescent="0.25">
      <c r="L309323" s="472"/>
      <c r="M309323" s="472"/>
    </row>
    <row r="309395" spans="12:13" x14ac:dyDescent="0.25">
      <c r="L309395" s="472"/>
      <c r="M309395" s="472"/>
    </row>
    <row r="309396" spans="12:13" x14ac:dyDescent="0.25">
      <c r="L309396" s="472"/>
      <c r="M309396" s="472"/>
    </row>
    <row r="309397" spans="12:13" x14ac:dyDescent="0.25">
      <c r="L309397" s="472"/>
      <c r="M309397" s="472"/>
    </row>
    <row r="309469" spans="12:13" x14ac:dyDescent="0.25">
      <c r="L309469" s="472"/>
      <c r="M309469" s="472"/>
    </row>
    <row r="309470" spans="12:13" x14ac:dyDescent="0.25">
      <c r="L309470" s="472"/>
      <c r="M309470" s="472"/>
    </row>
    <row r="309471" spans="12:13" x14ac:dyDescent="0.25">
      <c r="L309471" s="472"/>
      <c r="M309471" s="472"/>
    </row>
    <row r="309543" spans="12:13" x14ac:dyDescent="0.25">
      <c r="L309543" s="472"/>
      <c r="M309543" s="472"/>
    </row>
    <row r="309544" spans="12:13" x14ac:dyDescent="0.25">
      <c r="L309544" s="472"/>
      <c r="M309544" s="472"/>
    </row>
    <row r="309545" spans="12:13" x14ac:dyDescent="0.25">
      <c r="L309545" s="472"/>
      <c r="M309545" s="472"/>
    </row>
    <row r="309617" spans="12:13" x14ac:dyDescent="0.25">
      <c r="L309617" s="472"/>
      <c r="M309617" s="472"/>
    </row>
    <row r="309618" spans="12:13" x14ac:dyDescent="0.25">
      <c r="L309618" s="472"/>
      <c r="M309618" s="472"/>
    </row>
    <row r="309619" spans="12:13" x14ac:dyDescent="0.25">
      <c r="L309619" s="472"/>
      <c r="M309619" s="472"/>
    </row>
    <row r="309691" spans="12:13" x14ac:dyDescent="0.25">
      <c r="L309691" s="472"/>
      <c r="M309691" s="472"/>
    </row>
    <row r="309692" spans="12:13" x14ac:dyDescent="0.25">
      <c r="L309692" s="472"/>
      <c r="M309692" s="472"/>
    </row>
    <row r="309693" spans="12:13" x14ac:dyDescent="0.25">
      <c r="L309693" s="472"/>
      <c r="M309693" s="472"/>
    </row>
    <row r="309765" spans="12:13" x14ac:dyDescent="0.25">
      <c r="L309765" s="472"/>
      <c r="M309765" s="472"/>
    </row>
    <row r="309766" spans="12:13" x14ac:dyDescent="0.25">
      <c r="L309766" s="472"/>
      <c r="M309766" s="472"/>
    </row>
    <row r="309767" spans="12:13" x14ac:dyDescent="0.25">
      <c r="L309767" s="472"/>
      <c r="M309767" s="472"/>
    </row>
    <row r="309839" spans="12:13" x14ac:dyDescent="0.25">
      <c r="L309839" s="472"/>
      <c r="M309839" s="472"/>
    </row>
    <row r="309840" spans="12:13" x14ac:dyDescent="0.25">
      <c r="L309840" s="472"/>
      <c r="M309840" s="472"/>
    </row>
    <row r="309841" spans="12:13" x14ac:dyDescent="0.25">
      <c r="L309841" s="472"/>
      <c r="M309841" s="472"/>
    </row>
    <row r="309913" spans="12:13" x14ac:dyDescent="0.25">
      <c r="L309913" s="472"/>
      <c r="M309913" s="472"/>
    </row>
    <row r="309914" spans="12:13" x14ac:dyDescent="0.25">
      <c r="L309914" s="472"/>
      <c r="M309914" s="472"/>
    </row>
    <row r="309915" spans="12:13" x14ac:dyDescent="0.25">
      <c r="L309915" s="472"/>
      <c r="M309915" s="472"/>
    </row>
    <row r="309987" spans="12:13" x14ac:dyDescent="0.25">
      <c r="L309987" s="472"/>
      <c r="M309987" s="472"/>
    </row>
    <row r="309988" spans="12:13" x14ac:dyDescent="0.25">
      <c r="L309988" s="472"/>
      <c r="M309988" s="472"/>
    </row>
    <row r="309989" spans="12:13" x14ac:dyDescent="0.25">
      <c r="L309989" s="472"/>
      <c r="M309989" s="472"/>
    </row>
    <row r="310061" spans="12:13" x14ac:dyDescent="0.25">
      <c r="L310061" s="472"/>
      <c r="M310061" s="472"/>
    </row>
    <row r="310062" spans="12:13" x14ac:dyDescent="0.25">
      <c r="L310062" s="472"/>
      <c r="M310062" s="472"/>
    </row>
    <row r="310063" spans="12:13" x14ac:dyDescent="0.25">
      <c r="L310063" s="472"/>
      <c r="M310063" s="472"/>
    </row>
    <row r="310135" spans="12:13" x14ac:dyDescent="0.25">
      <c r="L310135" s="472"/>
      <c r="M310135" s="472"/>
    </row>
    <row r="310136" spans="12:13" x14ac:dyDescent="0.25">
      <c r="L310136" s="472"/>
      <c r="M310136" s="472"/>
    </row>
    <row r="310137" spans="12:13" x14ac:dyDescent="0.25">
      <c r="L310137" s="472"/>
      <c r="M310137" s="472"/>
    </row>
    <row r="310209" spans="12:13" x14ac:dyDescent="0.25">
      <c r="L310209" s="472"/>
      <c r="M310209" s="472"/>
    </row>
    <row r="310210" spans="12:13" x14ac:dyDescent="0.25">
      <c r="L310210" s="472"/>
      <c r="M310210" s="472"/>
    </row>
    <row r="310211" spans="12:13" x14ac:dyDescent="0.25">
      <c r="L310211" s="472"/>
      <c r="M310211" s="472"/>
    </row>
    <row r="310283" spans="12:13" x14ac:dyDescent="0.25">
      <c r="L310283" s="472"/>
      <c r="M310283" s="472"/>
    </row>
    <row r="310284" spans="12:13" x14ac:dyDescent="0.25">
      <c r="L310284" s="472"/>
      <c r="M310284" s="472"/>
    </row>
    <row r="310285" spans="12:13" x14ac:dyDescent="0.25">
      <c r="L310285" s="472"/>
      <c r="M310285" s="472"/>
    </row>
    <row r="310357" spans="12:13" x14ac:dyDescent="0.25">
      <c r="L310357" s="472"/>
      <c r="M310357" s="472"/>
    </row>
    <row r="310358" spans="12:13" x14ac:dyDescent="0.25">
      <c r="L310358" s="472"/>
      <c r="M310358" s="472"/>
    </row>
    <row r="310359" spans="12:13" x14ac:dyDescent="0.25">
      <c r="L310359" s="472"/>
      <c r="M310359" s="472"/>
    </row>
    <row r="310431" spans="12:13" x14ac:dyDescent="0.25">
      <c r="L310431" s="472"/>
      <c r="M310431" s="472"/>
    </row>
    <row r="310432" spans="12:13" x14ac:dyDescent="0.25">
      <c r="L310432" s="472"/>
      <c r="M310432" s="472"/>
    </row>
    <row r="310433" spans="12:13" x14ac:dyDescent="0.25">
      <c r="L310433" s="472"/>
      <c r="M310433" s="472"/>
    </row>
    <row r="310505" spans="12:13" x14ac:dyDescent="0.25">
      <c r="L310505" s="472"/>
      <c r="M310505" s="472"/>
    </row>
    <row r="310506" spans="12:13" x14ac:dyDescent="0.25">
      <c r="L310506" s="472"/>
      <c r="M310506" s="472"/>
    </row>
    <row r="310507" spans="12:13" x14ac:dyDescent="0.25">
      <c r="L310507" s="472"/>
      <c r="M310507" s="472"/>
    </row>
    <row r="310579" spans="12:13" x14ac:dyDescent="0.25">
      <c r="L310579" s="472"/>
      <c r="M310579" s="472"/>
    </row>
    <row r="310580" spans="12:13" x14ac:dyDescent="0.25">
      <c r="L310580" s="472"/>
      <c r="M310580" s="472"/>
    </row>
    <row r="310581" spans="12:13" x14ac:dyDescent="0.25">
      <c r="L310581" s="472"/>
      <c r="M310581" s="472"/>
    </row>
    <row r="310653" spans="12:13" x14ac:dyDescent="0.25">
      <c r="L310653" s="472"/>
      <c r="M310653" s="472"/>
    </row>
    <row r="310654" spans="12:13" x14ac:dyDescent="0.25">
      <c r="L310654" s="472"/>
      <c r="M310654" s="472"/>
    </row>
    <row r="310655" spans="12:13" x14ac:dyDescent="0.25">
      <c r="L310655" s="472"/>
      <c r="M310655" s="472"/>
    </row>
    <row r="310727" spans="12:13" x14ac:dyDescent="0.25">
      <c r="L310727" s="472"/>
      <c r="M310727" s="472"/>
    </row>
    <row r="310728" spans="12:13" x14ac:dyDescent="0.25">
      <c r="L310728" s="472"/>
      <c r="M310728" s="472"/>
    </row>
    <row r="310729" spans="12:13" x14ac:dyDescent="0.25">
      <c r="L310729" s="472"/>
      <c r="M310729" s="472"/>
    </row>
    <row r="310801" spans="12:13" x14ac:dyDescent="0.25">
      <c r="L310801" s="472"/>
      <c r="M310801" s="472"/>
    </row>
    <row r="310802" spans="12:13" x14ac:dyDescent="0.25">
      <c r="L310802" s="472"/>
      <c r="M310802" s="472"/>
    </row>
    <row r="310803" spans="12:13" x14ac:dyDescent="0.25">
      <c r="L310803" s="472"/>
      <c r="M310803" s="472"/>
    </row>
    <row r="310875" spans="12:13" x14ac:dyDescent="0.25">
      <c r="L310875" s="472"/>
      <c r="M310875" s="472"/>
    </row>
    <row r="310876" spans="12:13" x14ac:dyDescent="0.25">
      <c r="L310876" s="472"/>
      <c r="M310876" s="472"/>
    </row>
    <row r="310877" spans="12:13" x14ac:dyDescent="0.25">
      <c r="L310877" s="472"/>
      <c r="M310877" s="472"/>
    </row>
    <row r="310949" spans="12:13" x14ac:dyDescent="0.25">
      <c r="L310949" s="472"/>
      <c r="M310949" s="472"/>
    </row>
    <row r="310950" spans="12:13" x14ac:dyDescent="0.25">
      <c r="L310950" s="472"/>
      <c r="M310950" s="472"/>
    </row>
    <row r="310951" spans="12:13" x14ac:dyDescent="0.25">
      <c r="L310951" s="472"/>
      <c r="M310951" s="472"/>
    </row>
    <row r="311023" spans="12:13" x14ac:dyDescent="0.25">
      <c r="L311023" s="472"/>
      <c r="M311023" s="472"/>
    </row>
    <row r="311024" spans="12:13" x14ac:dyDescent="0.25">
      <c r="L311024" s="472"/>
      <c r="M311024" s="472"/>
    </row>
    <row r="311025" spans="12:13" x14ac:dyDescent="0.25">
      <c r="L311025" s="472"/>
      <c r="M311025" s="472"/>
    </row>
    <row r="311097" spans="12:13" x14ac:dyDescent="0.25">
      <c r="L311097" s="472"/>
      <c r="M311097" s="472"/>
    </row>
    <row r="311098" spans="12:13" x14ac:dyDescent="0.25">
      <c r="L311098" s="472"/>
      <c r="M311098" s="472"/>
    </row>
    <row r="311099" spans="12:13" x14ac:dyDescent="0.25">
      <c r="L311099" s="472"/>
      <c r="M311099" s="472"/>
    </row>
    <row r="311171" spans="12:13" x14ac:dyDescent="0.25">
      <c r="L311171" s="472"/>
      <c r="M311171" s="472"/>
    </row>
    <row r="311172" spans="12:13" x14ac:dyDescent="0.25">
      <c r="L311172" s="472"/>
      <c r="M311172" s="472"/>
    </row>
    <row r="311173" spans="12:13" x14ac:dyDescent="0.25">
      <c r="L311173" s="472"/>
      <c r="M311173" s="472"/>
    </row>
    <row r="311245" spans="12:13" x14ac:dyDescent="0.25">
      <c r="L311245" s="472"/>
      <c r="M311245" s="472"/>
    </row>
    <row r="311246" spans="12:13" x14ac:dyDescent="0.25">
      <c r="L311246" s="472"/>
      <c r="M311246" s="472"/>
    </row>
    <row r="311247" spans="12:13" x14ac:dyDescent="0.25">
      <c r="L311247" s="472"/>
      <c r="M311247" s="472"/>
    </row>
    <row r="311319" spans="12:13" x14ac:dyDescent="0.25">
      <c r="L311319" s="472"/>
      <c r="M311319" s="472"/>
    </row>
    <row r="311320" spans="12:13" x14ac:dyDescent="0.25">
      <c r="L311320" s="472"/>
      <c r="M311320" s="472"/>
    </row>
    <row r="311321" spans="12:13" x14ac:dyDescent="0.25">
      <c r="L311321" s="472"/>
      <c r="M311321" s="472"/>
    </row>
    <row r="311393" spans="12:13" x14ac:dyDescent="0.25">
      <c r="L311393" s="472"/>
      <c r="M311393" s="472"/>
    </row>
    <row r="311394" spans="12:13" x14ac:dyDescent="0.25">
      <c r="L311394" s="472"/>
      <c r="M311394" s="472"/>
    </row>
    <row r="311395" spans="12:13" x14ac:dyDescent="0.25">
      <c r="L311395" s="472"/>
      <c r="M311395" s="472"/>
    </row>
    <row r="311467" spans="12:13" x14ac:dyDescent="0.25">
      <c r="L311467" s="472"/>
      <c r="M311467" s="472"/>
    </row>
    <row r="311468" spans="12:13" x14ac:dyDescent="0.25">
      <c r="L311468" s="472"/>
      <c r="M311468" s="472"/>
    </row>
    <row r="311469" spans="12:13" x14ac:dyDescent="0.25">
      <c r="L311469" s="472"/>
      <c r="M311469" s="472"/>
    </row>
    <row r="311541" spans="12:13" x14ac:dyDescent="0.25">
      <c r="L311541" s="472"/>
      <c r="M311541" s="472"/>
    </row>
    <row r="311542" spans="12:13" x14ac:dyDescent="0.25">
      <c r="L311542" s="472"/>
      <c r="M311542" s="472"/>
    </row>
    <row r="311543" spans="12:13" x14ac:dyDescent="0.25">
      <c r="L311543" s="472"/>
      <c r="M311543" s="472"/>
    </row>
    <row r="311615" spans="12:13" x14ac:dyDescent="0.25">
      <c r="L311615" s="472"/>
      <c r="M311615" s="472"/>
    </row>
    <row r="311616" spans="12:13" x14ac:dyDescent="0.25">
      <c r="L311616" s="472"/>
      <c r="M311616" s="472"/>
    </row>
    <row r="311617" spans="12:13" x14ac:dyDescent="0.25">
      <c r="L311617" s="472"/>
      <c r="M311617" s="472"/>
    </row>
    <row r="311689" spans="12:13" x14ac:dyDescent="0.25">
      <c r="L311689" s="472"/>
      <c r="M311689" s="472"/>
    </row>
    <row r="311690" spans="12:13" x14ac:dyDescent="0.25">
      <c r="L311690" s="472"/>
      <c r="M311690" s="472"/>
    </row>
    <row r="311691" spans="12:13" x14ac:dyDescent="0.25">
      <c r="L311691" s="472"/>
      <c r="M311691" s="472"/>
    </row>
    <row r="311763" spans="12:13" x14ac:dyDescent="0.25">
      <c r="L311763" s="472"/>
      <c r="M311763" s="472"/>
    </row>
    <row r="311764" spans="12:13" x14ac:dyDescent="0.25">
      <c r="L311764" s="472"/>
      <c r="M311764" s="472"/>
    </row>
    <row r="311765" spans="12:13" x14ac:dyDescent="0.25">
      <c r="L311765" s="472"/>
      <c r="M311765" s="472"/>
    </row>
    <row r="311837" spans="12:13" x14ac:dyDescent="0.25">
      <c r="L311837" s="472"/>
      <c r="M311837" s="472"/>
    </row>
    <row r="311838" spans="12:13" x14ac:dyDescent="0.25">
      <c r="L311838" s="472"/>
      <c r="M311838" s="472"/>
    </row>
    <row r="311839" spans="12:13" x14ac:dyDescent="0.25">
      <c r="L311839" s="472"/>
      <c r="M311839" s="472"/>
    </row>
    <row r="311911" spans="12:13" x14ac:dyDescent="0.25">
      <c r="L311911" s="472"/>
      <c r="M311911" s="472"/>
    </row>
    <row r="311912" spans="12:13" x14ac:dyDescent="0.25">
      <c r="L311912" s="472"/>
      <c r="M311912" s="472"/>
    </row>
    <row r="311913" spans="12:13" x14ac:dyDescent="0.25">
      <c r="L311913" s="472"/>
      <c r="M311913" s="472"/>
    </row>
    <row r="311985" spans="12:13" x14ac:dyDescent="0.25">
      <c r="L311985" s="472"/>
      <c r="M311985" s="472"/>
    </row>
    <row r="311986" spans="12:13" x14ac:dyDescent="0.25">
      <c r="L311986" s="472"/>
      <c r="M311986" s="472"/>
    </row>
    <row r="311987" spans="12:13" x14ac:dyDescent="0.25">
      <c r="L311987" s="472"/>
      <c r="M311987" s="472"/>
    </row>
    <row r="312059" spans="12:13" x14ac:dyDescent="0.25">
      <c r="L312059" s="472"/>
      <c r="M312059" s="472"/>
    </row>
    <row r="312060" spans="12:13" x14ac:dyDescent="0.25">
      <c r="L312060" s="472"/>
      <c r="M312060" s="472"/>
    </row>
    <row r="312061" spans="12:13" x14ac:dyDescent="0.25">
      <c r="L312061" s="472"/>
      <c r="M312061" s="472"/>
    </row>
    <row r="312133" spans="12:13" x14ac:dyDescent="0.25">
      <c r="L312133" s="472"/>
      <c r="M312133" s="472"/>
    </row>
    <row r="312134" spans="12:13" x14ac:dyDescent="0.25">
      <c r="L312134" s="472"/>
      <c r="M312134" s="472"/>
    </row>
    <row r="312135" spans="12:13" x14ac:dyDescent="0.25">
      <c r="L312135" s="472"/>
      <c r="M312135" s="472"/>
    </row>
    <row r="312207" spans="12:13" x14ac:dyDescent="0.25">
      <c r="L312207" s="472"/>
      <c r="M312207" s="472"/>
    </row>
    <row r="312208" spans="12:13" x14ac:dyDescent="0.25">
      <c r="L312208" s="472"/>
      <c r="M312208" s="472"/>
    </row>
    <row r="312209" spans="12:13" x14ac:dyDescent="0.25">
      <c r="L312209" s="472"/>
      <c r="M312209" s="472"/>
    </row>
    <row r="312281" spans="12:13" x14ac:dyDescent="0.25">
      <c r="L312281" s="472"/>
      <c r="M312281" s="472"/>
    </row>
    <row r="312282" spans="12:13" x14ac:dyDescent="0.25">
      <c r="L312282" s="472"/>
      <c r="M312282" s="472"/>
    </row>
    <row r="312283" spans="12:13" x14ac:dyDescent="0.25">
      <c r="L312283" s="472"/>
      <c r="M312283" s="472"/>
    </row>
    <row r="312355" spans="12:13" x14ac:dyDescent="0.25">
      <c r="L312355" s="472"/>
      <c r="M312355" s="472"/>
    </row>
    <row r="312356" spans="12:13" x14ac:dyDescent="0.25">
      <c r="L312356" s="472"/>
      <c r="M312356" s="472"/>
    </row>
    <row r="312357" spans="12:13" x14ac:dyDescent="0.25">
      <c r="L312357" s="472"/>
      <c r="M312357" s="472"/>
    </row>
    <row r="312429" spans="12:13" x14ac:dyDescent="0.25">
      <c r="L312429" s="472"/>
      <c r="M312429" s="472"/>
    </row>
    <row r="312430" spans="12:13" x14ac:dyDescent="0.25">
      <c r="L312430" s="472"/>
      <c r="M312430" s="472"/>
    </row>
    <row r="312431" spans="12:13" x14ac:dyDescent="0.25">
      <c r="L312431" s="472"/>
      <c r="M312431" s="472"/>
    </row>
    <row r="312503" spans="12:13" x14ac:dyDescent="0.25">
      <c r="L312503" s="472"/>
      <c r="M312503" s="472"/>
    </row>
    <row r="312504" spans="12:13" x14ac:dyDescent="0.25">
      <c r="L312504" s="472"/>
      <c r="M312504" s="472"/>
    </row>
    <row r="312505" spans="12:13" x14ac:dyDescent="0.25">
      <c r="L312505" s="472"/>
      <c r="M312505" s="472"/>
    </row>
    <row r="312577" spans="12:13" x14ac:dyDescent="0.25">
      <c r="L312577" s="472"/>
      <c r="M312577" s="472"/>
    </row>
    <row r="312578" spans="12:13" x14ac:dyDescent="0.25">
      <c r="L312578" s="472"/>
      <c r="M312578" s="472"/>
    </row>
    <row r="312579" spans="12:13" x14ac:dyDescent="0.25">
      <c r="L312579" s="472"/>
      <c r="M312579" s="472"/>
    </row>
    <row r="312651" spans="12:13" x14ac:dyDescent="0.25">
      <c r="L312651" s="472"/>
      <c r="M312651" s="472"/>
    </row>
    <row r="312652" spans="12:13" x14ac:dyDescent="0.25">
      <c r="L312652" s="472"/>
      <c r="M312652" s="472"/>
    </row>
    <row r="312653" spans="12:13" x14ac:dyDescent="0.25">
      <c r="L312653" s="472"/>
      <c r="M312653" s="472"/>
    </row>
    <row r="312725" spans="12:13" x14ac:dyDescent="0.25">
      <c r="L312725" s="472"/>
      <c r="M312725" s="472"/>
    </row>
    <row r="312726" spans="12:13" x14ac:dyDescent="0.25">
      <c r="L312726" s="472"/>
      <c r="M312726" s="472"/>
    </row>
    <row r="312727" spans="12:13" x14ac:dyDescent="0.25">
      <c r="L312727" s="472"/>
      <c r="M312727" s="472"/>
    </row>
    <row r="312799" spans="12:13" x14ac:dyDescent="0.25">
      <c r="L312799" s="472"/>
      <c r="M312799" s="472"/>
    </row>
    <row r="312800" spans="12:13" x14ac:dyDescent="0.25">
      <c r="L312800" s="472"/>
      <c r="M312800" s="472"/>
    </row>
    <row r="312801" spans="12:13" x14ac:dyDescent="0.25">
      <c r="L312801" s="472"/>
      <c r="M312801" s="472"/>
    </row>
    <row r="312873" spans="12:13" x14ac:dyDescent="0.25">
      <c r="L312873" s="472"/>
      <c r="M312873" s="472"/>
    </row>
    <row r="312874" spans="12:13" x14ac:dyDescent="0.25">
      <c r="L312874" s="472"/>
      <c r="M312874" s="472"/>
    </row>
    <row r="312875" spans="12:13" x14ac:dyDescent="0.25">
      <c r="L312875" s="472"/>
      <c r="M312875" s="472"/>
    </row>
    <row r="312947" spans="12:13" x14ac:dyDescent="0.25">
      <c r="L312947" s="472"/>
      <c r="M312947" s="472"/>
    </row>
    <row r="312948" spans="12:13" x14ac:dyDescent="0.25">
      <c r="L312948" s="472"/>
      <c r="M312948" s="472"/>
    </row>
    <row r="312949" spans="12:13" x14ac:dyDescent="0.25">
      <c r="L312949" s="472"/>
      <c r="M312949" s="472"/>
    </row>
    <row r="313021" spans="12:13" x14ac:dyDescent="0.25">
      <c r="L313021" s="472"/>
      <c r="M313021" s="472"/>
    </row>
    <row r="313022" spans="12:13" x14ac:dyDescent="0.25">
      <c r="L313022" s="472"/>
      <c r="M313022" s="472"/>
    </row>
    <row r="313023" spans="12:13" x14ac:dyDescent="0.25">
      <c r="L313023" s="472"/>
      <c r="M313023" s="472"/>
    </row>
    <row r="313095" spans="12:13" x14ac:dyDescent="0.25">
      <c r="L313095" s="472"/>
      <c r="M313095" s="472"/>
    </row>
    <row r="313096" spans="12:13" x14ac:dyDescent="0.25">
      <c r="L313096" s="472"/>
      <c r="M313096" s="472"/>
    </row>
    <row r="313097" spans="12:13" x14ac:dyDescent="0.25">
      <c r="L313097" s="472"/>
      <c r="M313097" s="472"/>
    </row>
    <row r="313169" spans="12:13" x14ac:dyDescent="0.25">
      <c r="L313169" s="472"/>
      <c r="M313169" s="472"/>
    </row>
    <row r="313170" spans="12:13" x14ac:dyDescent="0.25">
      <c r="L313170" s="472"/>
      <c r="M313170" s="472"/>
    </row>
    <row r="313171" spans="12:13" x14ac:dyDescent="0.25">
      <c r="L313171" s="472"/>
      <c r="M313171" s="472"/>
    </row>
    <row r="313243" spans="12:13" x14ac:dyDescent="0.25">
      <c r="L313243" s="472"/>
      <c r="M313243" s="472"/>
    </row>
    <row r="313244" spans="12:13" x14ac:dyDescent="0.25">
      <c r="L313244" s="472"/>
      <c r="M313244" s="472"/>
    </row>
    <row r="313245" spans="12:13" x14ac:dyDescent="0.25">
      <c r="L313245" s="472"/>
      <c r="M313245" s="472"/>
    </row>
    <row r="313317" spans="12:13" x14ac:dyDescent="0.25">
      <c r="L313317" s="472"/>
      <c r="M313317" s="472"/>
    </row>
    <row r="313318" spans="12:13" x14ac:dyDescent="0.25">
      <c r="L313318" s="472"/>
      <c r="M313318" s="472"/>
    </row>
    <row r="313319" spans="12:13" x14ac:dyDescent="0.25">
      <c r="L313319" s="472"/>
      <c r="M313319" s="472"/>
    </row>
    <row r="313391" spans="12:13" x14ac:dyDescent="0.25">
      <c r="L313391" s="472"/>
      <c r="M313391" s="472"/>
    </row>
    <row r="313392" spans="12:13" x14ac:dyDescent="0.25">
      <c r="L313392" s="472"/>
      <c r="M313392" s="472"/>
    </row>
    <row r="313393" spans="12:13" x14ac:dyDescent="0.25">
      <c r="L313393" s="472"/>
      <c r="M313393" s="472"/>
    </row>
    <row r="313465" spans="12:13" x14ac:dyDescent="0.25">
      <c r="L313465" s="472"/>
      <c r="M313465" s="472"/>
    </row>
    <row r="313466" spans="12:13" x14ac:dyDescent="0.25">
      <c r="L313466" s="472"/>
      <c r="M313466" s="472"/>
    </row>
    <row r="313467" spans="12:13" x14ac:dyDescent="0.25">
      <c r="L313467" s="472"/>
      <c r="M313467" s="472"/>
    </row>
    <row r="313539" spans="12:13" x14ac:dyDescent="0.25">
      <c r="L313539" s="472"/>
      <c r="M313539" s="472"/>
    </row>
    <row r="313540" spans="12:13" x14ac:dyDescent="0.25">
      <c r="L313540" s="472"/>
      <c r="M313540" s="472"/>
    </row>
    <row r="313541" spans="12:13" x14ac:dyDescent="0.25">
      <c r="L313541" s="472"/>
      <c r="M313541" s="472"/>
    </row>
    <row r="313613" spans="12:13" x14ac:dyDescent="0.25">
      <c r="L313613" s="472"/>
      <c r="M313613" s="472"/>
    </row>
    <row r="313614" spans="12:13" x14ac:dyDescent="0.25">
      <c r="L313614" s="472"/>
      <c r="M313614" s="472"/>
    </row>
    <row r="313615" spans="12:13" x14ac:dyDescent="0.25">
      <c r="L313615" s="472"/>
      <c r="M313615" s="472"/>
    </row>
    <row r="313687" spans="12:13" x14ac:dyDescent="0.25">
      <c r="L313687" s="472"/>
      <c r="M313687" s="472"/>
    </row>
    <row r="313688" spans="12:13" x14ac:dyDescent="0.25">
      <c r="L313688" s="472"/>
      <c r="M313688" s="472"/>
    </row>
    <row r="313689" spans="12:13" x14ac:dyDescent="0.25">
      <c r="L313689" s="472"/>
      <c r="M313689" s="472"/>
    </row>
    <row r="313761" spans="12:13" x14ac:dyDescent="0.25">
      <c r="L313761" s="472"/>
      <c r="M313761" s="472"/>
    </row>
    <row r="313762" spans="12:13" x14ac:dyDescent="0.25">
      <c r="L313762" s="472"/>
      <c r="M313762" s="472"/>
    </row>
    <row r="313763" spans="12:13" x14ac:dyDescent="0.25">
      <c r="L313763" s="472"/>
      <c r="M313763" s="472"/>
    </row>
    <row r="313835" spans="12:13" x14ac:dyDescent="0.25">
      <c r="L313835" s="472"/>
      <c r="M313835" s="472"/>
    </row>
    <row r="313836" spans="12:13" x14ac:dyDescent="0.25">
      <c r="L313836" s="472"/>
      <c r="M313836" s="472"/>
    </row>
    <row r="313837" spans="12:13" x14ac:dyDescent="0.25">
      <c r="L313837" s="472"/>
      <c r="M313837" s="472"/>
    </row>
    <row r="313909" spans="12:13" x14ac:dyDescent="0.25">
      <c r="L313909" s="472"/>
      <c r="M313909" s="472"/>
    </row>
    <row r="313910" spans="12:13" x14ac:dyDescent="0.25">
      <c r="L313910" s="472"/>
      <c r="M313910" s="472"/>
    </row>
    <row r="313911" spans="12:13" x14ac:dyDescent="0.25">
      <c r="L313911" s="472"/>
      <c r="M313911" s="472"/>
    </row>
    <row r="313983" spans="12:13" x14ac:dyDescent="0.25">
      <c r="L313983" s="472"/>
      <c r="M313983" s="472"/>
    </row>
    <row r="313984" spans="12:13" x14ac:dyDescent="0.25">
      <c r="L313984" s="472"/>
      <c r="M313984" s="472"/>
    </row>
    <row r="313985" spans="12:13" x14ac:dyDescent="0.25">
      <c r="L313985" s="472"/>
      <c r="M313985" s="472"/>
    </row>
    <row r="314057" spans="12:13" x14ac:dyDescent="0.25">
      <c r="L314057" s="472"/>
      <c r="M314057" s="472"/>
    </row>
    <row r="314058" spans="12:13" x14ac:dyDescent="0.25">
      <c r="L314058" s="472"/>
      <c r="M314058" s="472"/>
    </row>
    <row r="314059" spans="12:13" x14ac:dyDescent="0.25">
      <c r="L314059" s="472"/>
      <c r="M314059" s="472"/>
    </row>
    <row r="314131" spans="12:13" x14ac:dyDescent="0.25">
      <c r="L314131" s="472"/>
      <c r="M314131" s="472"/>
    </row>
    <row r="314132" spans="12:13" x14ac:dyDescent="0.25">
      <c r="L314132" s="472"/>
      <c r="M314132" s="472"/>
    </row>
    <row r="314133" spans="12:13" x14ac:dyDescent="0.25">
      <c r="L314133" s="472"/>
      <c r="M314133" s="472"/>
    </row>
    <row r="314205" spans="12:13" x14ac:dyDescent="0.25">
      <c r="L314205" s="472"/>
      <c r="M314205" s="472"/>
    </row>
    <row r="314206" spans="12:13" x14ac:dyDescent="0.25">
      <c r="L314206" s="472"/>
      <c r="M314206" s="472"/>
    </row>
    <row r="314207" spans="12:13" x14ac:dyDescent="0.25">
      <c r="L314207" s="472"/>
      <c r="M314207" s="472"/>
    </row>
    <row r="314279" spans="12:13" x14ac:dyDescent="0.25">
      <c r="L314279" s="472"/>
      <c r="M314279" s="472"/>
    </row>
    <row r="314280" spans="12:13" x14ac:dyDescent="0.25">
      <c r="L314280" s="472"/>
      <c r="M314280" s="472"/>
    </row>
    <row r="314281" spans="12:13" x14ac:dyDescent="0.25">
      <c r="L314281" s="472"/>
      <c r="M314281" s="472"/>
    </row>
    <row r="314353" spans="12:13" x14ac:dyDescent="0.25">
      <c r="L314353" s="472"/>
      <c r="M314353" s="472"/>
    </row>
    <row r="314354" spans="12:13" x14ac:dyDescent="0.25">
      <c r="L314354" s="472"/>
      <c r="M314354" s="472"/>
    </row>
    <row r="314355" spans="12:13" x14ac:dyDescent="0.25">
      <c r="L314355" s="472"/>
      <c r="M314355" s="472"/>
    </row>
    <row r="314427" spans="12:13" x14ac:dyDescent="0.25">
      <c r="L314427" s="472"/>
      <c r="M314427" s="472"/>
    </row>
    <row r="314428" spans="12:13" x14ac:dyDescent="0.25">
      <c r="L314428" s="472"/>
      <c r="M314428" s="472"/>
    </row>
    <row r="314429" spans="12:13" x14ac:dyDescent="0.25">
      <c r="L314429" s="472"/>
      <c r="M314429" s="472"/>
    </row>
    <row r="314501" spans="12:13" x14ac:dyDescent="0.25">
      <c r="L314501" s="472"/>
      <c r="M314501" s="472"/>
    </row>
    <row r="314502" spans="12:13" x14ac:dyDescent="0.25">
      <c r="L314502" s="472"/>
      <c r="M314502" s="472"/>
    </row>
    <row r="314503" spans="12:13" x14ac:dyDescent="0.25">
      <c r="L314503" s="472"/>
      <c r="M314503" s="472"/>
    </row>
    <row r="314575" spans="12:13" x14ac:dyDescent="0.25">
      <c r="L314575" s="472"/>
      <c r="M314575" s="472"/>
    </row>
    <row r="314576" spans="12:13" x14ac:dyDescent="0.25">
      <c r="L314576" s="472"/>
      <c r="M314576" s="472"/>
    </row>
    <row r="314577" spans="12:13" x14ac:dyDescent="0.25">
      <c r="L314577" s="472"/>
      <c r="M314577" s="472"/>
    </row>
    <row r="314649" spans="12:13" x14ac:dyDescent="0.25">
      <c r="L314649" s="472"/>
      <c r="M314649" s="472"/>
    </row>
    <row r="314650" spans="12:13" x14ac:dyDescent="0.25">
      <c r="L314650" s="472"/>
      <c r="M314650" s="472"/>
    </row>
    <row r="314651" spans="12:13" x14ac:dyDescent="0.25">
      <c r="L314651" s="472"/>
      <c r="M314651" s="472"/>
    </row>
    <row r="314723" spans="12:13" x14ac:dyDescent="0.25">
      <c r="L314723" s="472"/>
      <c r="M314723" s="472"/>
    </row>
    <row r="314724" spans="12:13" x14ac:dyDescent="0.25">
      <c r="L314724" s="472"/>
      <c r="M314724" s="472"/>
    </row>
    <row r="314725" spans="12:13" x14ac:dyDescent="0.25">
      <c r="L314725" s="472"/>
      <c r="M314725" s="472"/>
    </row>
    <row r="314797" spans="12:13" x14ac:dyDescent="0.25">
      <c r="L314797" s="472"/>
      <c r="M314797" s="472"/>
    </row>
    <row r="314798" spans="12:13" x14ac:dyDescent="0.25">
      <c r="L314798" s="472"/>
      <c r="M314798" s="472"/>
    </row>
    <row r="314799" spans="12:13" x14ac:dyDescent="0.25">
      <c r="L314799" s="472"/>
      <c r="M314799" s="472"/>
    </row>
    <row r="314871" spans="12:13" x14ac:dyDescent="0.25">
      <c r="L314871" s="472"/>
      <c r="M314871" s="472"/>
    </row>
    <row r="314872" spans="12:13" x14ac:dyDescent="0.25">
      <c r="L314872" s="472"/>
      <c r="M314872" s="472"/>
    </row>
    <row r="314873" spans="12:13" x14ac:dyDescent="0.25">
      <c r="L314873" s="472"/>
      <c r="M314873" s="472"/>
    </row>
    <row r="314945" spans="12:13" x14ac:dyDescent="0.25">
      <c r="L314945" s="472"/>
      <c r="M314945" s="472"/>
    </row>
    <row r="314946" spans="12:13" x14ac:dyDescent="0.25">
      <c r="L314946" s="472"/>
      <c r="M314946" s="472"/>
    </row>
    <row r="314947" spans="12:13" x14ac:dyDescent="0.25">
      <c r="L314947" s="472"/>
      <c r="M314947" s="472"/>
    </row>
    <row r="315019" spans="12:13" x14ac:dyDescent="0.25">
      <c r="L315019" s="472"/>
      <c r="M315019" s="472"/>
    </row>
    <row r="315020" spans="12:13" x14ac:dyDescent="0.25">
      <c r="L315020" s="472"/>
      <c r="M315020" s="472"/>
    </row>
    <row r="315021" spans="12:13" x14ac:dyDescent="0.25">
      <c r="L315021" s="472"/>
      <c r="M315021" s="472"/>
    </row>
    <row r="315093" spans="12:13" x14ac:dyDescent="0.25">
      <c r="L315093" s="472"/>
      <c r="M315093" s="472"/>
    </row>
    <row r="315094" spans="12:13" x14ac:dyDescent="0.25">
      <c r="L315094" s="472"/>
      <c r="M315094" s="472"/>
    </row>
    <row r="315095" spans="12:13" x14ac:dyDescent="0.25">
      <c r="L315095" s="472"/>
      <c r="M315095" s="472"/>
    </row>
    <row r="315167" spans="12:13" x14ac:dyDescent="0.25">
      <c r="L315167" s="472"/>
      <c r="M315167" s="472"/>
    </row>
    <row r="315168" spans="12:13" x14ac:dyDescent="0.25">
      <c r="L315168" s="472"/>
      <c r="M315168" s="472"/>
    </row>
    <row r="315169" spans="12:13" x14ac:dyDescent="0.25">
      <c r="L315169" s="472"/>
      <c r="M315169" s="472"/>
    </row>
    <row r="315241" spans="12:13" x14ac:dyDescent="0.25">
      <c r="L315241" s="472"/>
      <c r="M315241" s="472"/>
    </row>
    <row r="315242" spans="12:13" x14ac:dyDescent="0.25">
      <c r="L315242" s="472"/>
      <c r="M315242" s="472"/>
    </row>
    <row r="315243" spans="12:13" x14ac:dyDescent="0.25">
      <c r="L315243" s="472"/>
      <c r="M315243" s="472"/>
    </row>
    <row r="315315" spans="12:13" x14ac:dyDescent="0.25">
      <c r="L315315" s="472"/>
      <c r="M315315" s="472"/>
    </row>
    <row r="315316" spans="12:13" x14ac:dyDescent="0.25">
      <c r="L315316" s="472"/>
      <c r="M315316" s="472"/>
    </row>
    <row r="315317" spans="12:13" x14ac:dyDescent="0.25">
      <c r="L315317" s="472"/>
      <c r="M315317" s="472"/>
    </row>
    <row r="315389" spans="12:13" x14ac:dyDescent="0.25">
      <c r="L315389" s="472"/>
      <c r="M315389" s="472"/>
    </row>
    <row r="315390" spans="12:13" x14ac:dyDescent="0.25">
      <c r="L315390" s="472"/>
      <c r="M315390" s="472"/>
    </row>
    <row r="315391" spans="12:13" x14ac:dyDescent="0.25">
      <c r="L315391" s="472"/>
      <c r="M315391" s="472"/>
    </row>
    <row r="315463" spans="12:13" x14ac:dyDescent="0.25">
      <c r="L315463" s="472"/>
      <c r="M315463" s="472"/>
    </row>
    <row r="315464" spans="12:13" x14ac:dyDescent="0.25">
      <c r="L315464" s="472"/>
      <c r="M315464" s="472"/>
    </row>
    <row r="315465" spans="12:13" x14ac:dyDescent="0.25">
      <c r="L315465" s="472"/>
      <c r="M315465" s="472"/>
    </row>
    <row r="315537" spans="12:13" x14ac:dyDescent="0.25">
      <c r="L315537" s="472"/>
      <c r="M315537" s="472"/>
    </row>
    <row r="315538" spans="12:13" x14ac:dyDescent="0.25">
      <c r="L315538" s="472"/>
      <c r="M315538" s="472"/>
    </row>
    <row r="315539" spans="12:13" x14ac:dyDescent="0.25">
      <c r="L315539" s="472"/>
      <c r="M315539" s="472"/>
    </row>
    <row r="315611" spans="12:13" x14ac:dyDescent="0.25">
      <c r="L315611" s="472"/>
      <c r="M315611" s="472"/>
    </row>
    <row r="315612" spans="12:13" x14ac:dyDescent="0.25">
      <c r="L315612" s="472"/>
      <c r="M315612" s="472"/>
    </row>
    <row r="315613" spans="12:13" x14ac:dyDescent="0.25">
      <c r="L315613" s="472"/>
      <c r="M315613" s="472"/>
    </row>
    <row r="315685" spans="12:13" x14ac:dyDescent="0.25">
      <c r="L315685" s="472"/>
      <c r="M315685" s="472"/>
    </row>
    <row r="315686" spans="12:13" x14ac:dyDescent="0.25">
      <c r="L315686" s="472"/>
      <c r="M315686" s="472"/>
    </row>
    <row r="315687" spans="12:13" x14ac:dyDescent="0.25">
      <c r="L315687" s="472"/>
      <c r="M315687" s="472"/>
    </row>
    <row r="315759" spans="12:13" x14ac:dyDescent="0.25">
      <c r="L315759" s="472"/>
      <c r="M315759" s="472"/>
    </row>
    <row r="315760" spans="12:13" x14ac:dyDescent="0.25">
      <c r="L315760" s="472"/>
      <c r="M315760" s="472"/>
    </row>
    <row r="315761" spans="12:13" x14ac:dyDescent="0.25">
      <c r="L315761" s="472"/>
      <c r="M315761" s="472"/>
    </row>
    <row r="315833" spans="12:13" x14ac:dyDescent="0.25">
      <c r="L315833" s="472"/>
      <c r="M315833" s="472"/>
    </row>
    <row r="315834" spans="12:13" x14ac:dyDescent="0.25">
      <c r="L315834" s="472"/>
      <c r="M315834" s="472"/>
    </row>
    <row r="315835" spans="12:13" x14ac:dyDescent="0.25">
      <c r="L315835" s="472"/>
      <c r="M315835" s="472"/>
    </row>
    <row r="315907" spans="12:13" x14ac:dyDescent="0.25">
      <c r="L315907" s="472"/>
      <c r="M315907" s="472"/>
    </row>
    <row r="315908" spans="12:13" x14ac:dyDescent="0.25">
      <c r="L315908" s="472"/>
      <c r="M315908" s="472"/>
    </row>
    <row r="315909" spans="12:13" x14ac:dyDescent="0.25">
      <c r="L315909" s="472"/>
      <c r="M315909" s="472"/>
    </row>
    <row r="315981" spans="12:13" x14ac:dyDescent="0.25">
      <c r="L315981" s="472"/>
      <c r="M315981" s="472"/>
    </row>
    <row r="315982" spans="12:13" x14ac:dyDescent="0.25">
      <c r="L315982" s="472"/>
      <c r="M315982" s="472"/>
    </row>
    <row r="315983" spans="12:13" x14ac:dyDescent="0.25">
      <c r="L315983" s="472"/>
      <c r="M315983" s="472"/>
    </row>
    <row r="316055" spans="12:13" x14ac:dyDescent="0.25">
      <c r="L316055" s="472"/>
      <c r="M316055" s="472"/>
    </row>
    <row r="316056" spans="12:13" x14ac:dyDescent="0.25">
      <c r="L316056" s="472"/>
      <c r="M316056" s="472"/>
    </row>
    <row r="316057" spans="12:13" x14ac:dyDescent="0.25">
      <c r="L316057" s="472"/>
      <c r="M316057" s="472"/>
    </row>
    <row r="316129" spans="12:13" x14ac:dyDescent="0.25">
      <c r="L316129" s="472"/>
      <c r="M316129" s="472"/>
    </row>
    <row r="316130" spans="12:13" x14ac:dyDescent="0.25">
      <c r="L316130" s="472"/>
      <c r="M316130" s="472"/>
    </row>
    <row r="316131" spans="12:13" x14ac:dyDescent="0.25">
      <c r="L316131" s="472"/>
      <c r="M316131" s="472"/>
    </row>
    <row r="316203" spans="12:13" x14ac:dyDescent="0.25">
      <c r="L316203" s="472"/>
      <c r="M316203" s="472"/>
    </row>
    <row r="316204" spans="12:13" x14ac:dyDescent="0.25">
      <c r="L316204" s="472"/>
      <c r="M316204" s="472"/>
    </row>
    <row r="316205" spans="12:13" x14ac:dyDescent="0.25">
      <c r="L316205" s="472"/>
      <c r="M316205" s="472"/>
    </row>
    <row r="316277" spans="12:13" x14ac:dyDescent="0.25">
      <c r="L316277" s="472"/>
      <c r="M316277" s="472"/>
    </row>
    <row r="316278" spans="12:13" x14ac:dyDescent="0.25">
      <c r="L316278" s="472"/>
      <c r="M316278" s="472"/>
    </row>
    <row r="316279" spans="12:13" x14ac:dyDescent="0.25">
      <c r="L316279" s="472"/>
      <c r="M316279" s="472"/>
    </row>
    <row r="316351" spans="12:13" x14ac:dyDescent="0.25">
      <c r="L316351" s="472"/>
      <c r="M316351" s="472"/>
    </row>
    <row r="316352" spans="12:13" x14ac:dyDescent="0.25">
      <c r="L316352" s="472"/>
      <c r="M316352" s="472"/>
    </row>
    <row r="316353" spans="12:13" x14ac:dyDescent="0.25">
      <c r="L316353" s="472"/>
      <c r="M316353" s="472"/>
    </row>
    <row r="316425" spans="12:13" x14ac:dyDescent="0.25">
      <c r="L316425" s="472"/>
      <c r="M316425" s="472"/>
    </row>
    <row r="316426" spans="12:13" x14ac:dyDescent="0.25">
      <c r="L316426" s="472"/>
      <c r="M316426" s="472"/>
    </row>
    <row r="316427" spans="12:13" x14ac:dyDescent="0.25">
      <c r="L316427" s="472"/>
      <c r="M316427" s="472"/>
    </row>
    <row r="316499" spans="12:13" x14ac:dyDescent="0.25">
      <c r="L316499" s="472"/>
      <c r="M316499" s="472"/>
    </row>
    <row r="316500" spans="12:13" x14ac:dyDescent="0.25">
      <c r="L316500" s="472"/>
      <c r="M316500" s="472"/>
    </row>
    <row r="316501" spans="12:13" x14ac:dyDescent="0.25">
      <c r="L316501" s="472"/>
      <c r="M316501" s="472"/>
    </row>
    <row r="316573" spans="12:13" x14ac:dyDescent="0.25">
      <c r="L316573" s="472"/>
      <c r="M316573" s="472"/>
    </row>
    <row r="316574" spans="12:13" x14ac:dyDescent="0.25">
      <c r="L316574" s="472"/>
      <c r="M316574" s="472"/>
    </row>
    <row r="316575" spans="12:13" x14ac:dyDescent="0.25">
      <c r="L316575" s="472"/>
      <c r="M316575" s="472"/>
    </row>
    <row r="316647" spans="12:13" x14ac:dyDescent="0.25">
      <c r="L316647" s="472"/>
      <c r="M316647" s="472"/>
    </row>
    <row r="316648" spans="12:13" x14ac:dyDescent="0.25">
      <c r="L316648" s="472"/>
      <c r="M316648" s="472"/>
    </row>
    <row r="316649" spans="12:13" x14ac:dyDescent="0.25">
      <c r="L316649" s="472"/>
      <c r="M316649" s="472"/>
    </row>
    <row r="316721" spans="12:13" x14ac:dyDescent="0.25">
      <c r="L316721" s="472"/>
      <c r="M316721" s="472"/>
    </row>
    <row r="316722" spans="12:13" x14ac:dyDescent="0.25">
      <c r="L316722" s="472"/>
      <c r="M316722" s="472"/>
    </row>
    <row r="316723" spans="12:13" x14ac:dyDescent="0.25">
      <c r="L316723" s="472"/>
      <c r="M316723" s="472"/>
    </row>
    <row r="316795" spans="12:13" x14ac:dyDescent="0.25">
      <c r="L316795" s="472"/>
      <c r="M316795" s="472"/>
    </row>
    <row r="316796" spans="12:13" x14ac:dyDescent="0.25">
      <c r="L316796" s="472"/>
      <c r="M316796" s="472"/>
    </row>
    <row r="316797" spans="12:13" x14ac:dyDescent="0.25">
      <c r="L316797" s="472"/>
      <c r="M316797" s="472"/>
    </row>
    <row r="316869" spans="12:13" x14ac:dyDescent="0.25">
      <c r="L316869" s="472"/>
      <c r="M316869" s="472"/>
    </row>
    <row r="316870" spans="12:13" x14ac:dyDescent="0.25">
      <c r="L316870" s="472"/>
      <c r="M316870" s="472"/>
    </row>
    <row r="316871" spans="12:13" x14ac:dyDescent="0.25">
      <c r="L316871" s="472"/>
      <c r="M316871" s="472"/>
    </row>
    <row r="316943" spans="12:13" x14ac:dyDescent="0.25">
      <c r="L316943" s="472"/>
      <c r="M316943" s="472"/>
    </row>
    <row r="316944" spans="12:13" x14ac:dyDescent="0.25">
      <c r="L316944" s="472"/>
      <c r="M316944" s="472"/>
    </row>
    <row r="316945" spans="12:13" x14ac:dyDescent="0.25">
      <c r="L316945" s="472"/>
      <c r="M316945" s="472"/>
    </row>
    <row r="317017" spans="12:13" x14ac:dyDescent="0.25">
      <c r="L317017" s="472"/>
      <c r="M317017" s="472"/>
    </row>
    <row r="317018" spans="12:13" x14ac:dyDescent="0.25">
      <c r="L317018" s="472"/>
      <c r="M317018" s="472"/>
    </row>
    <row r="317019" spans="12:13" x14ac:dyDescent="0.25">
      <c r="L317019" s="472"/>
      <c r="M317019" s="472"/>
    </row>
    <row r="317091" spans="12:13" x14ac:dyDescent="0.25">
      <c r="L317091" s="472"/>
      <c r="M317091" s="472"/>
    </row>
    <row r="317092" spans="12:13" x14ac:dyDescent="0.25">
      <c r="L317092" s="472"/>
      <c r="M317092" s="472"/>
    </row>
    <row r="317093" spans="12:13" x14ac:dyDescent="0.25">
      <c r="L317093" s="472"/>
      <c r="M317093" s="472"/>
    </row>
    <row r="317165" spans="12:13" x14ac:dyDescent="0.25">
      <c r="L317165" s="472"/>
      <c r="M317165" s="472"/>
    </row>
    <row r="317166" spans="12:13" x14ac:dyDescent="0.25">
      <c r="L317166" s="472"/>
      <c r="M317166" s="472"/>
    </row>
    <row r="317167" spans="12:13" x14ac:dyDescent="0.25">
      <c r="L317167" s="472"/>
      <c r="M317167" s="472"/>
    </row>
    <row r="317239" spans="12:13" x14ac:dyDescent="0.25">
      <c r="L317239" s="472"/>
      <c r="M317239" s="472"/>
    </row>
    <row r="317240" spans="12:13" x14ac:dyDescent="0.25">
      <c r="L317240" s="472"/>
      <c r="M317240" s="472"/>
    </row>
    <row r="317241" spans="12:13" x14ac:dyDescent="0.25">
      <c r="L317241" s="472"/>
      <c r="M317241" s="472"/>
    </row>
    <row r="317313" spans="12:13" x14ac:dyDescent="0.25">
      <c r="L317313" s="472"/>
      <c r="M317313" s="472"/>
    </row>
    <row r="317314" spans="12:13" x14ac:dyDescent="0.25">
      <c r="L317314" s="472"/>
      <c r="M317314" s="472"/>
    </row>
    <row r="317315" spans="12:13" x14ac:dyDescent="0.25">
      <c r="L317315" s="472"/>
      <c r="M317315" s="472"/>
    </row>
    <row r="317387" spans="12:13" x14ac:dyDescent="0.25">
      <c r="L317387" s="472"/>
      <c r="M317387" s="472"/>
    </row>
    <row r="317388" spans="12:13" x14ac:dyDescent="0.25">
      <c r="L317388" s="472"/>
      <c r="M317388" s="472"/>
    </row>
    <row r="317389" spans="12:13" x14ac:dyDescent="0.25">
      <c r="L317389" s="472"/>
      <c r="M317389" s="472"/>
    </row>
    <row r="317461" spans="12:13" x14ac:dyDescent="0.25">
      <c r="L317461" s="472"/>
      <c r="M317461" s="472"/>
    </row>
    <row r="317462" spans="12:13" x14ac:dyDescent="0.25">
      <c r="L317462" s="472"/>
      <c r="M317462" s="472"/>
    </row>
    <row r="317463" spans="12:13" x14ac:dyDescent="0.25">
      <c r="L317463" s="472"/>
      <c r="M317463" s="472"/>
    </row>
    <row r="317535" spans="12:13" x14ac:dyDescent="0.25">
      <c r="L317535" s="472"/>
      <c r="M317535" s="472"/>
    </row>
    <row r="317536" spans="12:13" x14ac:dyDescent="0.25">
      <c r="L317536" s="472"/>
      <c r="M317536" s="472"/>
    </row>
    <row r="317537" spans="12:13" x14ac:dyDescent="0.25">
      <c r="L317537" s="472"/>
      <c r="M317537" s="472"/>
    </row>
    <row r="317609" spans="12:13" x14ac:dyDescent="0.25">
      <c r="L317609" s="472"/>
      <c r="M317609" s="472"/>
    </row>
    <row r="317610" spans="12:13" x14ac:dyDescent="0.25">
      <c r="L317610" s="472"/>
      <c r="M317610" s="472"/>
    </row>
    <row r="317611" spans="12:13" x14ac:dyDescent="0.25">
      <c r="L317611" s="472"/>
      <c r="M317611" s="472"/>
    </row>
    <row r="317683" spans="12:13" x14ac:dyDescent="0.25">
      <c r="L317683" s="472"/>
      <c r="M317683" s="472"/>
    </row>
    <row r="317684" spans="12:13" x14ac:dyDescent="0.25">
      <c r="L317684" s="472"/>
      <c r="M317684" s="472"/>
    </row>
    <row r="317685" spans="12:13" x14ac:dyDescent="0.25">
      <c r="L317685" s="472"/>
      <c r="M317685" s="472"/>
    </row>
    <row r="317757" spans="12:13" x14ac:dyDescent="0.25">
      <c r="L317757" s="472"/>
      <c r="M317757" s="472"/>
    </row>
    <row r="317758" spans="12:13" x14ac:dyDescent="0.25">
      <c r="L317758" s="472"/>
      <c r="M317758" s="472"/>
    </row>
    <row r="317759" spans="12:13" x14ac:dyDescent="0.25">
      <c r="L317759" s="472"/>
      <c r="M317759" s="472"/>
    </row>
    <row r="317831" spans="12:13" x14ac:dyDescent="0.25">
      <c r="L317831" s="472"/>
      <c r="M317831" s="472"/>
    </row>
    <row r="317832" spans="12:13" x14ac:dyDescent="0.25">
      <c r="L317832" s="472"/>
      <c r="M317832" s="472"/>
    </row>
    <row r="317833" spans="12:13" x14ac:dyDescent="0.25">
      <c r="L317833" s="472"/>
      <c r="M317833" s="472"/>
    </row>
    <row r="317905" spans="12:13" x14ac:dyDescent="0.25">
      <c r="L317905" s="472"/>
      <c r="M317905" s="472"/>
    </row>
    <row r="317906" spans="12:13" x14ac:dyDescent="0.25">
      <c r="L317906" s="472"/>
      <c r="M317906" s="472"/>
    </row>
    <row r="317907" spans="12:13" x14ac:dyDescent="0.25">
      <c r="L317907" s="472"/>
      <c r="M317907" s="472"/>
    </row>
    <row r="317979" spans="12:13" x14ac:dyDescent="0.25">
      <c r="L317979" s="472"/>
      <c r="M317979" s="472"/>
    </row>
    <row r="317980" spans="12:13" x14ac:dyDescent="0.25">
      <c r="L317980" s="472"/>
      <c r="M317980" s="472"/>
    </row>
    <row r="317981" spans="12:13" x14ac:dyDescent="0.25">
      <c r="L317981" s="472"/>
      <c r="M317981" s="472"/>
    </row>
    <row r="318053" spans="12:13" x14ac:dyDescent="0.25">
      <c r="L318053" s="472"/>
      <c r="M318053" s="472"/>
    </row>
    <row r="318054" spans="12:13" x14ac:dyDescent="0.25">
      <c r="L318054" s="472"/>
      <c r="M318054" s="472"/>
    </row>
    <row r="318055" spans="12:13" x14ac:dyDescent="0.25">
      <c r="L318055" s="472"/>
      <c r="M318055" s="472"/>
    </row>
    <row r="318127" spans="12:13" x14ac:dyDescent="0.25">
      <c r="L318127" s="472"/>
      <c r="M318127" s="472"/>
    </row>
    <row r="318128" spans="12:13" x14ac:dyDescent="0.25">
      <c r="L318128" s="472"/>
      <c r="M318128" s="472"/>
    </row>
    <row r="318129" spans="12:13" x14ac:dyDescent="0.25">
      <c r="L318129" s="472"/>
      <c r="M318129" s="472"/>
    </row>
    <row r="318201" spans="12:13" x14ac:dyDescent="0.25">
      <c r="L318201" s="472"/>
      <c r="M318201" s="472"/>
    </row>
    <row r="318202" spans="12:13" x14ac:dyDescent="0.25">
      <c r="L318202" s="472"/>
      <c r="M318202" s="472"/>
    </row>
    <row r="318203" spans="12:13" x14ac:dyDescent="0.25">
      <c r="L318203" s="472"/>
      <c r="M318203" s="472"/>
    </row>
    <row r="318275" spans="12:13" x14ac:dyDescent="0.25">
      <c r="L318275" s="472"/>
      <c r="M318275" s="472"/>
    </row>
    <row r="318276" spans="12:13" x14ac:dyDescent="0.25">
      <c r="L318276" s="472"/>
      <c r="M318276" s="472"/>
    </row>
    <row r="318277" spans="12:13" x14ac:dyDescent="0.25">
      <c r="L318277" s="472"/>
      <c r="M318277" s="472"/>
    </row>
    <row r="318349" spans="12:13" x14ac:dyDescent="0.25">
      <c r="L318349" s="472"/>
      <c r="M318349" s="472"/>
    </row>
    <row r="318350" spans="12:13" x14ac:dyDescent="0.25">
      <c r="L318350" s="472"/>
      <c r="M318350" s="472"/>
    </row>
    <row r="318351" spans="12:13" x14ac:dyDescent="0.25">
      <c r="L318351" s="472"/>
      <c r="M318351" s="472"/>
    </row>
    <row r="318423" spans="12:13" x14ac:dyDescent="0.25">
      <c r="L318423" s="472"/>
      <c r="M318423" s="472"/>
    </row>
    <row r="318424" spans="12:13" x14ac:dyDescent="0.25">
      <c r="L318424" s="472"/>
      <c r="M318424" s="472"/>
    </row>
    <row r="318425" spans="12:13" x14ac:dyDescent="0.25">
      <c r="L318425" s="472"/>
      <c r="M318425" s="472"/>
    </row>
    <row r="318497" spans="12:13" x14ac:dyDescent="0.25">
      <c r="L318497" s="472"/>
      <c r="M318497" s="472"/>
    </row>
    <row r="318498" spans="12:13" x14ac:dyDescent="0.25">
      <c r="L318498" s="472"/>
      <c r="M318498" s="472"/>
    </row>
    <row r="318499" spans="12:13" x14ac:dyDescent="0.25">
      <c r="L318499" s="472"/>
      <c r="M318499" s="472"/>
    </row>
    <row r="318571" spans="12:13" x14ac:dyDescent="0.25">
      <c r="L318571" s="472"/>
      <c r="M318571" s="472"/>
    </row>
    <row r="318572" spans="12:13" x14ac:dyDescent="0.25">
      <c r="L318572" s="472"/>
      <c r="M318572" s="472"/>
    </row>
    <row r="318573" spans="12:13" x14ac:dyDescent="0.25">
      <c r="L318573" s="472"/>
      <c r="M318573" s="472"/>
    </row>
    <row r="318645" spans="12:13" x14ac:dyDescent="0.25">
      <c r="L318645" s="472"/>
      <c r="M318645" s="472"/>
    </row>
    <row r="318646" spans="12:13" x14ac:dyDescent="0.25">
      <c r="L318646" s="472"/>
      <c r="M318646" s="472"/>
    </row>
    <row r="318647" spans="12:13" x14ac:dyDescent="0.25">
      <c r="L318647" s="472"/>
      <c r="M318647" s="472"/>
    </row>
    <row r="318719" spans="12:13" x14ac:dyDescent="0.25">
      <c r="L318719" s="472"/>
      <c r="M318719" s="472"/>
    </row>
    <row r="318720" spans="12:13" x14ac:dyDescent="0.25">
      <c r="L318720" s="472"/>
      <c r="M318720" s="472"/>
    </row>
    <row r="318721" spans="12:13" x14ac:dyDescent="0.25">
      <c r="L318721" s="472"/>
      <c r="M318721" s="472"/>
    </row>
    <row r="318793" spans="12:13" x14ac:dyDescent="0.25">
      <c r="L318793" s="472"/>
      <c r="M318793" s="472"/>
    </row>
    <row r="318794" spans="12:13" x14ac:dyDescent="0.25">
      <c r="L318794" s="472"/>
      <c r="M318794" s="472"/>
    </row>
    <row r="318795" spans="12:13" x14ac:dyDescent="0.25">
      <c r="L318795" s="472"/>
      <c r="M318795" s="472"/>
    </row>
    <row r="318867" spans="12:13" x14ac:dyDescent="0.25">
      <c r="L318867" s="472"/>
      <c r="M318867" s="472"/>
    </row>
    <row r="318868" spans="12:13" x14ac:dyDescent="0.25">
      <c r="L318868" s="472"/>
      <c r="M318868" s="472"/>
    </row>
    <row r="318869" spans="12:13" x14ac:dyDescent="0.25">
      <c r="L318869" s="472"/>
      <c r="M318869" s="472"/>
    </row>
    <row r="318941" spans="12:13" x14ac:dyDescent="0.25">
      <c r="L318941" s="472"/>
      <c r="M318941" s="472"/>
    </row>
    <row r="318942" spans="12:13" x14ac:dyDescent="0.25">
      <c r="L318942" s="472"/>
      <c r="M318942" s="472"/>
    </row>
    <row r="318943" spans="12:13" x14ac:dyDescent="0.25">
      <c r="L318943" s="472"/>
      <c r="M318943" s="472"/>
    </row>
    <row r="319015" spans="12:13" x14ac:dyDescent="0.25">
      <c r="L319015" s="472"/>
      <c r="M319015" s="472"/>
    </row>
    <row r="319016" spans="12:13" x14ac:dyDescent="0.25">
      <c r="L319016" s="472"/>
      <c r="M319016" s="472"/>
    </row>
    <row r="319017" spans="12:13" x14ac:dyDescent="0.25">
      <c r="L319017" s="472"/>
      <c r="M319017" s="472"/>
    </row>
    <row r="319089" spans="12:13" x14ac:dyDescent="0.25">
      <c r="L319089" s="472"/>
      <c r="M319089" s="472"/>
    </row>
    <row r="319090" spans="12:13" x14ac:dyDescent="0.25">
      <c r="L319090" s="472"/>
      <c r="M319090" s="472"/>
    </row>
    <row r="319091" spans="12:13" x14ac:dyDescent="0.25">
      <c r="L319091" s="472"/>
      <c r="M319091" s="472"/>
    </row>
    <row r="319163" spans="12:13" x14ac:dyDescent="0.25">
      <c r="L319163" s="472"/>
      <c r="M319163" s="472"/>
    </row>
    <row r="319164" spans="12:13" x14ac:dyDescent="0.25">
      <c r="L319164" s="472"/>
      <c r="M319164" s="472"/>
    </row>
    <row r="319165" spans="12:13" x14ac:dyDescent="0.25">
      <c r="L319165" s="472"/>
      <c r="M319165" s="472"/>
    </row>
    <row r="319237" spans="12:13" x14ac:dyDescent="0.25">
      <c r="L319237" s="472"/>
      <c r="M319237" s="472"/>
    </row>
    <row r="319238" spans="12:13" x14ac:dyDescent="0.25">
      <c r="L319238" s="472"/>
      <c r="M319238" s="472"/>
    </row>
    <row r="319239" spans="12:13" x14ac:dyDescent="0.25">
      <c r="L319239" s="472"/>
      <c r="M319239" s="472"/>
    </row>
    <row r="319311" spans="12:13" x14ac:dyDescent="0.25">
      <c r="L319311" s="472"/>
      <c r="M319311" s="472"/>
    </row>
    <row r="319312" spans="12:13" x14ac:dyDescent="0.25">
      <c r="L319312" s="472"/>
      <c r="M319312" s="472"/>
    </row>
    <row r="319313" spans="12:13" x14ac:dyDescent="0.25">
      <c r="L319313" s="472"/>
      <c r="M319313" s="472"/>
    </row>
    <row r="319385" spans="12:13" x14ac:dyDescent="0.25">
      <c r="L319385" s="472"/>
      <c r="M319385" s="472"/>
    </row>
    <row r="319386" spans="12:13" x14ac:dyDescent="0.25">
      <c r="L319386" s="472"/>
      <c r="M319386" s="472"/>
    </row>
    <row r="319387" spans="12:13" x14ac:dyDescent="0.25">
      <c r="L319387" s="472"/>
      <c r="M319387" s="472"/>
    </row>
    <row r="319459" spans="12:13" x14ac:dyDescent="0.25">
      <c r="L319459" s="472"/>
      <c r="M319459" s="472"/>
    </row>
    <row r="319460" spans="12:13" x14ac:dyDescent="0.25">
      <c r="L319460" s="472"/>
      <c r="M319460" s="472"/>
    </row>
    <row r="319461" spans="12:13" x14ac:dyDescent="0.25">
      <c r="L319461" s="472"/>
      <c r="M319461" s="472"/>
    </row>
    <row r="319533" spans="12:13" x14ac:dyDescent="0.25">
      <c r="L319533" s="472"/>
      <c r="M319533" s="472"/>
    </row>
    <row r="319534" spans="12:13" x14ac:dyDescent="0.25">
      <c r="L319534" s="472"/>
      <c r="M319534" s="472"/>
    </row>
    <row r="319535" spans="12:13" x14ac:dyDescent="0.25">
      <c r="L319535" s="472"/>
      <c r="M319535" s="472"/>
    </row>
    <row r="319607" spans="12:13" x14ac:dyDescent="0.25">
      <c r="L319607" s="472"/>
      <c r="M319607" s="472"/>
    </row>
    <row r="319608" spans="12:13" x14ac:dyDescent="0.25">
      <c r="L319608" s="472"/>
      <c r="M319608" s="472"/>
    </row>
    <row r="319609" spans="12:13" x14ac:dyDescent="0.25">
      <c r="L319609" s="472"/>
      <c r="M319609" s="472"/>
    </row>
    <row r="319681" spans="12:13" x14ac:dyDescent="0.25">
      <c r="L319681" s="472"/>
      <c r="M319681" s="472"/>
    </row>
    <row r="319682" spans="12:13" x14ac:dyDescent="0.25">
      <c r="L319682" s="472"/>
      <c r="M319682" s="472"/>
    </row>
    <row r="319683" spans="12:13" x14ac:dyDescent="0.25">
      <c r="L319683" s="472"/>
      <c r="M319683" s="472"/>
    </row>
    <row r="319755" spans="12:13" x14ac:dyDescent="0.25">
      <c r="L319755" s="472"/>
      <c r="M319755" s="472"/>
    </row>
    <row r="319756" spans="12:13" x14ac:dyDescent="0.25">
      <c r="L319756" s="472"/>
      <c r="M319756" s="472"/>
    </row>
    <row r="319757" spans="12:13" x14ac:dyDescent="0.25">
      <c r="L319757" s="472"/>
      <c r="M319757" s="472"/>
    </row>
    <row r="319829" spans="12:13" x14ac:dyDescent="0.25">
      <c r="L319829" s="472"/>
      <c r="M319829" s="472"/>
    </row>
    <row r="319830" spans="12:13" x14ac:dyDescent="0.25">
      <c r="L319830" s="472"/>
      <c r="M319830" s="472"/>
    </row>
    <row r="319831" spans="12:13" x14ac:dyDescent="0.25">
      <c r="L319831" s="472"/>
      <c r="M319831" s="472"/>
    </row>
    <row r="319903" spans="12:13" x14ac:dyDescent="0.25">
      <c r="L319903" s="472"/>
      <c r="M319903" s="472"/>
    </row>
    <row r="319904" spans="12:13" x14ac:dyDescent="0.25">
      <c r="L319904" s="472"/>
      <c r="M319904" s="472"/>
    </row>
    <row r="319905" spans="12:13" x14ac:dyDescent="0.25">
      <c r="L319905" s="472"/>
      <c r="M319905" s="472"/>
    </row>
    <row r="319977" spans="12:13" x14ac:dyDescent="0.25">
      <c r="L319977" s="472"/>
      <c r="M319977" s="472"/>
    </row>
    <row r="319978" spans="12:13" x14ac:dyDescent="0.25">
      <c r="L319978" s="472"/>
      <c r="M319978" s="472"/>
    </row>
    <row r="319979" spans="12:13" x14ac:dyDescent="0.25">
      <c r="L319979" s="472"/>
      <c r="M319979" s="472"/>
    </row>
    <row r="320051" spans="12:13" x14ac:dyDescent="0.25">
      <c r="L320051" s="472"/>
      <c r="M320051" s="472"/>
    </row>
    <row r="320052" spans="12:13" x14ac:dyDescent="0.25">
      <c r="L320052" s="472"/>
      <c r="M320052" s="472"/>
    </row>
    <row r="320053" spans="12:13" x14ac:dyDescent="0.25">
      <c r="L320053" s="472"/>
      <c r="M320053" s="472"/>
    </row>
    <row r="320125" spans="12:13" x14ac:dyDescent="0.25">
      <c r="L320125" s="472"/>
      <c r="M320125" s="472"/>
    </row>
    <row r="320126" spans="12:13" x14ac:dyDescent="0.25">
      <c r="L320126" s="472"/>
      <c r="M320126" s="472"/>
    </row>
    <row r="320127" spans="12:13" x14ac:dyDescent="0.25">
      <c r="L320127" s="472"/>
      <c r="M320127" s="472"/>
    </row>
    <row r="320199" spans="12:13" x14ac:dyDescent="0.25">
      <c r="L320199" s="472"/>
      <c r="M320199" s="472"/>
    </row>
    <row r="320200" spans="12:13" x14ac:dyDescent="0.25">
      <c r="L320200" s="472"/>
      <c r="M320200" s="472"/>
    </row>
    <row r="320201" spans="12:13" x14ac:dyDescent="0.25">
      <c r="L320201" s="472"/>
      <c r="M320201" s="472"/>
    </row>
    <row r="320273" spans="12:13" x14ac:dyDescent="0.25">
      <c r="L320273" s="472"/>
      <c r="M320273" s="472"/>
    </row>
    <row r="320274" spans="12:13" x14ac:dyDescent="0.25">
      <c r="L320274" s="472"/>
      <c r="M320274" s="472"/>
    </row>
    <row r="320275" spans="12:13" x14ac:dyDescent="0.25">
      <c r="L320275" s="472"/>
      <c r="M320275" s="472"/>
    </row>
    <row r="320347" spans="12:13" x14ac:dyDescent="0.25">
      <c r="L320347" s="472"/>
      <c r="M320347" s="472"/>
    </row>
    <row r="320348" spans="12:13" x14ac:dyDescent="0.25">
      <c r="L320348" s="472"/>
      <c r="M320348" s="472"/>
    </row>
    <row r="320349" spans="12:13" x14ac:dyDescent="0.25">
      <c r="L320349" s="472"/>
      <c r="M320349" s="472"/>
    </row>
    <row r="320421" spans="12:13" x14ac:dyDescent="0.25">
      <c r="L320421" s="472"/>
      <c r="M320421" s="472"/>
    </row>
    <row r="320422" spans="12:13" x14ac:dyDescent="0.25">
      <c r="L320422" s="472"/>
      <c r="M320422" s="472"/>
    </row>
    <row r="320423" spans="12:13" x14ac:dyDescent="0.25">
      <c r="L320423" s="472"/>
      <c r="M320423" s="472"/>
    </row>
    <row r="320495" spans="12:13" x14ac:dyDescent="0.25">
      <c r="L320495" s="472"/>
      <c r="M320495" s="472"/>
    </row>
    <row r="320496" spans="12:13" x14ac:dyDescent="0.25">
      <c r="L320496" s="472"/>
      <c r="M320496" s="472"/>
    </row>
    <row r="320497" spans="12:13" x14ac:dyDescent="0.25">
      <c r="L320497" s="472"/>
      <c r="M320497" s="472"/>
    </row>
    <row r="320569" spans="12:13" x14ac:dyDescent="0.25">
      <c r="L320569" s="472"/>
      <c r="M320569" s="472"/>
    </row>
    <row r="320570" spans="12:13" x14ac:dyDescent="0.25">
      <c r="L320570" s="472"/>
      <c r="M320570" s="472"/>
    </row>
    <row r="320571" spans="12:13" x14ac:dyDescent="0.25">
      <c r="L320571" s="472"/>
      <c r="M320571" s="472"/>
    </row>
    <row r="320643" spans="12:13" x14ac:dyDescent="0.25">
      <c r="L320643" s="472"/>
      <c r="M320643" s="472"/>
    </row>
    <row r="320644" spans="12:13" x14ac:dyDescent="0.25">
      <c r="L320644" s="472"/>
      <c r="M320644" s="472"/>
    </row>
    <row r="320645" spans="12:13" x14ac:dyDescent="0.25">
      <c r="L320645" s="472"/>
      <c r="M320645" s="472"/>
    </row>
    <row r="320717" spans="12:13" x14ac:dyDescent="0.25">
      <c r="L320717" s="472"/>
      <c r="M320717" s="472"/>
    </row>
    <row r="320718" spans="12:13" x14ac:dyDescent="0.25">
      <c r="L320718" s="472"/>
      <c r="M320718" s="472"/>
    </row>
    <row r="320719" spans="12:13" x14ac:dyDescent="0.25">
      <c r="L320719" s="472"/>
      <c r="M320719" s="472"/>
    </row>
    <row r="320791" spans="12:13" x14ac:dyDescent="0.25">
      <c r="L320791" s="472"/>
      <c r="M320791" s="472"/>
    </row>
    <row r="320792" spans="12:13" x14ac:dyDescent="0.25">
      <c r="L320792" s="472"/>
      <c r="M320792" s="472"/>
    </row>
    <row r="320793" spans="12:13" x14ac:dyDescent="0.25">
      <c r="L320793" s="472"/>
      <c r="M320793" s="472"/>
    </row>
    <row r="320865" spans="12:13" x14ac:dyDescent="0.25">
      <c r="L320865" s="472"/>
      <c r="M320865" s="472"/>
    </row>
    <row r="320866" spans="12:13" x14ac:dyDescent="0.25">
      <c r="L320866" s="472"/>
      <c r="M320866" s="472"/>
    </row>
    <row r="320867" spans="12:13" x14ac:dyDescent="0.25">
      <c r="L320867" s="472"/>
      <c r="M320867" s="472"/>
    </row>
    <row r="320939" spans="12:13" x14ac:dyDescent="0.25">
      <c r="L320939" s="472"/>
      <c r="M320939" s="472"/>
    </row>
    <row r="320940" spans="12:13" x14ac:dyDescent="0.25">
      <c r="L320940" s="472"/>
      <c r="M320940" s="472"/>
    </row>
    <row r="320941" spans="12:13" x14ac:dyDescent="0.25">
      <c r="L320941" s="472"/>
      <c r="M320941" s="472"/>
    </row>
    <row r="321013" spans="12:13" x14ac:dyDescent="0.25">
      <c r="L321013" s="472"/>
      <c r="M321013" s="472"/>
    </row>
    <row r="321014" spans="12:13" x14ac:dyDescent="0.25">
      <c r="L321014" s="472"/>
      <c r="M321014" s="472"/>
    </row>
    <row r="321015" spans="12:13" x14ac:dyDescent="0.25">
      <c r="L321015" s="472"/>
      <c r="M321015" s="472"/>
    </row>
    <row r="321087" spans="12:13" x14ac:dyDescent="0.25">
      <c r="L321087" s="472"/>
      <c r="M321087" s="472"/>
    </row>
    <row r="321088" spans="12:13" x14ac:dyDescent="0.25">
      <c r="L321088" s="472"/>
      <c r="M321088" s="472"/>
    </row>
    <row r="321089" spans="12:13" x14ac:dyDescent="0.25">
      <c r="L321089" s="472"/>
      <c r="M321089" s="472"/>
    </row>
    <row r="321161" spans="12:13" x14ac:dyDescent="0.25">
      <c r="L321161" s="472"/>
      <c r="M321161" s="472"/>
    </row>
    <row r="321162" spans="12:13" x14ac:dyDescent="0.25">
      <c r="L321162" s="472"/>
      <c r="M321162" s="472"/>
    </row>
    <row r="321163" spans="12:13" x14ac:dyDescent="0.25">
      <c r="L321163" s="472"/>
      <c r="M321163" s="472"/>
    </row>
    <row r="321235" spans="12:13" x14ac:dyDescent="0.25">
      <c r="L321235" s="472"/>
      <c r="M321235" s="472"/>
    </row>
    <row r="321236" spans="12:13" x14ac:dyDescent="0.25">
      <c r="L321236" s="472"/>
      <c r="M321236" s="472"/>
    </row>
    <row r="321237" spans="12:13" x14ac:dyDescent="0.25">
      <c r="L321237" s="472"/>
      <c r="M321237" s="472"/>
    </row>
    <row r="321309" spans="12:13" x14ac:dyDescent="0.25">
      <c r="L321309" s="472"/>
      <c r="M321309" s="472"/>
    </row>
    <row r="321310" spans="12:13" x14ac:dyDescent="0.25">
      <c r="L321310" s="472"/>
      <c r="M321310" s="472"/>
    </row>
    <row r="321311" spans="12:13" x14ac:dyDescent="0.25">
      <c r="L321311" s="472"/>
      <c r="M321311" s="472"/>
    </row>
    <row r="321383" spans="12:13" x14ac:dyDescent="0.25">
      <c r="L321383" s="472"/>
      <c r="M321383" s="472"/>
    </row>
    <row r="321384" spans="12:13" x14ac:dyDescent="0.25">
      <c r="L321384" s="472"/>
      <c r="M321384" s="472"/>
    </row>
    <row r="321385" spans="12:13" x14ac:dyDescent="0.25">
      <c r="L321385" s="472"/>
      <c r="M321385" s="472"/>
    </row>
    <row r="321457" spans="12:13" x14ac:dyDescent="0.25">
      <c r="L321457" s="472"/>
      <c r="M321457" s="472"/>
    </row>
    <row r="321458" spans="12:13" x14ac:dyDescent="0.25">
      <c r="L321458" s="472"/>
      <c r="M321458" s="472"/>
    </row>
    <row r="321459" spans="12:13" x14ac:dyDescent="0.25">
      <c r="L321459" s="472"/>
      <c r="M321459" s="472"/>
    </row>
    <row r="321531" spans="12:13" x14ac:dyDescent="0.25">
      <c r="L321531" s="472"/>
      <c r="M321531" s="472"/>
    </row>
    <row r="321532" spans="12:13" x14ac:dyDescent="0.25">
      <c r="L321532" s="472"/>
      <c r="M321532" s="472"/>
    </row>
    <row r="321533" spans="12:13" x14ac:dyDescent="0.25">
      <c r="L321533" s="472"/>
      <c r="M321533" s="472"/>
    </row>
    <row r="321605" spans="12:13" x14ac:dyDescent="0.25">
      <c r="L321605" s="472"/>
      <c r="M321605" s="472"/>
    </row>
    <row r="321606" spans="12:13" x14ac:dyDescent="0.25">
      <c r="L321606" s="472"/>
      <c r="M321606" s="472"/>
    </row>
    <row r="321607" spans="12:13" x14ac:dyDescent="0.25">
      <c r="L321607" s="472"/>
      <c r="M321607" s="472"/>
    </row>
    <row r="321679" spans="12:13" x14ac:dyDescent="0.25">
      <c r="L321679" s="472"/>
      <c r="M321679" s="472"/>
    </row>
    <row r="321680" spans="12:13" x14ac:dyDescent="0.25">
      <c r="L321680" s="472"/>
      <c r="M321680" s="472"/>
    </row>
    <row r="321681" spans="12:13" x14ac:dyDescent="0.25">
      <c r="L321681" s="472"/>
      <c r="M321681" s="472"/>
    </row>
    <row r="321753" spans="12:13" x14ac:dyDescent="0.25">
      <c r="L321753" s="472"/>
      <c r="M321753" s="472"/>
    </row>
    <row r="321754" spans="12:13" x14ac:dyDescent="0.25">
      <c r="L321754" s="472"/>
      <c r="M321754" s="472"/>
    </row>
    <row r="321755" spans="12:13" x14ac:dyDescent="0.25">
      <c r="L321755" s="472"/>
      <c r="M321755" s="472"/>
    </row>
    <row r="321827" spans="12:13" x14ac:dyDescent="0.25">
      <c r="L321827" s="472"/>
      <c r="M321827" s="472"/>
    </row>
    <row r="321828" spans="12:13" x14ac:dyDescent="0.25">
      <c r="L321828" s="472"/>
      <c r="M321828" s="472"/>
    </row>
    <row r="321829" spans="12:13" x14ac:dyDescent="0.25">
      <c r="L321829" s="472"/>
      <c r="M321829" s="472"/>
    </row>
    <row r="321901" spans="12:13" x14ac:dyDescent="0.25">
      <c r="L321901" s="472"/>
      <c r="M321901" s="472"/>
    </row>
    <row r="321902" spans="12:13" x14ac:dyDescent="0.25">
      <c r="L321902" s="472"/>
      <c r="M321902" s="472"/>
    </row>
    <row r="321903" spans="12:13" x14ac:dyDescent="0.25">
      <c r="L321903" s="472"/>
      <c r="M321903" s="472"/>
    </row>
    <row r="321975" spans="12:13" x14ac:dyDescent="0.25">
      <c r="L321975" s="472"/>
      <c r="M321975" s="472"/>
    </row>
    <row r="321976" spans="12:13" x14ac:dyDescent="0.25">
      <c r="L321976" s="472"/>
      <c r="M321976" s="472"/>
    </row>
    <row r="321977" spans="12:13" x14ac:dyDescent="0.25">
      <c r="L321977" s="472"/>
      <c r="M321977" s="472"/>
    </row>
    <row r="322049" spans="12:13" x14ac:dyDescent="0.25">
      <c r="L322049" s="472"/>
      <c r="M322049" s="472"/>
    </row>
    <row r="322050" spans="12:13" x14ac:dyDescent="0.25">
      <c r="L322050" s="472"/>
      <c r="M322050" s="472"/>
    </row>
    <row r="322051" spans="12:13" x14ac:dyDescent="0.25">
      <c r="L322051" s="472"/>
      <c r="M322051" s="472"/>
    </row>
    <row r="322123" spans="12:13" x14ac:dyDescent="0.25">
      <c r="L322123" s="472"/>
      <c r="M322123" s="472"/>
    </row>
    <row r="322124" spans="12:13" x14ac:dyDescent="0.25">
      <c r="L322124" s="472"/>
      <c r="M322124" s="472"/>
    </row>
    <row r="322125" spans="12:13" x14ac:dyDescent="0.25">
      <c r="L322125" s="472"/>
      <c r="M322125" s="472"/>
    </row>
    <row r="322197" spans="12:13" x14ac:dyDescent="0.25">
      <c r="L322197" s="472"/>
      <c r="M322197" s="472"/>
    </row>
    <row r="322198" spans="12:13" x14ac:dyDescent="0.25">
      <c r="L322198" s="472"/>
      <c r="M322198" s="472"/>
    </row>
    <row r="322199" spans="12:13" x14ac:dyDescent="0.25">
      <c r="L322199" s="472"/>
      <c r="M322199" s="472"/>
    </row>
    <row r="322271" spans="12:13" x14ac:dyDescent="0.25">
      <c r="L322271" s="472"/>
      <c r="M322271" s="472"/>
    </row>
    <row r="322272" spans="12:13" x14ac:dyDescent="0.25">
      <c r="L322272" s="472"/>
      <c r="M322272" s="472"/>
    </row>
    <row r="322273" spans="12:13" x14ac:dyDescent="0.25">
      <c r="L322273" s="472"/>
      <c r="M322273" s="472"/>
    </row>
    <row r="322345" spans="12:13" x14ac:dyDescent="0.25">
      <c r="L322345" s="472"/>
      <c r="M322345" s="472"/>
    </row>
    <row r="322346" spans="12:13" x14ac:dyDescent="0.25">
      <c r="L322346" s="472"/>
      <c r="M322346" s="472"/>
    </row>
    <row r="322347" spans="12:13" x14ac:dyDescent="0.25">
      <c r="L322347" s="472"/>
      <c r="M322347" s="472"/>
    </row>
    <row r="322419" spans="12:13" x14ac:dyDescent="0.25">
      <c r="L322419" s="472"/>
      <c r="M322419" s="472"/>
    </row>
    <row r="322420" spans="12:13" x14ac:dyDescent="0.25">
      <c r="L322420" s="472"/>
      <c r="M322420" s="472"/>
    </row>
    <row r="322421" spans="12:13" x14ac:dyDescent="0.25">
      <c r="L322421" s="472"/>
      <c r="M322421" s="472"/>
    </row>
    <row r="322493" spans="12:13" x14ac:dyDescent="0.25">
      <c r="L322493" s="472"/>
      <c r="M322493" s="472"/>
    </row>
    <row r="322494" spans="12:13" x14ac:dyDescent="0.25">
      <c r="L322494" s="472"/>
      <c r="M322494" s="472"/>
    </row>
    <row r="322495" spans="12:13" x14ac:dyDescent="0.25">
      <c r="L322495" s="472"/>
      <c r="M322495" s="472"/>
    </row>
    <row r="322567" spans="12:13" x14ac:dyDescent="0.25">
      <c r="L322567" s="472"/>
      <c r="M322567" s="472"/>
    </row>
    <row r="322568" spans="12:13" x14ac:dyDescent="0.25">
      <c r="L322568" s="472"/>
      <c r="M322568" s="472"/>
    </row>
    <row r="322569" spans="12:13" x14ac:dyDescent="0.25">
      <c r="L322569" s="472"/>
      <c r="M322569" s="472"/>
    </row>
    <row r="322641" spans="12:13" x14ac:dyDescent="0.25">
      <c r="L322641" s="472"/>
      <c r="M322641" s="472"/>
    </row>
    <row r="322642" spans="12:13" x14ac:dyDescent="0.25">
      <c r="L322642" s="472"/>
      <c r="M322642" s="472"/>
    </row>
    <row r="322643" spans="12:13" x14ac:dyDescent="0.25">
      <c r="L322643" s="472"/>
      <c r="M322643" s="472"/>
    </row>
    <row r="322715" spans="12:13" x14ac:dyDescent="0.25">
      <c r="L322715" s="472"/>
      <c r="M322715" s="472"/>
    </row>
    <row r="322716" spans="12:13" x14ac:dyDescent="0.25">
      <c r="L322716" s="472"/>
      <c r="M322716" s="472"/>
    </row>
    <row r="322717" spans="12:13" x14ac:dyDescent="0.25">
      <c r="L322717" s="472"/>
      <c r="M322717" s="472"/>
    </row>
    <row r="322789" spans="12:13" x14ac:dyDescent="0.25">
      <c r="L322789" s="472"/>
      <c r="M322789" s="472"/>
    </row>
    <row r="322790" spans="12:13" x14ac:dyDescent="0.25">
      <c r="L322790" s="472"/>
      <c r="M322790" s="472"/>
    </row>
    <row r="322791" spans="12:13" x14ac:dyDescent="0.25">
      <c r="L322791" s="472"/>
      <c r="M322791" s="472"/>
    </row>
    <row r="322863" spans="12:13" x14ac:dyDescent="0.25">
      <c r="L322863" s="472"/>
      <c r="M322863" s="472"/>
    </row>
    <row r="322864" spans="12:13" x14ac:dyDescent="0.25">
      <c r="L322864" s="472"/>
      <c r="M322864" s="472"/>
    </row>
    <row r="322865" spans="12:13" x14ac:dyDescent="0.25">
      <c r="L322865" s="472"/>
      <c r="M322865" s="472"/>
    </row>
    <row r="322937" spans="12:13" x14ac:dyDescent="0.25">
      <c r="L322937" s="472"/>
      <c r="M322937" s="472"/>
    </row>
    <row r="322938" spans="12:13" x14ac:dyDescent="0.25">
      <c r="L322938" s="472"/>
      <c r="M322938" s="472"/>
    </row>
    <row r="322939" spans="12:13" x14ac:dyDescent="0.25">
      <c r="L322939" s="472"/>
      <c r="M322939" s="472"/>
    </row>
    <row r="323011" spans="12:13" x14ac:dyDescent="0.25">
      <c r="L323011" s="472"/>
      <c r="M323011" s="472"/>
    </row>
    <row r="323012" spans="12:13" x14ac:dyDescent="0.25">
      <c r="L323012" s="472"/>
      <c r="M323012" s="472"/>
    </row>
    <row r="323013" spans="12:13" x14ac:dyDescent="0.25">
      <c r="L323013" s="472"/>
      <c r="M323013" s="472"/>
    </row>
    <row r="323085" spans="12:13" x14ac:dyDescent="0.25">
      <c r="L323085" s="472"/>
      <c r="M323085" s="472"/>
    </row>
    <row r="323086" spans="12:13" x14ac:dyDescent="0.25">
      <c r="L323086" s="472"/>
      <c r="M323086" s="472"/>
    </row>
    <row r="323087" spans="12:13" x14ac:dyDescent="0.25">
      <c r="L323087" s="472"/>
      <c r="M323087" s="472"/>
    </row>
    <row r="323159" spans="12:13" x14ac:dyDescent="0.25">
      <c r="L323159" s="472"/>
      <c r="M323159" s="472"/>
    </row>
    <row r="323160" spans="12:13" x14ac:dyDescent="0.25">
      <c r="L323160" s="472"/>
      <c r="M323160" s="472"/>
    </row>
    <row r="323161" spans="12:13" x14ac:dyDescent="0.25">
      <c r="L323161" s="472"/>
      <c r="M323161" s="472"/>
    </row>
    <row r="323233" spans="12:13" x14ac:dyDescent="0.25">
      <c r="L323233" s="472"/>
      <c r="M323233" s="472"/>
    </row>
    <row r="323234" spans="12:13" x14ac:dyDescent="0.25">
      <c r="L323234" s="472"/>
      <c r="M323234" s="472"/>
    </row>
    <row r="323235" spans="12:13" x14ac:dyDescent="0.25">
      <c r="L323235" s="472"/>
      <c r="M323235" s="472"/>
    </row>
    <row r="323307" spans="12:13" x14ac:dyDescent="0.25">
      <c r="L323307" s="472"/>
      <c r="M323307" s="472"/>
    </row>
    <row r="323308" spans="12:13" x14ac:dyDescent="0.25">
      <c r="L323308" s="472"/>
      <c r="M323308" s="472"/>
    </row>
    <row r="323309" spans="12:13" x14ac:dyDescent="0.25">
      <c r="L323309" s="472"/>
      <c r="M323309" s="472"/>
    </row>
    <row r="323381" spans="12:13" x14ac:dyDescent="0.25">
      <c r="L323381" s="472"/>
      <c r="M323381" s="472"/>
    </row>
    <row r="323382" spans="12:13" x14ac:dyDescent="0.25">
      <c r="L323382" s="472"/>
      <c r="M323382" s="472"/>
    </row>
    <row r="323383" spans="12:13" x14ac:dyDescent="0.25">
      <c r="L323383" s="472"/>
      <c r="M323383" s="472"/>
    </row>
    <row r="323455" spans="12:13" x14ac:dyDescent="0.25">
      <c r="L323455" s="472"/>
      <c r="M323455" s="472"/>
    </row>
    <row r="323456" spans="12:13" x14ac:dyDescent="0.25">
      <c r="L323456" s="472"/>
      <c r="M323456" s="472"/>
    </row>
    <row r="323457" spans="12:13" x14ac:dyDescent="0.25">
      <c r="L323457" s="472"/>
      <c r="M323457" s="472"/>
    </row>
    <row r="323529" spans="12:13" x14ac:dyDescent="0.25">
      <c r="L323529" s="472"/>
      <c r="M323529" s="472"/>
    </row>
    <row r="323530" spans="12:13" x14ac:dyDescent="0.25">
      <c r="L323530" s="472"/>
      <c r="M323530" s="472"/>
    </row>
    <row r="323531" spans="12:13" x14ac:dyDescent="0.25">
      <c r="L323531" s="472"/>
      <c r="M323531" s="472"/>
    </row>
    <row r="323603" spans="12:13" x14ac:dyDescent="0.25">
      <c r="L323603" s="472"/>
      <c r="M323603" s="472"/>
    </row>
    <row r="323604" spans="12:13" x14ac:dyDescent="0.25">
      <c r="L323604" s="472"/>
      <c r="M323604" s="472"/>
    </row>
    <row r="323605" spans="12:13" x14ac:dyDescent="0.25">
      <c r="L323605" s="472"/>
      <c r="M323605" s="472"/>
    </row>
    <row r="323677" spans="12:13" x14ac:dyDescent="0.25">
      <c r="L323677" s="472"/>
      <c r="M323677" s="472"/>
    </row>
    <row r="323678" spans="12:13" x14ac:dyDescent="0.25">
      <c r="L323678" s="472"/>
      <c r="M323678" s="472"/>
    </row>
    <row r="323679" spans="12:13" x14ac:dyDescent="0.25">
      <c r="L323679" s="472"/>
      <c r="M323679" s="472"/>
    </row>
    <row r="323751" spans="12:13" x14ac:dyDescent="0.25">
      <c r="L323751" s="472"/>
      <c r="M323751" s="472"/>
    </row>
    <row r="323752" spans="12:13" x14ac:dyDescent="0.25">
      <c r="L323752" s="472"/>
      <c r="M323752" s="472"/>
    </row>
    <row r="323753" spans="12:13" x14ac:dyDescent="0.25">
      <c r="L323753" s="472"/>
      <c r="M323753" s="472"/>
    </row>
    <row r="323825" spans="12:13" x14ac:dyDescent="0.25">
      <c r="L323825" s="472"/>
      <c r="M323825" s="472"/>
    </row>
    <row r="323826" spans="12:13" x14ac:dyDescent="0.25">
      <c r="L323826" s="472"/>
      <c r="M323826" s="472"/>
    </row>
    <row r="323827" spans="12:13" x14ac:dyDescent="0.25">
      <c r="L323827" s="472"/>
      <c r="M323827" s="472"/>
    </row>
    <row r="323899" spans="12:13" x14ac:dyDescent="0.25">
      <c r="L323899" s="472"/>
      <c r="M323899" s="472"/>
    </row>
    <row r="323900" spans="12:13" x14ac:dyDescent="0.25">
      <c r="L323900" s="472"/>
      <c r="M323900" s="472"/>
    </row>
    <row r="323901" spans="12:13" x14ac:dyDescent="0.25">
      <c r="L323901" s="472"/>
      <c r="M323901" s="472"/>
    </row>
    <row r="323973" spans="12:13" x14ac:dyDescent="0.25">
      <c r="L323973" s="472"/>
      <c r="M323973" s="472"/>
    </row>
    <row r="323974" spans="12:13" x14ac:dyDescent="0.25">
      <c r="L323974" s="472"/>
      <c r="M323974" s="472"/>
    </row>
    <row r="323975" spans="12:13" x14ac:dyDescent="0.25">
      <c r="L323975" s="472"/>
      <c r="M323975" s="472"/>
    </row>
    <row r="324047" spans="12:13" x14ac:dyDescent="0.25">
      <c r="L324047" s="472"/>
      <c r="M324047" s="472"/>
    </row>
    <row r="324048" spans="12:13" x14ac:dyDescent="0.25">
      <c r="L324048" s="472"/>
      <c r="M324048" s="472"/>
    </row>
    <row r="324049" spans="12:13" x14ac:dyDescent="0.25">
      <c r="L324049" s="472"/>
      <c r="M324049" s="472"/>
    </row>
    <row r="324121" spans="12:13" x14ac:dyDescent="0.25">
      <c r="L324121" s="472"/>
      <c r="M324121" s="472"/>
    </row>
    <row r="324122" spans="12:13" x14ac:dyDescent="0.25">
      <c r="L324122" s="472"/>
      <c r="M324122" s="472"/>
    </row>
    <row r="324123" spans="12:13" x14ac:dyDescent="0.25">
      <c r="L324123" s="472"/>
      <c r="M324123" s="472"/>
    </row>
    <row r="324195" spans="12:13" x14ac:dyDescent="0.25">
      <c r="L324195" s="472"/>
      <c r="M324195" s="472"/>
    </row>
    <row r="324196" spans="12:13" x14ac:dyDescent="0.25">
      <c r="L324196" s="472"/>
      <c r="M324196" s="472"/>
    </row>
    <row r="324197" spans="12:13" x14ac:dyDescent="0.25">
      <c r="L324197" s="472"/>
      <c r="M324197" s="472"/>
    </row>
    <row r="324269" spans="12:13" x14ac:dyDescent="0.25">
      <c r="L324269" s="472"/>
      <c r="M324269" s="472"/>
    </row>
    <row r="324270" spans="12:13" x14ac:dyDescent="0.25">
      <c r="L324270" s="472"/>
      <c r="M324270" s="472"/>
    </row>
    <row r="324271" spans="12:13" x14ac:dyDescent="0.25">
      <c r="L324271" s="472"/>
      <c r="M324271" s="472"/>
    </row>
    <row r="324343" spans="12:13" x14ac:dyDescent="0.25">
      <c r="L324343" s="472"/>
      <c r="M324343" s="472"/>
    </row>
    <row r="324344" spans="12:13" x14ac:dyDescent="0.25">
      <c r="L324344" s="472"/>
      <c r="M324344" s="472"/>
    </row>
    <row r="324345" spans="12:13" x14ac:dyDescent="0.25">
      <c r="L324345" s="472"/>
      <c r="M324345" s="472"/>
    </row>
    <row r="324417" spans="12:13" x14ac:dyDescent="0.25">
      <c r="L324417" s="472"/>
      <c r="M324417" s="472"/>
    </row>
    <row r="324418" spans="12:13" x14ac:dyDescent="0.25">
      <c r="L324418" s="472"/>
      <c r="M324418" s="472"/>
    </row>
    <row r="324419" spans="12:13" x14ac:dyDescent="0.25">
      <c r="L324419" s="472"/>
      <c r="M324419" s="472"/>
    </row>
    <row r="324491" spans="12:13" x14ac:dyDescent="0.25">
      <c r="L324491" s="472"/>
      <c r="M324491" s="472"/>
    </row>
    <row r="324492" spans="12:13" x14ac:dyDescent="0.25">
      <c r="L324492" s="472"/>
      <c r="M324492" s="472"/>
    </row>
    <row r="324493" spans="12:13" x14ac:dyDescent="0.25">
      <c r="L324493" s="472"/>
      <c r="M324493" s="472"/>
    </row>
    <row r="324565" spans="12:13" x14ac:dyDescent="0.25">
      <c r="L324565" s="472"/>
      <c r="M324565" s="472"/>
    </row>
    <row r="324566" spans="12:13" x14ac:dyDescent="0.25">
      <c r="L324566" s="472"/>
      <c r="M324566" s="472"/>
    </row>
    <row r="324567" spans="12:13" x14ac:dyDescent="0.25">
      <c r="L324567" s="472"/>
      <c r="M324567" s="472"/>
    </row>
    <row r="324639" spans="12:13" x14ac:dyDescent="0.25">
      <c r="L324639" s="472"/>
      <c r="M324639" s="472"/>
    </row>
    <row r="324640" spans="12:13" x14ac:dyDescent="0.25">
      <c r="L324640" s="472"/>
      <c r="M324640" s="472"/>
    </row>
    <row r="324641" spans="12:13" x14ac:dyDescent="0.25">
      <c r="L324641" s="472"/>
      <c r="M324641" s="472"/>
    </row>
    <row r="324713" spans="12:13" x14ac:dyDescent="0.25">
      <c r="L324713" s="472"/>
      <c r="M324713" s="472"/>
    </row>
    <row r="324714" spans="12:13" x14ac:dyDescent="0.25">
      <c r="L324714" s="472"/>
      <c r="M324714" s="472"/>
    </row>
    <row r="324715" spans="12:13" x14ac:dyDescent="0.25">
      <c r="L324715" s="472"/>
      <c r="M324715" s="472"/>
    </row>
    <row r="324787" spans="12:13" x14ac:dyDescent="0.25">
      <c r="L324787" s="472"/>
      <c r="M324787" s="472"/>
    </row>
    <row r="324788" spans="12:13" x14ac:dyDescent="0.25">
      <c r="L324788" s="472"/>
      <c r="M324788" s="472"/>
    </row>
    <row r="324789" spans="12:13" x14ac:dyDescent="0.25">
      <c r="L324789" s="472"/>
      <c r="M324789" s="472"/>
    </row>
    <row r="324861" spans="12:13" x14ac:dyDescent="0.25">
      <c r="L324861" s="472"/>
      <c r="M324861" s="472"/>
    </row>
    <row r="324862" spans="12:13" x14ac:dyDescent="0.25">
      <c r="L324862" s="472"/>
      <c r="M324862" s="472"/>
    </row>
    <row r="324863" spans="12:13" x14ac:dyDescent="0.25">
      <c r="L324863" s="472"/>
      <c r="M324863" s="472"/>
    </row>
    <row r="324935" spans="12:13" x14ac:dyDescent="0.25">
      <c r="L324935" s="472"/>
      <c r="M324935" s="472"/>
    </row>
    <row r="324936" spans="12:13" x14ac:dyDescent="0.25">
      <c r="L324936" s="472"/>
      <c r="M324936" s="472"/>
    </row>
    <row r="324937" spans="12:13" x14ac:dyDescent="0.25">
      <c r="L324937" s="472"/>
      <c r="M324937" s="472"/>
    </row>
    <row r="325009" spans="12:13" x14ac:dyDescent="0.25">
      <c r="L325009" s="472"/>
      <c r="M325009" s="472"/>
    </row>
    <row r="325010" spans="12:13" x14ac:dyDescent="0.25">
      <c r="L325010" s="472"/>
      <c r="M325010" s="472"/>
    </row>
    <row r="325011" spans="12:13" x14ac:dyDescent="0.25">
      <c r="L325011" s="472"/>
      <c r="M325011" s="472"/>
    </row>
    <row r="325083" spans="12:13" x14ac:dyDescent="0.25">
      <c r="L325083" s="472"/>
      <c r="M325083" s="472"/>
    </row>
    <row r="325084" spans="12:13" x14ac:dyDescent="0.25">
      <c r="L325084" s="472"/>
      <c r="M325084" s="472"/>
    </row>
    <row r="325085" spans="12:13" x14ac:dyDescent="0.25">
      <c r="L325085" s="472"/>
      <c r="M325085" s="472"/>
    </row>
    <row r="325157" spans="12:13" x14ac:dyDescent="0.25">
      <c r="L325157" s="472"/>
      <c r="M325157" s="472"/>
    </row>
    <row r="325158" spans="12:13" x14ac:dyDescent="0.25">
      <c r="L325158" s="472"/>
      <c r="M325158" s="472"/>
    </row>
    <row r="325159" spans="12:13" x14ac:dyDescent="0.25">
      <c r="L325159" s="472"/>
      <c r="M325159" s="472"/>
    </row>
    <row r="325231" spans="12:13" x14ac:dyDescent="0.25">
      <c r="L325231" s="472"/>
      <c r="M325231" s="472"/>
    </row>
    <row r="325232" spans="12:13" x14ac:dyDescent="0.25">
      <c r="L325232" s="472"/>
      <c r="M325232" s="472"/>
    </row>
    <row r="325233" spans="12:13" x14ac:dyDescent="0.25">
      <c r="L325233" s="472"/>
      <c r="M325233" s="472"/>
    </row>
    <row r="325305" spans="12:13" x14ac:dyDescent="0.25">
      <c r="L325305" s="472"/>
      <c r="M325305" s="472"/>
    </row>
    <row r="325306" spans="12:13" x14ac:dyDescent="0.25">
      <c r="L325306" s="472"/>
      <c r="M325306" s="472"/>
    </row>
    <row r="325307" spans="12:13" x14ac:dyDescent="0.25">
      <c r="L325307" s="472"/>
      <c r="M325307" s="472"/>
    </row>
    <row r="325379" spans="12:13" x14ac:dyDescent="0.25">
      <c r="L325379" s="472"/>
      <c r="M325379" s="472"/>
    </row>
    <row r="325380" spans="12:13" x14ac:dyDescent="0.25">
      <c r="L325380" s="472"/>
      <c r="M325380" s="472"/>
    </row>
    <row r="325381" spans="12:13" x14ac:dyDescent="0.25">
      <c r="L325381" s="472"/>
      <c r="M325381" s="472"/>
    </row>
    <row r="325453" spans="12:13" x14ac:dyDescent="0.25">
      <c r="L325453" s="472"/>
      <c r="M325453" s="472"/>
    </row>
    <row r="325454" spans="12:13" x14ac:dyDescent="0.25">
      <c r="L325454" s="472"/>
      <c r="M325454" s="472"/>
    </row>
    <row r="325455" spans="12:13" x14ac:dyDescent="0.25">
      <c r="L325455" s="472"/>
      <c r="M325455" s="472"/>
    </row>
    <row r="325527" spans="12:13" x14ac:dyDescent="0.25">
      <c r="L325527" s="472"/>
      <c r="M325527" s="472"/>
    </row>
    <row r="325528" spans="12:13" x14ac:dyDescent="0.25">
      <c r="L325528" s="472"/>
      <c r="M325528" s="472"/>
    </row>
    <row r="325529" spans="12:13" x14ac:dyDescent="0.25">
      <c r="L325529" s="472"/>
      <c r="M325529" s="472"/>
    </row>
    <row r="325601" spans="12:13" x14ac:dyDescent="0.25">
      <c r="L325601" s="472"/>
      <c r="M325601" s="472"/>
    </row>
    <row r="325602" spans="12:13" x14ac:dyDescent="0.25">
      <c r="L325602" s="472"/>
      <c r="M325602" s="472"/>
    </row>
    <row r="325603" spans="12:13" x14ac:dyDescent="0.25">
      <c r="L325603" s="472"/>
      <c r="M325603" s="472"/>
    </row>
    <row r="325675" spans="12:13" x14ac:dyDescent="0.25">
      <c r="L325675" s="472"/>
      <c r="M325675" s="472"/>
    </row>
    <row r="325676" spans="12:13" x14ac:dyDescent="0.25">
      <c r="L325676" s="472"/>
      <c r="M325676" s="472"/>
    </row>
    <row r="325677" spans="12:13" x14ac:dyDescent="0.25">
      <c r="L325677" s="472"/>
      <c r="M325677" s="472"/>
    </row>
    <row r="325749" spans="12:13" x14ac:dyDescent="0.25">
      <c r="L325749" s="472"/>
      <c r="M325749" s="472"/>
    </row>
    <row r="325750" spans="12:13" x14ac:dyDescent="0.25">
      <c r="L325750" s="472"/>
      <c r="M325750" s="472"/>
    </row>
    <row r="325751" spans="12:13" x14ac:dyDescent="0.25">
      <c r="L325751" s="472"/>
      <c r="M325751" s="472"/>
    </row>
    <row r="325823" spans="12:13" x14ac:dyDescent="0.25">
      <c r="L325823" s="472"/>
      <c r="M325823" s="472"/>
    </row>
    <row r="325824" spans="12:13" x14ac:dyDescent="0.25">
      <c r="L325824" s="472"/>
      <c r="M325824" s="472"/>
    </row>
    <row r="325825" spans="12:13" x14ac:dyDescent="0.25">
      <c r="L325825" s="472"/>
      <c r="M325825" s="472"/>
    </row>
    <row r="325897" spans="12:13" x14ac:dyDescent="0.25">
      <c r="L325897" s="472"/>
      <c r="M325897" s="472"/>
    </row>
    <row r="325898" spans="12:13" x14ac:dyDescent="0.25">
      <c r="L325898" s="472"/>
      <c r="M325898" s="472"/>
    </row>
    <row r="325899" spans="12:13" x14ac:dyDescent="0.25">
      <c r="L325899" s="472"/>
      <c r="M325899" s="472"/>
    </row>
    <row r="325971" spans="12:13" x14ac:dyDescent="0.25">
      <c r="L325971" s="472"/>
      <c r="M325971" s="472"/>
    </row>
    <row r="325972" spans="12:13" x14ac:dyDescent="0.25">
      <c r="L325972" s="472"/>
      <c r="M325972" s="472"/>
    </row>
    <row r="325973" spans="12:13" x14ac:dyDescent="0.25">
      <c r="L325973" s="472"/>
      <c r="M325973" s="472"/>
    </row>
    <row r="326045" spans="12:13" x14ac:dyDescent="0.25">
      <c r="L326045" s="472"/>
      <c r="M326045" s="472"/>
    </row>
    <row r="326046" spans="12:13" x14ac:dyDescent="0.25">
      <c r="L326046" s="472"/>
      <c r="M326046" s="472"/>
    </row>
    <row r="326047" spans="12:13" x14ac:dyDescent="0.25">
      <c r="L326047" s="472"/>
      <c r="M326047" s="472"/>
    </row>
    <row r="326119" spans="12:13" x14ac:dyDescent="0.25">
      <c r="L326119" s="472"/>
      <c r="M326119" s="472"/>
    </row>
    <row r="326120" spans="12:13" x14ac:dyDescent="0.25">
      <c r="L326120" s="472"/>
      <c r="M326120" s="472"/>
    </row>
    <row r="326121" spans="12:13" x14ac:dyDescent="0.25">
      <c r="L326121" s="472"/>
      <c r="M326121" s="472"/>
    </row>
    <row r="326193" spans="12:13" x14ac:dyDescent="0.25">
      <c r="L326193" s="472"/>
      <c r="M326193" s="472"/>
    </row>
    <row r="326194" spans="12:13" x14ac:dyDescent="0.25">
      <c r="L326194" s="472"/>
      <c r="M326194" s="472"/>
    </row>
    <row r="326195" spans="12:13" x14ac:dyDescent="0.25">
      <c r="L326195" s="472"/>
      <c r="M326195" s="472"/>
    </row>
    <row r="326267" spans="12:13" x14ac:dyDescent="0.25">
      <c r="L326267" s="472"/>
      <c r="M326267" s="472"/>
    </row>
    <row r="326268" spans="12:13" x14ac:dyDescent="0.25">
      <c r="L326268" s="472"/>
      <c r="M326268" s="472"/>
    </row>
    <row r="326269" spans="12:13" x14ac:dyDescent="0.25">
      <c r="L326269" s="472"/>
      <c r="M326269" s="472"/>
    </row>
    <row r="326341" spans="12:13" x14ac:dyDescent="0.25">
      <c r="L326341" s="472"/>
      <c r="M326341" s="472"/>
    </row>
    <row r="326342" spans="12:13" x14ac:dyDescent="0.25">
      <c r="L326342" s="472"/>
      <c r="M326342" s="472"/>
    </row>
    <row r="326343" spans="12:13" x14ac:dyDescent="0.25">
      <c r="L326343" s="472"/>
      <c r="M326343" s="472"/>
    </row>
    <row r="326415" spans="12:13" x14ac:dyDescent="0.25">
      <c r="L326415" s="472"/>
      <c r="M326415" s="472"/>
    </row>
    <row r="326416" spans="12:13" x14ac:dyDescent="0.25">
      <c r="L326416" s="472"/>
      <c r="M326416" s="472"/>
    </row>
    <row r="326417" spans="12:13" x14ac:dyDescent="0.25">
      <c r="L326417" s="472"/>
      <c r="M326417" s="472"/>
    </row>
    <row r="326489" spans="12:13" x14ac:dyDescent="0.25">
      <c r="L326489" s="472"/>
      <c r="M326489" s="472"/>
    </row>
    <row r="326490" spans="12:13" x14ac:dyDescent="0.25">
      <c r="L326490" s="472"/>
      <c r="M326490" s="472"/>
    </row>
    <row r="326491" spans="12:13" x14ac:dyDescent="0.25">
      <c r="L326491" s="472"/>
      <c r="M326491" s="472"/>
    </row>
    <row r="326563" spans="12:13" x14ac:dyDescent="0.25">
      <c r="L326563" s="472"/>
      <c r="M326563" s="472"/>
    </row>
    <row r="326564" spans="12:13" x14ac:dyDescent="0.25">
      <c r="L326564" s="472"/>
      <c r="M326564" s="472"/>
    </row>
    <row r="326565" spans="12:13" x14ac:dyDescent="0.25">
      <c r="L326565" s="472"/>
      <c r="M326565" s="472"/>
    </row>
    <row r="326637" spans="12:13" x14ac:dyDescent="0.25">
      <c r="L326637" s="472"/>
      <c r="M326637" s="472"/>
    </row>
    <row r="326638" spans="12:13" x14ac:dyDescent="0.25">
      <c r="L326638" s="472"/>
      <c r="M326638" s="472"/>
    </row>
    <row r="326639" spans="12:13" x14ac:dyDescent="0.25">
      <c r="L326639" s="472"/>
      <c r="M326639" s="472"/>
    </row>
    <row r="326711" spans="12:13" x14ac:dyDescent="0.25">
      <c r="L326711" s="472"/>
      <c r="M326711" s="472"/>
    </row>
    <row r="326712" spans="12:13" x14ac:dyDescent="0.25">
      <c r="L326712" s="472"/>
      <c r="M326712" s="472"/>
    </row>
    <row r="326713" spans="12:13" x14ac:dyDescent="0.25">
      <c r="L326713" s="472"/>
      <c r="M326713" s="472"/>
    </row>
    <row r="326785" spans="12:13" x14ac:dyDescent="0.25">
      <c r="L326785" s="472"/>
      <c r="M326785" s="472"/>
    </row>
    <row r="326786" spans="12:13" x14ac:dyDescent="0.25">
      <c r="L326786" s="472"/>
      <c r="M326786" s="472"/>
    </row>
    <row r="326787" spans="12:13" x14ac:dyDescent="0.25">
      <c r="L326787" s="472"/>
      <c r="M326787" s="472"/>
    </row>
    <row r="326859" spans="12:13" x14ac:dyDescent="0.25">
      <c r="L326859" s="472"/>
      <c r="M326859" s="472"/>
    </row>
    <row r="326860" spans="12:13" x14ac:dyDescent="0.25">
      <c r="L326860" s="472"/>
      <c r="M326860" s="472"/>
    </row>
    <row r="326861" spans="12:13" x14ac:dyDescent="0.25">
      <c r="L326861" s="472"/>
      <c r="M326861" s="472"/>
    </row>
    <row r="326933" spans="12:13" x14ac:dyDescent="0.25">
      <c r="L326933" s="472"/>
      <c r="M326933" s="472"/>
    </row>
    <row r="326934" spans="12:13" x14ac:dyDescent="0.25">
      <c r="L326934" s="472"/>
      <c r="M326934" s="472"/>
    </row>
    <row r="326935" spans="12:13" x14ac:dyDescent="0.25">
      <c r="L326935" s="472"/>
      <c r="M326935" s="472"/>
    </row>
    <row r="327007" spans="12:13" x14ac:dyDescent="0.25">
      <c r="L327007" s="472"/>
      <c r="M327007" s="472"/>
    </row>
    <row r="327008" spans="12:13" x14ac:dyDescent="0.25">
      <c r="L327008" s="472"/>
      <c r="M327008" s="472"/>
    </row>
    <row r="327009" spans="12:13" x14ac:dyDescent="0.25">
      <c r="L327009" s="472"/>
      <c r="M327009" s="472"/>
    </row>
    <row r="327081" spans="12:13" x14ac:dyDescent="0.25">
      <c r="L327081" s="472"/>
      <c r="M327081" s="472"/>
    </row>
    <row r="327082" spans="12:13" x14ac:dyDescent="0.25">
      <c r="L327082" s="472"/>
      <c r="M327082" s="472"/>
    </row>
    <row r="327083" spans="12:13" x14ac:dyDescent="0.25">
      <c r="L327083" s="472"/>
      <c r="M327083" s="472"/>
    </row>
    <row r="327155" spans="12:13" x14ac:dyDescent="0.25">
      <c r="L327155" s="472"/>
      <c r="M327155" s="472"/>
    </row>
    <row r="327156" spans="12:13" x14ac:dyDescent="0.25">
      <c r="L327156" s="472"/>
      <c r="M327156" s="472"/>
    </row>
    <row r="327157" spans="12:13" x14ac:dyDescent="0.25">
      <c r="L327157" s="472"/>
      <c r="M327157" s="472"/>
    </row>
    <row r="327229" spans="12:13" x14ac:dyDescent="0.25">
      <c r="L327229" s="472"/>
      <c r="M327229" s="472"/>
    </row>
    <row r="327230" spans="12:13" x14ac:dyDescent="0.25">
      <c r="L327230" s="472"/>
      <c r="M327230" s="472"/>
    </row>
    <row r="327231" spans="12:13" x14ac:dyDescent="0.25">
      <c r="L327231" s="472"/>
      <c r="M327231" s="472"/>
    </row>
    <row r="327303" spans="12:13" x14ac:dyDescent="0.25">
      <c r="L327303" s="472"/>
      <c r="M327303" s="472"/>
    </row>
    <row r="327304" spans="12:13" x14ac:dyDescent="0.25">
      <c r="L327304" s="472"/>
      <c r="M327304" s="472"/>
    </row>
    <row r="327305" spans="12:13" x14ac:dyDescent="0.25">
      <c r="L327305" s="472"/>
      <c r="M327305" s="472"/>
    </row>
    <row r="327377" spans="12:13" x14ac:dyDescent="0.25">
      <c r="L327377" s="472"/>
      <c r="M327377" s="472"/>
    </row>
    <row r="327378" spans="12:13" x14ac:dyDescent="0.25">
      <c r="L327378" s="472"/>
      <c r="M327378" s="472"/>
    </row>
    <row r="327379" spans="12:13" x14ac:dyDescent="0.25">
      <c r="L327379" s="472"/>
      <c r="M327379" s="472"/>
    </row>
    <row r="327451" spans="12:13" x14ac:dyDescent="0.25">
      <c r="L327451" s="472"/>
      <c r="M327451" s="472"/>
    </row>
    <row r="327452" spans="12:13" x14ac:dyDescent="0.25">
      <c r="L327452" s="472"/>
      <c r="M327452" s="472"/>
    </row>
    <row r="327453" spans="12:13" x14ac:dyDescent="0.25">
      <c r="L327453" s="472"/>
      <c r="M327453" s="472"/>
    </row>
    <row r="327525" spans="12:13" x14ac:dyDescent="0.25">
      <c r="L327525" s="472"/>
      <c r="M327525" s="472"/>
    </row>
    <row r="327526" spans="12:13" x14ac:dyDescent="0.25">
      <c r="L327526" s="472"/>
      <c r="M327526" s="472"/>
    </row>
    <row r="327527" spans="12:13" x14ac:dyDescent="0.25">
      <c r="L327527" s="472"/>
      <c r="M327527" s="472"/>
    </row>
    <row r="327599" spans="12:13" x14ac:dyDescent="0.25">
      <c r="L327599" s="472"/>
      <c r="M327599" s="472"/>
    </row>
    <row r="327600" spans="12:13" x14ac:dyDescent="0.25">
      <c r="L327600" s="472"/>
      <c r="M327600" s="472"/>
    </row>
    <row r="327601" spans="12:13" x14ac:dyDescent="0.25">
      <c r="L327601" s="472"/>
      <c r="M327601" s="472"/>
    </row>
    <row r="327673" spans="12:13" x14ac:dyDescent="0.25">
      <c r="L327673" s="472"/>
      <c r="M327673" s="472"/>
    </row>
    <row r="327674" spans="12:13" x14ac:dyDescent="0.25">
      <c r="L327674" s="472"/>
      <c r="M327674" s="472"/>
    </row>
    <row r="327675" spans="12:13" x14ac:dyDescent="0.25">
      <c r="L327675" s="472"/>
      <c r="M327675" s="472"/>
    </row>
    <row r="327747" spans="12:13" x14ac:dyDescent="0.25">
      <c r="L327747" s="472"/>
      <c r="M327747" s="472"/>
    </row>
    <row r="327748" spans="12:13" x14ac:dyDescent="0.25">
      <c r="L327748" s="472"/>
      <c r="M327748" s="472"/>
    </row>
    <row r="327749" spans="12:13" x14ac:dyDescent="0.25">
      <c r="L327749" s="472"/>
      <c r="M327749" s="472"/>
    </row>
    <row r="327821" spans="12:13" x14ac:dyDescent="0.25">
      <c r="L327821" s="472"/>
      <c r="M327821" s="472"/>
    </row>
    <row r="327822" spans="12:13" x14ac:dyDescent="0.25">
      <c r="L327822" s="472"/>
      <c r="M327822" s="472"/>
    </row>
    <row r="327823" spans="12:13" x14ac:dyDescent="0.25">
      <c r="L327823" s="472"/>
      <c r="M327823" s="472"/>
    </row>
    <row r="327895" spans="12:13" x14ac:dyDescent="0.25">
      <c r="L327895" s="472"/>
      <c r="M327895" s="472"/>
    </row>
    <row r="327896" spans="12:13" x14ac:dyDescent="0.25">
      <c r="L327896" s="472"/>
      <c r="M327896" s="472"/>
    </row>
    <row r="327897" spans="12:13" x14ac:dyDescent="0.25">
      <c r="L327897" s="472"/>
      <c r="M327897" s="472"/>
    </row>
    <row r="327969" spans="12:13" x14ac:dyDescent="0.25">
      <c r="L327969" s="472"/>
      <c r="M327969" s="472"/>
    </row>
    <row r="327970" spans="12:13" x14ac:dyDescent="0.25">
      <c r="L327970" s="472"/>
      <c r="M327970" s="472"/>
    </row>
    <row r="327971" spans="12:13" x14ac:dyDescent="0.25">
      <c r="L327971" s="472"/>
      <c r="M327971" s="472"/>
    </row>
    <row r="328043" spans="12:13" x14ac:dyDescent="0.25">
      <c r="L328043" s="472"/>
      <c r="M328043" s="472"/>
    </row>
    <row r="328044" spans="12:13" x14ac:dyDescent="0.25">
      <c r="L328044" s="472"/>
      <c r="M328044" s="472"/>
    </row>
    <row r="328045" spans="12:13" x14ac:dyDescent="0.25">
      <c r="L328045" s="472"/>
      <c r="M328045" s="472"/>
    </row>
    <row r="328117" spans="12:13" x14ac:dyDescent="0.25">
      <c r="L328117" s="472"/>
      <c r="M328117" s="472"/>
    </row>
    <row r="328118" spans="12:13" x14ac:dyDescent="0.25">
      <c r="L328118" s="472"/>
      <c r="M328118" s="472"/>
    </row>
    <row r="328119" spans="12:13" x14ac:dyDescent="0.25">
      <c r="L328119" s="472"/>
      <c r="M328119" s="472"/>
    </row>
    <row r="328191" spans="12:13" x14ac:dyDescent="0.25">
      <c r="L328191" s="472"/>
      <c r="M328191" s="472"/>
    </row>
    <row r="328192" spans="12:13" x14ac:dyDescent="0.25">
      <c r="L328192" s="472"/>
      <c r="M328192" s="472"/>
    </row>
    <row r="328193" spans="12:13" x14ac:dyDescent="0.25">
      <c r="L328193" s="472"/>
      <c r="M328193" s="472"/>
    </row>
    <row r="328265" spans="12:13" x14ac:dyDescent="0.25">
      <c r="L328265" s="472"/>
      <c r="M328265" s="472"/>
    </row>
    <row r="328266" spans="12:13" x14ac:dyDescent="0.25">
      <c r="L328266" s="472"/>
      <c r="M328266" s="472"/>
    </row>
    <row r="328267" spans="12:13" x14ac:dyDescent="0.25">
      <c r="L328267" s="472"/>
      <c r="M328267" s="472"/>
    </row>
    <row r="328339" spans="12:13" x14ac:dyDescent="0.25">
      <c r="L328339" s="472"/>
      <c r="M328339" s="472"/>
    </row>
    <row r="328340" spans="12:13" x14ac:dyDescent="0.25">
      <c r="L328340" s="472"/>
      <c r="M328340" s="472"/>
    </row>
    <row r="328341" spans="12:13" x14ac:dyDescent="0.25">
      <c r="L328341" s="472"/>
      <c r="M328341" s="472"/>
    </row>
    <row r="328413" spans="12:13" x14ac:dyDescent="0.25">
      <c r="L328413" s="472"/>
      <c r="M328413" s="472"/>
    </row>
    <row r="328414" spans="12:13" x14ac:dyDescent="0.25">
      <c r="L328414" s="472"/>
      <c r="M328414" s="472"/>
    </row>
    <row r="328415" spans="12:13" x14ac:dyDescent="0.25">
      <c r="L328415" s="472"/>
      <c r="M328415" s="472"/>
    </row>
    <row r="328487" spans="12:13" x14ac:dyDescent="0.25">
      <c r="L328487" s="472"/>
      <c r="M328487" s="472"/>
    </row>
    <row r="328488" spans="12:13" x14ac:dyDescent="0.25">
      <c r="L328488" s="472"/>
      <c r="M328488" s="472"/>
    </row>
    <row r="328489" spans="12:13" x14ac:dyDescent="0.25">
      <c r="L328489" s="472"/>
      <c r="M328489" s="472"/>
    </row>
    <row r="328561" spans="12:13" x14ac:dyDescent="0.25">
      <c r="L328561" s="472"/>
      <c r="M328561" s="472"/>
    </row>
    <row r="328562" spans="12:13" x14ac:dyDescent="0.25">
      <c r="L328562" s="472"/>
      <c r="M328562" s="472"/>
    </row>
    <row r="328563" spans="12:13" x14ac:dyDescent="0.25">
      <c r="L328563" s="472"/>
      <c r="M328563" s="472"/>
    </row>
    <row r="328635" spans="12:13" x14ac:dyDescent="0.25">
      <c r="L328635" s="472"/>
      <c r="M328635" s="472"/>
    </row>
    <row r="328636" spans="12:13" x14ac:dyDescent="0.25">
      <c r="L328636" s="472"/>
      <c r="M328636" s="472"/>
    </row>
    <row r="328637" spans="12:13" x14ac:dyDescent="0.25">
      <c r="L328637" s="472"/>
      <c r="M328637" s="472"/>
    </row>
    <row r="328709" spans="12:13" x14ac:dyDescent="0.25">
      <c r="L328709" s="472"/>
      <c r="M328709" s="472"/>
    </row>
    <row r="328710" spans="12:13" x14ac:dyDescent="0.25">
      <c r="L328710" s="472"/>
      <c r="M328710" s="472"/>
    </row>
    <row r="328711" spans="12:13" x14ac:dyDescent="0.25">
      <c r="L328711" s="472"/>
      <c r="M328711" s="472"/>
    </row>
    <row r="328783" spans="12:13" x14ac:dyDescent="0.25">
      <c r="L328783" s="472"/>
      <c r="M328783" s="472"/>
    </row>
    <row r="328784" spans="12:13" x14ac:dyDescent="0.25">
      <c r="L328784" s="472"/>
      <c r="M328784" s="472"/>
    </row>
    <row r="328785" spans="12:13" x14ac:dyDescent="0.25">
      <c r="L328785" s="472"/>
      <c r="M328785" s="472"/>
    </row>
    <row r="328857" spans="12:13" x14ac:dyDescent="0.25">
      <c r="L328857" s="472"/>
      <c r="M328857" s="472"/>
    </row>
    <row r="328858" spans="12:13" x14ac:dyDescent="0.25">
      <c r="L328858" s="472"/>
      <c r="M328858" s="472"/>
    </row>
    <row r="328859" spans="12:13" x14ac:dyDescent="0.25">
      <c r="L328859" s="472"/>
      <c r="M328859" s="472"/>
    </row>
    <row r="328931" spans="12:13" x14ac:dyDescent="0.25">
      <c r="L328931" s="472"/>
      <c r="M328931" s="472"/>
    </row>
    <row r="328932" spans="12:13" x14ac:dyDescent="0.25">
      <c r="L328932" s="472"/>
      <c r="M328932" s="472"/>
    </row>
    <row r="328933" spans="12:13" x14ac:dyDescent="0.25">
      <c r="L328933" s="472"/>
      <c r="M328933" s="472"/>
    </row>
    <row r="329005" spans="12:13" x14ac:dyDescent="0.25">
      <c r="L329005" s="472"/>
      <c r="M329005" s="472"/>
    </row>
    <row r="329006" spans="12:13" x14ac:dyDescent="0.25">
      <c r="L329006" s="472"/>
      <c r="M329006" s="472"/>
    </row>
    <row r="329007" spans="12:13" x14ac:dyDescent="0.25">
      <c r="L329007" s="472"/>
      <c r="M329007" s="472"/>
    </row>
    <row r="329079" spans="12:13" x14ac:dyDescent="0.25">
      <c r="L329079" s="472"/>
      <c r="M329079" s="472"/>
    </row>
    <row r="329080" spans="12:13" x14ac:dyDescent="0.25">
      <c r="L329080" s="472"/>
      <c r="M329080" s="472"/>
    </row>
    <row r="329081" spans="12:13" x14ac:dyDescent="0.25">
      <c r="L329081" s="472"/>
      <c r="M329081" s="472"/>
    </row>
    <row r="329153" spans="12:13" x14ac:dyDescent="0.25">
      <c r="L329153" s="472"/>
      <c r="M329153" s="472"/>
    </row>
    <row r="329154" spans="12:13" x14ac:dyDescent="0.25">
      <c r="L329154" s="472"/>
      <c r="M329154" s="472"/>
    </row>
    <row r="329155" spans="12:13" x14ac:dyDescent="0.25">
      <c r="L329155" s="472"/>
      <c r="M329155" s="472"/>
    </row>
    <row r="329227" spans="12:13" x14ac:dyDescent="0.25">
      <c r="L329227" s="472"/>
      <c r="M329227" s="472"/>
    </row>
    <row r="329228" spans="12:13" x14ac:dyDescent="0.25">
      <c r="L329228" s="472"/>
      <c r="M329228" s="472"/>
    </row>
    <row r="329229" spans="12:13" x14ac:dyDescent="0.25">
      <c r="L329229" s="472"/>
      <c r="M329229" s="472"/>
    </row>
    <row r="329301" spans="12:13" x14ac:dyDescent="0.25">
      <c r="L329301" s="472"/>
      <c r="M329301" s="472"/>
    </row>
    <row r="329302" spans="12:13" x14ac:dyDescent="0.25">
      <c r="L329302" s="472"/>
      <c r="M329302" s="472"/>
    </row>
    <row r="329303" spans="12:13" x14ac:dyDescent="0.25">
      <c r="L329303" s="472"/>
      <c r="M329303" s="472"/>
    </row>
    <row r="329375" spans="12:13" x14ac:dyDescent="0.25">
      <c r="L329375" s="472"/>
      <c r="M329375" s="472"/>
    </row>
    <row r="329376" spans="12:13" x14ac:dyDescent="0.25">
      <c r="L329376" s="472"/>
      <c r="M329376" s="472"/>
    </row>
    <row r="329377" spans="12:13" x14ac:dyDescent="0.25">
      <c r="L329377" s="472"/>
      <c r="M329377" s="472"/>
    </row>
    <row r="329449" spans="12:13" x14ac:dyDescent="0.25">
      <c r="L329449" s="472"/>
      <c r="M329449" s="472"/>
    </row>
    <row r="329450" spans="12:13" x14ac:dyDescent="0.25">
      <c r="L329450" s="472"/>
      <c r="M329450" s="472"/>
    </row>
    <row r="329451" spans="12:13" x14ac:dyDescent="0.25">
      <c r="L329451" s="472"/>
      <c r="M329451" s="472"/>
    </row>
    <row r="329523" spans="12:13" x14ac:dyDescent="0.25">
      <c r="L329523" s="472"/>
      <c r="M329523" s="472"/>
    </row>
    <row r="329524" spans="12:13" x14ac:dyDescent="0.25">
      <c r="L329524" s="472"/>
      <c r="M329524" s="472"/>
    </row>
    <row r="329525" spans="12:13" x14ac:dyDescent="0.25">
      <c r="L329525" s="472"/>
      <c r="M329525" s="472"/>
    </row>
    <row r="329597" spans="12:13" x14ac:dyDescent="0.25">
      <c r="L329597" s="472"/>
      <c r="M329597" s="472"/>
    </row>
    <row r="329598" spans="12:13" x14ac:dyDescent="0.25">
      <c r="L329598" s="472"/>
      <c r="M329598" s="472"/>
    </row>
    <row r="329599" spans="12:13" x14ac:dyDescent="0.25">
      <c r="L329599" s="472"/>
      <c r="M329599" s="472"/>
    </row>
    <row r="329671" spans="12:13" x14ac:dyDescent="0.25">
      <c r="L329671" s="472"/>
      <c r="M329671" s="472"/>
    </row>
    <row r="329672" spans="12:13" x14ac:dyDescent="0.25">
      <c r="L329672" s="472"/>
      <c r="M329672" s="472"/>
    </row>
    <row r="329673" spans="12:13" x14ac:dyDescent="0.25">
      <c r="L329673" s="472"/>
      <c r="M329673" s="472"/>
    </row>
    <row r="329745" spans="12:13" x14ac:dyDescent="0.25">
      <c r="L329745" s="472"/>
      <c r="M329745" s="472"/>
    </row>
    <row r="329746" spans="12:13" x14ac:dyDescent="0.25">
      <c r="L329746" s="472"/>
      <c r="M329746" s="472"/>
    </row>
    <row r="329747" spans="12:13" x14ac:dyDescent="0.25">
      <c r="L329747" s="472"/>
      <c r="M329747" s="472"/>
    </row>
    <row r="329819" spans="12:13" x14ac:dyDescent="0.25">
      <c r="L329819" s="472"/>
      <c r="M329819" s="472"/>
    </row>
    <row r="329820" spans="12:13" x14ac:dyDescent="0.25">
      <c r="L329820" s="472"/>
      <c r="M329820" s="472"/>
    </row>
    <row r="329821" spans="12:13" x14ac:dyDescent="0.25">
      <c r="L329821" s="472"/>
      <c r="M329821" s="472"/>
    </row>
    <row r="329893" spans="12:13" x14ac:dyDescent="0.25">
      <c r="L329893" s="472"/>
      <c r="M329893" s="472"/>
    </row>
    <row r="329894" spans="12:13" x14ac:dyDescent="0.25">
      <c r="L329894" s="472"/>
      <c r="M329894" s="472"/>
    </row>
    <row r="329895" spans="12:13" x14ac:dyDescent="0.25">
      <c r="L329895" s="472"/>
      <c r="M329895" s="472"/>
    </row>
    <row r="329967" spans="12:13" x14ac:dyDescent="0.25">
      <c r="L329967" s="472"/>
      <c r="M329967" s="472"/>
    </row>
    <row r="329968" spans="12:13" x14ac:dyDescent="0.25">
      <c r="L329968" s="472"/>
      <c r="M329968" s="472"/>
    </row>
    <row r="329969" spans="12:13" x14ac:dyDescent="0.25">
      <c r="L329969" s="472"/>
      <c r="M329969" s="472"/>
    </row>
    <row r="330041" spans="12:13" x14ac:dyDescent="0.25">
      <c r="L330041" s="472"/>
      <c r="M330041" s="472"/>
    </row>
    <row r="330042" spans="12:13" x14ac:dyDescent="0.25">
      <c r="L330042" s="472"/>
      <c r="M330042" s="472"/>
    </row>
    <row r="330043" spans="12:13" x14ac:dyDescent="0.25">
      <c r="L330043" s="472"/>
      <c r="M330043" s="472"/>
    </row>
    <row r="330115" spans="12:13" x14ac:dyDescent="0.25">
      <c r="L330115" s="472"/>
      <c r="M330115" s="472"/>
    </row>
    <row r="330116" spans="12:13" x14ac:dyDescent="0.25">
      <c r="L330116" s="472"/>
      <c r="M330116" s="472"/>
    </row>
    <row r="330117" spans="12:13" x14ac:dyDescent="0.25">
      <c r="L330117" s="472"/>
      <c r="M330117" s="472"/>
    </row>
    <row r="330189" spans="12:13" x14ac:dyDescent="0.25">
      <c r="L330189" s="472"/>
      <c r="M330189" s="472"/>
    </row>
    <row r="330190" spans="12:13" x14ac:dyDescent="0.25">
      <c r="L330190" s="472"/>
      <c r="M330190" s="472"/>
    </row>
    <row r="330191" spans="12:13" x14ac:dyDescent="0.25">
      <c r="L330191" s="472"/>
      <c r="M330191" s="472"/>
    </row>
    <row r="330263" spans="12:13" x14ac:dyDescent="0.25">
      <c r="L330263" s="472"/>
      <c r="M330263" s="472"/>
    </row>
    <row r="330264" spans="12:13" x14ac:dyDescent="0.25">
      <c r="L330264" s="472"/>
      <c r="M330264" s="472"/>
    </row>
    <row r="330265" spans="12:13" x14ac:dyDescent="0.25">
      <c r="L330265" s="472"/>
      <c r="M330265" s="472"/>
    </row>
    <row r="330337" spans="12:13" x14ac:dyDescent="0.25">
      <c r="L330337" s="472"/>
      <c r="M330337" s="472"/>
    </row>
    <row r="330338" spans="12:13" x14ac:dyDescent="0.25">
      <c r="L330338" s="472"/>
      <c r="M330338" s="472"/>
    </row>
    <row r="330339" spans="12:13" x14ac:dyDescent="0.25">
      <c r="L330339" s="472"/>
      <c r="M330339" s="472"/>
    </row>
    <row r="330411" spans="12:13" x14ac:dyDescent="0.25">
      <c r="L330411" s="472"/>
      <c r="M330411" s="472"/>
    </row>
    <row r="330412" spans="12:13" x14ac:dyDescent="0.25">
      <c r="L330412" s="472"/>
      <c r="M330412" s="472"/>
    </row>
    <row r="330413" spans="12:13" x14ac:dyDescent="0.25">
      <c r="L330413" s="472"/>
      <c r="M330413" s="472"/>
    </row>
    <row r="330485" spans="12:13" x14ac:dyDescent="0.25">
      <c r="L330485" s="472"/>
      <c r="M330485" s="472"/>
    </row>
    <row r="330486" spans="12:13" x14ac:dyDescent="0.25">
      <c r="L330486" s="472"/>
      <c r="M330486" s="472"/>
    </row>
    <row r="330487" spans="12:13" x14ac:dyDescent="0.25">
      <c r="L330487" s="472"/>
      <c r="M330487" s="472"/>
    </row>
    <row r="330559" spans="12:13" x14ac:dyDescent="0.25">
      <c r="L330559" s="472"/>
      <c r="M330559" s="472"/>
    </row>
    <row r="330560" spans="12:13" x14ac:dyDescent="0.25">
      <c r="L330560" s="472"/>
      <c r="M330560" s="472"/>
    </row>
    <row r="330561" spans="12:13" x14ac:dyDescent="0.25">
      <c r="L330561" s="472"/>
      <c r="M330561" s="472"/>
    </row>
    <row r="330633" spans="12:13" x14ac:dyDescent="0.25">
      <c r="L330633" s="472"/>
      <c r="M330633" s="472"/>
    </row>
    <row r="330634" spans="12:13" x14ac:dyDescent="0.25">
      <c r="L330634" s="472"/>
      <c r="M330634" s="472"/>
    </row>
    <row r="330635" spans="12:13" x14ac:dyDescent="0.25">
      <c r="L330635" s="472"/>
      <c r="M330635" s="472"/>
    </row>
    <row r="330707" spans="12:13" x14ac:dyDescent="0.25">
      <c r="L330707" s="472"/>
      <c r="M330707" s="472"/>
    </row>
    <row r="330708" spans="12:13" x14ac:dyDescent="0.25">
      <c r="L330708" s="472"/>
      <c r="M330708" s="472"/>
    </row>
    <row r="330709" spans="12:13" x14ac:dyDescent="0.25">
      <c r="L330709" s="472"/>
      <c r="M330709" s="472"/>
    </row>
    <row r="330781" spans="12:13" x14ac:dyDescent="0.25">
      <c r="L330781" s="472"/>
      <c r="M330781" s="472"/>
    </row>
    <row r="330782" spans="12:13" x14ac:dyDescent="0.25">
      <c r="L330782" s="472"/>
      <c r="M330782" s="472"/>
    </row>
    <row r="330783" spans="12:13" x14ac:dyDescent="0.25">
      <c r="L330783" s="472"/>
      <c r="M330783" s="472"/>
    </row>
    <row r="330855" spans="12:13" x14ac:dyDescent="0.25">
      <c r="L330855" s="472"/>
      <c r="M330855" s="472"/>
    </row>
    <row r="330856" spans="12:13" x14ac:dyDescent="0.25">
      <c r="L330856" s="472"/>
      <c r="M330856" s="472"/>
    </row>
    <row r="330857" spans="12:13" x14ac:dyDescent="0.25">
      <c r="L330857" s="472"/>
      <c r="M330857" s="472"/>
    </row>
    <row r="330929" spans="12:13" x14ac:dyDescent="0.25">
      <c r="L330929" s="472"/>
      <c r="M330929" s="472"/>
    </row>
    <row r="330930" spans="12:13" x14ac:dyDescent="0.25">
      <c r="L330930" s="472"/>
      <c r="M330930" s="472"/>
    </row>
    <row r="330931" spans="12:13" x14ac:dyDescent="0.25">
      <c r="L330931" s="472"/>
      <c r="M330931" s="472"/>
    </row>
    <row r="331003" spans="12:13" x14ac:dyDescent="0.25">
      <c r="L331003" s="472"/>
      <c r="M331003" s="472"/>
    </row>
    <row r="331004" spans="12:13" x14ac:dyDescent="0.25">
      <c r="L331004" s="472"/>
      <c r="M331004" s="472"/>
    </row>
    <row r="331005" spans="12:13" x14ac:dyDescent="0.25">
      <c r="L331005" s="472"/>
      <c r="M331005" s="472"/>
    </row>
    <row r="331077" spans="12:13" x14ac:dyDescent="0.25">
      <c r="L331077" s="472"/>
      <c r="M331077" s="472"/>
    </row>
    <row r="331078" spans="12:13" x14ac:dyDescent="0.25">
      <c r="L331078" s="472"/>
      <c r="M331078" s="472"/>
    </row>
    <row r="331079" spans="12:13" x14ac:dyDescent="0.25">
      <c r="L331079" s="472"/>
      <c r="M331079" s="472"/>
    </row>
    <row r="331151" spans="12:13" x14ac:dyDescent="0.25">
      <c r="L331151" s="472"/>
      <c r="M331151" s="472"/>
    </row>
    <row r="331152" spans="12:13" x14ac:dyDescent="0.25">
      <c r="L331152" s="472"/>
      <c r="M331152" s="472"/>
    </row>
    <row r="331153" spans="12:13" x14ac:dyDescent="0.25">
      <c r="L331153" s="472"/>
      <c r="M331153" s="472"/>
    </row>
    <row r="331225" spans="12:13" x14ac:dyDescent="0.25">
      <c r="L331225" s="472"/>
      <c r="M331225" s="472"/>
    </row>
    <row r="331226" spans="12:13" x14ac:dyDescent="0.25">
      <c r="L331226" s="472"/>
      <c r="M331226" s="472"/>
    </row>
    <row r="331227" spans="12:13" x14ac:dyDescent="0.25">
      <c r="L331227" s="472"/>
      <c r="M331227" s="472"/>
    </row>
    <row r="331299" spans="12:13" x14ac:dyDescent="0.25">
      <c r="L331299" s="472"/>
      <c r="M331299" s="472"/>
    </row>
    <row r="331300" spans="12:13" x14ac:dyDescent="0.25">
      <c r="L331300" s="472"/>
      <c r="M331300" s="472"/>
    </row>
    <row r="331301" spans="12:13" x14ac:dyDescent="0.25">
      <c r="L331301" s="472"/>
      <c r="M331301" s="472"/>
    </row>
    <row r="331373" spans="12:13" x14ac:dyDescent="0.25">
      <c r="L331373" s="472"/>
      <c r="M331373" s="472"/>
    </row>
    <row r="331374" spans="12:13" x14ac:dyDescent="0.25">
      <c r="L331374" s="472"/>
      <c r="M331374" s="472"/>
    </row>
    <row r="331375" spans="12:13" x14ac:dyDescent="0.25">
      <c r="L331375" s="472"/>
      <c r="M331375" s="472"/>
    </row>
    <row r="331447" spans="12:13" x14ac:dyDescent="0.25">
      <c r="L331447" s="472"/>
      <c r="M331447" s="472"/>
    </row>
    <row r="331448" spans="12:13" x14ac:dyDescent="0.25">
      <c r="L331448" s="472"/>
      <c r="M331448" s="472"/>
    </row>
    <row r="331449" spans="12:13" x14ac:dyDescent="0.25">
      <c r="L331449" s="472"/>
      <c r="M331449" s="472"/>
    </row>
    <row r="331521" spans="12:13" x14ac:dyDescent="0.25">
      <c r="L331521" s="472"/>
      <c r="M331521" s="472"/>
    </row>
    <row r="331522" spans="12:13" x14ac:dyDescent="0.25">
      <c r="L331522" s="472"/>
      <c r="M331522" s="472"/>
    </row>
    <row r="331523" spans="12:13" x14ac:dyDescent="0.25">
      <c r="L331523" s="472"/>
      <c r="M331523" s="472"/>
    </row>
    <row r="331595" spans="12:13" x14ac:dyDescent="0.25">
      <c r="L331595" s="472"/>
      <c r="M331595" s="472"/>
    </row>
    <row r="331596" spans="12:13" x14ac:dyDescent="0.25">
      <c r="L331596" s="472"/>
      <c r="M331596" s="472"/>
    </row>
    <row r="331597" spans="12:13" x14ac:dyDescent="0.25">
      <c r="L331597" s="472"/>
      <c r="M331597" s="472"/>
    </row>
    <row r="331669" spans="12:13" x14ac:dyDescent="0.25">
      <c r="L331669" s="472"/>
      <c r="M331669" s="472"/>
    </row>
    <row r="331670" spans="12:13" x14ac:dyDescent="0.25">
      <c r="L331670" s="472"/>
      <c r="M331670" s="472"/>
    </row>
    <row r="331671" spans="12:13" x14ac:dyDescent="0.25">
      <c r="L331671" s="472"/>
      <c r="M331671" s="472"/>
    </row>
    <row r="331743" spans="12:13" x14ac:dyDescent="0.25">
      <c r="L331743" s="472"/>
      <c r="M331743" s="472"/>
    </row>
    <row r="331744" spans="12:13" x14ac:dyDescent="0.25">
      <c r="L331744" s="472"/>
      <c r="M331744" s="472"/>
    </row>
    <row r="331745" spans="12:13" x14ac:dyDescent="0.25">
      <c r="L331745" s="472"/>
      <c r="M331745" s="472"/>
    </row>
    <row r="331817" spans="12:13" x14ac:dyDescent="0.25">
      <c r="L331817" s="472"/>
      <c r="M331817" s="472"/>
    </row>
    <row r="331818" spans="12:13" x14ac:dyDescent="0.25">
      <c r="L331818" s="472"/>
      <c r="M331818" s="472"/>
    </row>
    <row r="331819" spans="12:13" x14ac:dyDescent="0.25">
      <c r="L331819" s="472"/>
      <c r="M331819" s="472"/>
    </row>
    <row r="331891" spans="12:13" x14ac:dyDescent="0.25">
      <c r="L331891" s="472"/>
      <c r="M331891" s="472"/>
    </row>
    <row r="331892" spans="12:13" x14ac:dyDescent="0.25">
      <c r="L331892" s="472"/>
      <c r="M331892" s="472"/>
    </row>
    <row r="331893" spans="12:13" x14ac:dyDescent="0.25">
      <c r="L331893" s="472"/>
      <c r="M331893" s="472"/>
    </row>
    <row r="331965" spans="12:13" x14ac:dyDescent="0.25">
      <c r="L331965" s="472"/>
      <c r="M331965" s="472"/>
    </row>
    <row r="331966" spans="12:13" x14ac:dyDescent="0.25">
      <c r="L331966" s="472"/>
      <c r="M331966" s="472"/>
    </row>
    <row r="331967" spans="12:13" x14ac:dyDescent="0.25">
      <c r="L331967" s="472"/>
      <c r="M331967" s="472"/>
    </row>
    <row r="332039" spans="12:13" x14ac:dyDescent="0.25">
      <c r="L332039" s="472"/>
      <c r="M332039" s="472"/>
    </row>
    <row r="332040" spans="12:13" x14ac:dyDescent="0.25">
      <c r="L332040" s="472"/>
      <c r="M332040" s="472"/>
    </row>
    <row r="332041" spans="12:13" x14ac:dyDescent="0.25">
      <c r="L332041" s="472"/>
      <c r="M332041" s="472"/>
    </row>
    <row r="332113" spans="12:13" x14ac:dyDescent="0.25">
      <c r="L332113" s="472"/>
      <c r="M332113" s="472"/>
    </row>
    <row r="332114" spans="12:13" x14ac:dyDescent="0.25">
      <c r="L332114" s="472"/>
      <c r="M332114" s="472"/>
    </row>
    <row r="332115" spans="12:13" x14ac:dyDescent="0.25">
      <c r="L332115" s="472"/>
      <c r="M332115" s="472"/>
    </row>
    <row r="332187" spans="12:13" x14ac:dyDescent="0.25">
      <c r="L332187" s="472"/>
      <c r="M332187" s="472"/>
    </row>
    <row r="332188" spans="12:13" x14ac:dyDescent="0.25">
      <c r="L332188" s="472"/>
      <c r="M332188" s="472"/>
    </row>
    <row r="332189" spans="12:13" x14ac:dyDescent="0.25">
      <c r="L332189" s="472"/>
      <c r="M332189" s="472"/>
    </row>
    <row r="332261" spans="12:13" x14ac:dyDescent="0.25">
      <c r="L332261" s="472"/>
      <c r="M332261" s="472"/>
    </row>
    <row r="332262" spans="12:13" x14ac:dyDescent="0.25">
      <c r="L332262" s="472"/>
      <c r="M332262" s="472"/>
    </row>
    <row r="332263" spans="12:13" x14ac:dyDescent="0.25">
      <c r="L332263" s="472"/>
      <c r="M332263" s="472"/>
    </row>
    <row r="332335" spans="12:13" x14ac:dyDescent="0.25">
      <c r="L332335" s="472"/>
      <c r="M332335" s="472"/>
    </row>
    <row r="332336" spans="12:13" x14ac:dyDescent="0.25">
      <c r="L332336" s="472"/>
      <c r="M332336" s="472"/>
    </row>
    <row r="332337" spans="12:13" x14ac:dyDescent="0.25">
      <c r="L332337" s="472"/>
      <c r="M332337" s="472"/>
    </row>
    <row r="332409" spans="12:13" x14ac:dyDescent="0.25">
      <c r="L332409" s="472"/>
      <c r="M332409" s="472"/>
    </row>
    <row r="332410" spans="12:13" x14ac:dyDescent="0.25">
      <c r="L332410" s="472"/>
      <c r="M332410" s="472"/>
    </row>
    <row r="332411" spans="12:13" x14ac:dyDescent="0.25">
      <c r="L332411" s="472"/>
      <c r="M332411" s="472"/>
    </row>
    <row r="332483" spans="12:13" x14ac:dyDescent="0.25">
      <c r="L332483" s="472"/>
      <c r="M332483" s="472"/>
    </row>
    <row r="332484" spans="12:13" x14ac:dyDescent="0.25">
      <c r="L332484" s="472"/>
      <c r="M332484" s="472"/>
    </row>
    <row r="332485" spans="12:13" x14ac:dyDescent="0.25">
      <c r="L332485" s="472"/>
      <c r="M332485" s="472"/>
    </row>
    <row r="332557" spans="12:13" x14ac:dyDescent="0.25">
      <c r="L332557" s="472"/>
      <c r="M332557" s="472"/>
    </row>
    <row r="332558" spans="12:13" x14ac:dyDescent="0.25">
      <c r="L332558" s="472"/>
      <c r="M332558" s="472"/>
    </row>
    <row r="332559" spans="12:13" x14ac:dyDescent="0.25">
      <c r="L332559" s="472"/>
      <c r="M332559" s="472"/>
    </row>
    <row r="332631" spans="12:13" x14ac:dyDescent="0.25">
      <c r="L332631" s="472"/>
      <c r="M332631" s="472"/>
    </row>
    <row r="332632" spans="12:13" x14ac:dyDescent="0.25">
      <c r="L332632" s="472"/>
      <c r="M332632" s="472"/>
    </row>
    <row r="332633" spans="12:13" x14ac:dyDescent="0.25">
      <c r="L332633" s="472"/>
      <c r="M332633" s="472"/>
    </row>
    <row r="332705" spans="12:13" x14ac:dyDescent="0.25">
      <c r="L332705" s="472"/>
      <c r="M332705" s="472"/>
    </row>
    <row r="332706" spans="12:13" x14ac:dyDescent="0.25">
      <c r="L332706" s="472"/>
      <c r="M332706" s="472"/>
    </row>
    <row r="332707" spans="12:13" x14ac:dyDescent="0.25">
      <c r="L332707" s="472"/>
      <c r="M332707" s="472"/>
    </row>
    <row r="332779" spans="12:13" x14ac:dyDescent="0.25">
      <c r="L332779" s="472"/>
      <c r="M332779" s="472"/>
    </row>
    <row r="332780" spans="12:13" x14ac:dyDescent="0.25">
      <c r="L332780" s="472"/>
      <c r="M332780" s="472"/>
    </row>
    <row r="332781" spans="12:13" x14ac:dyDescent="0.25">
      <c r="L332781" s="472"/>
      <c r="M332781" s="472"/>
    </row>
    <row r="332853" spans="12:13" x14ac:dyDescent="0.25">
      <c r="L332853" s="472"/>
      <c r="M332853" s="472"/>
    </row>
    <row r="332854" spans="12:13" x14ac:dyDescent="0.25">
      <c r="L332854" s="472"/>
      <c r="M332854" s="472"/>
    </row>
    <row r="332855" spans="12:13" x14ac:dyDescent="0.25">
      <c r="L332855" s="472"/>
      <c r="M332855" s="472"/>
    </row>
    <row r="332927" spans="12:13" x14ac:dyDescent="0.25">
      <c r="L332927" s="472"/>
      <c r="M332927" s="472"/>
    </row>
    <row r="332928" spans="12:13" x14ac:dyDescent="0.25">
      <c r="L332928" s="472"/>
      <c r="M332928" s="472"/>
    </row>
    <row r="332929" spans="12:13" x14ac:dyDescent="0.25">
      <c r="L332929" s="472"/>
      <c r="M332929" s="472"/>
    </row>
    <row r="333001" spans="12:13" x14ac:dyDescent="0.25">
      <c r="L333001" s="472"/>
      <c r="M333001" s="472"/>
    </row>
    <row r="333002" spans="12:13" x14ac:dyDescent="0.25">
      <c r="L333002" s="472"/>
      <c r="M333002" s="472"/>
    </row>
    <row r="333003" spans="12:13" x14ac:dyDescent="0.25">
      <c r="L333003" s="472"/>
      <c r="M333003" s="472"/>
    </row>
    <row r="333075" spans="12:13" x14ac:dyDescent="0.25">
      <c r="L333075" s="472"/>
      <c r="M333075" s="472"/>
    </row>
    <row r="333076" spans="12:13" x14ac:dyDescent="0.25">
      <c r="L333076" s="472"/>
      <c r="M333076" s="472"/>
    </row>
    <row r="333077" spans="12:13" x14ac:dyDescent="0.25">
      <c r="L333077" s="472"/>
      <c r="M333077" s="472"/>
    </row>
    <row r="333149" spans="12:13" x14ac:dyDescent="0.25">
      <c r="L333149" s="472"/>
      <c r="M333149" s="472"/>
    </row>
    <row r="333150" spans="12:13" x14ac:dyDescent="0.25">
      <c r="L333150" s="472"/>
      <c r="M333150" s="472"/>
    </row>
    <row r="333151" spans="12:13" x14ac:dyDescent="0.25">
      <c r="L333151" s="472"/>
      <c r="M333151" s="472"/>
    </row>
    <row r="333223" spans="12:13" x14ac:dyDescent="0.25">
      <c r="L333223" s="472"/>
      <c r="M333223" s="472"/>
    </row>
    <row r="333224" spans="12:13" x14ac:dyDescent="0.25">
      <c r="L333224" s="472"/>
      <c r="M333224" s="472"/>
    </row>
    <row r="333225" spans="12:13" x14ac:dyDescent="0.25">
      <c r="L333225" s="472"/>
      <c r="M333225" s="472"/>
    </row>
    <row r="333297" spans="12:13" x14ac:dyDescent="0.25">
      <c r="L333297" s="472"/>
      <c r="M333297" s="472"/>
    </row>
    <row r="333298" spans="12:13" x14ac:dyDescent="0.25">
      <c r="L333298" s="472"/>
      <c r="M333298" s="472"/>
    </row>
    <row r="333299" spans="12:13" x14ac:dyDescent="0.25">
      <c r="L333299" s="472"/>
      <c r="M333299" s="472"/>
    </row>
    <row r="333371" spans="12:13" x14ac:dyDescent="0.25">
      <c r="L333371" s="472"/>
      <c r="M333371" s="472"/>
    </row>
    <row r="333372" spans="12:13" x14ac:dyDescent="0.25">
      <c r="L333372" s="472"/>
      <c r="M333372" s="472"/>
    </row>
    <row r="333373" spans="12:13" x14ac:dyDescent="0.25">
      <c r="L333373" s="472"/>
      <c r="M333373" s="472"/>
    </row>
    <row r="333445" spans="12:13" x14ac:dyDescent="0.25">
      <c r="L333445" s="472"/>
      <c r="M333445" s="472"/>
    </row>
    <row r="333446" spans="12:13" x14ac:dyDescent="0.25">
      <c r="L333446" s="472"/>
      <c r="M333446" s="472"/>
    </row>
    <row r="333447" spans="12:13" x14ac:dyDescent="0.25">
      <c r="L333447" s="472"/>
      <c r="M333447" s="472"/>
    </row>
    <row r="333519" spans="12:13" x14ac:dyDescent="0.25">
      <c r="L333519" s="472"/>
      <c r="M333519" s="472"/>
    </row>
    <row r="333520" spans="12:13" x14ac:dyDescent="0.25">
      <c r="L333520" s="472"/>
      <c r="M333520" s="472"/>
    </row>
    <row r="333521" spans="12:13" x14ac:dyDescent="0.25">
      <c r="L333521" s="472"/>
      <c r="M333521" s="472"/>
    </row>
    <row r="333593" spans="12:13" x14ac:dyDescent="0.25">
      <c r="L333593" s="472"/>
      <c r="M333593" s="472"/>
    </row>
    <row r="333594" spans="12:13" x14ac:dyDescent="0.25">
      <c r="L333594" s="472"/>
      <c r="M333594" s="472"/>
    </row>
    <row r="333595" spans="12:13" x14ac:dyDescent="0.25">
      <c r="L333595" s="472"/>
      <c r="M333595" s="472"/>
    </row>
    <row r="333667" spans="12:13" x14ac:dyDescent="0.25">
      <c r="L333667" s="472"/>
      <c r="M333667" s="472"/>
    </row>
    <row r="333668" spans="12:13" x14ac:dyDescent="0.25">
      <c r="L333668" s="472"/>
      <c r="M333668" s="472"/>
    </row>
    <row r="333669" spans="12:13" x14ac:dyDescent="0.25">
      <c r="L333669" s="472"/>
      <c r="M333669" s="472"/>
    </row>
    <row r="333741" spans="12:13" x14ac:dyDescent="0.25">
      <c r="L333741" s="472"/>
      <c r="M333741" s="472"/>
    </row>
    <row r="333742" spans="12:13" x14ac:dyDescent="0.25">
      <c r="L333742" s="472"/>
      <c r="M333742" s="472"/>
    </row>
    <row r="333743" spans="12:13" x14ac:dyDescent="0.25">
      <c r="L333743" s="472"/>
      <c r="M333743" s="472"/>
    </row>
    <row r="333815" spans="12:13" x14ac:dyDescent="0.25">
      <c r="L333815" s="472"/>
      <c r="M333815" s="472"/>
    </row>
    <row r="333816" spans="12:13" x14ac:dyDescent="0.25">
      <c r="L333816" s="472"/>
      <c r="M333816" s="472"/>
    </row>
    <row r="333817" spans="12:13" x14ac:dyDescent="0.25">
      <c r="L333817" s="472"/>
      <c r="M333817" s="472"/>
    </row>
    <row r="333889" spans="12:13" x14ac:dyDescent="0.25">
      <c r="L333889" s="472"/>
      <c r="M333889" s="472"/>
    </row>
    <row r="333890" spans="12:13" x14ac:dyDescent="0.25">
      <c r="L333890" s="472"/>
      <c r="M333890" s="472"/>
    </row>
    <row r="333891" spans="12:13" x14ac:dyDescent="0.25">
      <c r="L333891" s="472"/>
      <c r="M333891" s="472"/>
    </row>
    <row r="333963" spans="12:13" x14ac:dyDescent="0.25">
      <c r="L333963" s="472"/>
      <c r="M333963" s="472"/>
    </row>
    <row r="333964" spans="12:13" x14ac:dyDescent="0.25">
      <c r="L333964" s="472"/>
      <c r="M333964" s="472"/>
    </row>
    <row r="333965" spans="12:13" x14ac:dyDescent="0.25">
      <c r="L333965" s="472"/>
      <c r="M333965" s="472"/>
    </row>
    <row r="334037" spans="12:13" x14ac:dyDescent="0.25">
      <c r="L334037" s="472"/>
      <c r="M334037" s="472"/>
    </row>
    <row r="334038" spans="12:13" x14ac:dyDescent="0.25">
      <c r="L334038" s="472"/>
      <c r="M334038" s="472"/>
    </row>
    <row r="334039" spans="12:13" x14ac:dyDescent="0.25">
      <c r="L334039" s="472"/>
      <c r="M334039" s="472"/>
    </row>
    <row r="334111" spans="12:13" x14ac:dyDescent="0.25">
      <c r="L334111" s="472"/>
      <c r="M334111" s="472"/>
    </row>
    <row r="334112" spans="12:13" x14ac:dyDescent="0.25">
      <c r="L334112" s="472"/>
      <c r="M334112" s="472"/>
    </row>
    <row r="334113" spans="12:13" x14ac:dyDescent="0.25">
      <c r="L334113" s="472"/>
      <c r="M334113" s="472"/>
    </row>
    <row r="334185" spans="12:13" x14ac:dyDescent="0.25">
      <c r="L334185" s="472"/>
      <c r="M334185" s="472"/>
    </row>
    <row r="334186" spans="12:13" x14ac:dyDescent="0.25">
      <c r="L334186" s="472"/>
      <c r="M334186" s="472"/>
    </row>
    <row r="334187" spans="12:13" x14ac:dyDescent="0.25">
      <c r="L334187" s="472"/>
      <c r="M334187" s="472"/>
    </row>
    <row r="334259" spans="12:13" x14ac:dyDescent="0.25">
      <c r="L334259" s="472"/>
      <c r="M334259" s="472"/>
    </row>
    <row r="334260" spans="12:13" x14ac:dyDescent="0.25">
      <c r="L334260" s="472"/>
      <c r="M334260" s="472"/>
    </row>
    <row r="334261" spans="12:13" x14ac:dyDescent="0.25">
      <c r="L334261" s="472"/>
      <c r="M334261" s="472"/>
    </row>
    <row r="334333" spans="12:13" x14ac:dyDescent="0.25">
      <c r="L334333" s="472"/>
      <c r="M334333" s="472"/>
    </row>
    <row r="334334" spans="12:13" x14ac:dyDescent="0.25">
      <c r="L334334" s="472"/>
      <c r="M334334" s="472"/>
    </row>
    <row r="334335" spans="12:13" x14ac:dyDescent="0.25">
      <c r="L334335" s="472"/>
      <c r="M334335" s="472"/>
    </row>
    <row r="334407" spans="12:13" x14ac:dyDescent="0.25">
      <c r="L334407" s="472"/>
      <c r="M334407" s="472"/>
    </row>
    <row r="334408" spans="12:13" x14ac:dyDescent="0.25">
      <c r="L334408" s="472"/>
      <c r="M334408" s="472"/>
    </row>
    <row r="334409" spans="12:13" x14ac:dyDescent="0.25">
      <c r="L334409" s="472"/>
      <c r="M334409" s="472"/>
    </row>
    <row r="334481" spans="12:13" x14ac:dyDescent="0.25">
      <c r="L334481" s="472"/>
      <c r="M334481" s="472"/>
    </row>
    <row r="334482" spans="12:13" x14ac:dyDescent="0.25">
      <c r="L334482" s="472"/>
      <c r="M334482" s="472"/>
    </row>
    <row r="334483" spans="12:13" x14ac:dyDescent="0.25">
      <c r="L334483" s="472"/>
      <c r="M334483" s="472"/>
    </row>
    <row r="334555" spans="12:13" x14ac:dyDescent="0.25">
      <c r="L334555" s="472"/>
      <c r="M334555" s="472"/>
    </row>
    <row r="334556" spans="12:13" x14ac:dyDescent="0.25">
      <c r="L334556" s="472"/>
      <c r="M334556" s="472"/>
    </row>
    <row r="334557" spans="12:13" x14ac:dyDescent="0.25">
      <c r="L334557" s="472"/>
      <c r="M334557" s="472"/>
    </row>
    <row r="334629" spans="12:13" x14ac:dyDescent="0.25">
      <c r="L334629" s="472"/>
      <c r="M334629" s="472"/>
    </row>
    <row r="334630" spans="12:13" x14ac:dyDescent="0.25">
      <c r="L334630" s="472"/>
      <c r="M334630" s="472"/>
    </row>
    <row r="334631" spans="12:13" x14ac:dyDescent="0.25">
      <c r="L334631" s="472"/>
      <c r="M334631" s="472"/>
    </row>
    <row r="334703" spans="12:13" x14ac:dyDescent="0.25">
      <c r="L334703" s="472"/>
      <c r="M334703" s="472"/>
    </row>
    <row r="334704" spans="12:13" x14ac:dyDescent="0.25">
      <c r="L334704" s="472"/>
      <c r="M334704" s="472"/>
    </row>
    <row r="334705" spans="12:13" x14ac:dyDescent="0.25">
      <c r="L334705" s="472"/>
      <c r="M334705" s="472"/>
    </row>
    <row r="334777" spans="12:13" x14ac:dyDescent="0.25">
      <c r="L334777" s="472"/>
      <c r="M334777" s="472"/>
    </row>
    <row r="334778" spans="12:13" x14ac:dyDescent="0.25">
      <c r="L334778" s="472"/>
      <c r="M334778" s="472"/>
    </row>
    <row r="334779" spans="12:13" x14ac:dyDescent="0.25">
      <c r="L334779" s="472"/>
      <c r="M334779" s="472"/>
    </row>
    <row r="334851" spans="12:13" x14ac:dyDescent="0.25">
      <c r="L334851" s="472"/>
      <c r="M334851" s="472"/>
    </row>
    <row r="334852" spans="12:13" x14ac:dyDescent="0.25">
      <c r="L334852" s="472"/>
      <c r="M334852" s="472"/>
    </row>
    <row r="334853" spans="12:13" x14ac:dyDescent="0.25">
      <c r="L334853" s="472"/>
      <c r="M334853" s="472"/>
    </row>
    <row r="334925" spans="12:13" x14ac:dyDescent="0.25">
      <c r="L334925" s="472"/>
      <c r="M334925" s="472"/>
    </row>
    <row r="334926" spans="12:13" x14ac:dyDescent="0.25">
      <c r="L334926" s="472"/>
      <c r="M334926" s="472"/>
    </row>
    <row r="334927" spans="12:13" x14ac:dyDescent="0.25">
      <c r="L334927" s="472"/>
      <c r="M334927" s="472"/>
    </row>
    <row r="334999" spans="12:13" x14ac:dyDescent="0.25">
      <c r="L334999" s="472"/>
      <c r="M334999" s="472"/>
    </row>
    <row r="335000" spans="12:13" x14ac:dyDescent="0.25">
      <c r="L335000" s="472"/>
      <c r="M335000" s="472"/>
    </row>
    <row r="335001" spans="12:13" x14ac:dyDescent="0.25">
      <c r="L335001" s="472"/>
      <c r="M335001" s="472"/>
    </row>
    <row r="335073" spans="12:13" x14ac:dyDescent="0.25">
      <c r="L335073" s="472"/>
      <c r="M335073" s="472"/>
    </row>
    <row r="335074" spans="12:13" x14ac:dyDescent="0.25">
      <c r="L335074" s="472"/>
      <c r="M335074" s="472"/>
    </row>
    <row r="335075" spans="12:13" x14ac:dyDescent="0.25">
      <c r="L335075" s="472"/>
      <c r="M335075" s="472"/>
    </row>
    <row r="335147" spans="12:13" x14ac:dyDescent="0.25">
      <c r="L335147" s="472"/>
      <c r="M335147" s="472"/>
    </row>
    <row r="335148" spans="12:13" x14ac:dyDescent="0.25">
      <c r="L335148" s="472"/>
      <c r="M335148" s="472"/>
    </row>
    <row r="335149" spans="12:13" x14ac:dyDescent="0.25">
      <c r="L335149" s="472"/>
      <c r="M335149" s="472"/>
    </row>
    <row r="335221" spans="12:13" x14ac:dyDescent="0.25">
      <c r="L335221" s="472"/>
      <c r="M335221" s="472"/>
    </row>
    <row r="335222" spans="12:13" x14ac:dyDescent="0.25">
      <c r="L335222" s="472"/>
      <c r="M335222" s="472"/>
    </row>
    <row r="335223" spans="12:13" x14ac:dyDescent="0.25">
      <c r="L335223" s="472"/>
      <c r="M335223" s="472"/>
    </row>
    <row r="335295" spans="12:13" x14ac:dyDescent="0.25">
      <c r="L335295" s="472"/>
      <c r="M335295" s="472"/>
    </row>
    <row r="335296" spans="12:13" x14ac:dyDescent="0.25">
      <c r="L335296" s="472"/>
      <c r="M335296" s="472"/>
    </row>
    <row r="335297" spans="12:13" x14ac:dyDescent="0.25">
      <c r="L335297" s="472"/>
      <c r="M335297" s="472"/>
    </row>
    <row r="335369" spans="12:13" x14ac:dyDescent="0.25">
      <c r="L335369" s="472"/>
      <c r="M335369" s="472"/>
    </row>
    <row r="335370" spans="12:13" x14ac:dyDescent="0.25">
      <c r="L335370" s="472"/>
      <c r="M335370" s="472"/>
    </row>
    <row r="335371" spans="12:13" x14ac:dyDescent="0.25">
      <c r="L335371" s="472"/>
      <c r="M335371" s="472"/>
    </row>
    <row r="335443" spans="12:13" x14ac:dyDescent="0.25">
      <c r="L335443" s="472"/>
      <c r="M335443" s="472"/>
    </row>
    <row r="335444" spans="12:13" x14ac:dyDescent="0.25">
      <c r="L335444" s="472"/>
      <c r="M335444" s="472"/>
    </row>
    <row r="335445" spans="12:13" x14ac:dyDescent="0.25">
      <c r="L335445" s="472"/>
      <c r="M335445" s="472"/>
    </row>
    <row r="335517" spans="12:13" x14ac:dyDescent="0.25">
      <c r="L335517" s="472"/>
      <c r="M335517" s="472"/>
    </row>
    <row r="335518" spans="12:13" x14ac:dyDescent="0.25">
      <c r="L335518" s="472"/>
      <c r="M335518" s="472"/>
    </row>
    <row r="335519" spans="12:13" x14ac:dyDescent="0.25">
      <c r="L335519" s="472"/>
      <c r="M335519" s="472"/>
    </row>
    <row r="335591" spans="12:13" x14ac:dyDescent="0.25">
      <c r="L335591" s="472"/>
      <c r="M335591" s="472"/>
    </row>
    <row r="335592" spans="12:13" x14ac:dyDescent="0.25">
      <c r="L335592" s="472"/>
      <c r="M335592" s="472"/>
    </row>
    <row r="335593" spans="12:13" x14ac:dyDescent="0.25">
      <c r="L335593" s="472"/>
      <c r="M335593" s="472"/>
    </row>
    <row r="335665" spans="12:13" x14ac:dyDescent="0.25">
      <c r="L335665" s="472"/>
      <c r="M335665" s="472"/>
    </row>
    <row r="335666" spans="12:13" x14ac:dyDescent="0.25">
      <c r="L335666" s="472"/>
      <c r="M335666" s="472"/>
    </row>
    <row r="335667" spans="12:13" x14ac:dyDescent="0.25">
      <c r="L335667" s="472"/>
      <c r="M335667" s="472"/>
    </row>
    <row r="335739" spans="12:13" x14ac:dyDescent="0.25">
      <c r="L335739" s="472"/>
      <c r="M335739" s="472"/>
    </row>
    <row r="335740" spans="12:13" x14ac:dyDescent="0.25">
      <c r="L335740" s="472"/>
      <c r="M335740" s="472"/>
    </row>
    <row r="335741" spans="12:13" x14ac:dyDescent="0.25">
      <c r="L335741" s="472"/>
      <c r="M335741" s="472"/>
    </row>
    <row r="335813" spans="12:13" x14ac:dyDescent="0.25">
      <c r="L335813" s="472"/>
      <c r="M335813" s="472"/>
    </row>
    <row r="335814" spans="12:13" x14ac:dyDescent="0.25">
      <c r="L335814" s="472"/>
      <c r="M335814" s="472"/>
    </row>
    <row r="335815" spans="12:13" x14ac:dyDescent="0.25">
      <c r="L335815" s="472"/>
      <c r="M335815" s="472"/>
    </row>
    <row r="335887" spans="12:13" x14ac:dyDescent="0.25">
      <c r="L335887" s="472"/>
      <c r="M335887" s="472"/>
    </row>
    <row r="335888" spans="12:13" x14ac:dyDescent="0.25">
      <c r="L335888" s="472"/>
      <c r="M335888" s="472"/>
    </row>
    <row r="335889" spans="12:13" x14ac:dyDescent="0.25">
      <c r="L335889" s="472"/>
      <c r="M335889" s="472"/>
    </row>
    <row r="335961" spans="12:13" x14ac:dyDescent="0.25">
      <c r="L335961" s="472"/>
      <c r="M335961" s="472"/>
    </row>
    <row r="335962" spans="12:13" x14ac:dyDescent="0.25">
      <c r="L335962" s="472"/>
      <c r="M335962" s="472"/>
    </row>
    <row r="335963" spans="12:13" x14ac:dyDescent="0.25">
      <c r="L335963" s="472"/>
      <c r="M335963" s="472"/>
    </row>
    <row r="336035" spans="12:13" x14ac:dyDescent="0.25">
      <c r="L336035" s="472"/>
      <c r="M336035" s="472"/>
    </row>
    <row r="336036" spans="12:13" x14ac:dyDescent="0.25">
      <c r="L336036" s="472"/>
      <c r="M336036" s="472"/>
    </row>
    <row r="336037" spans="12:13" x14ac:dyDescent="0.25">
      <c r="L336037" s="472"/>
      <c r="M336037" s="472"/>
    </row>
    <row r="336109" spans="12:13" x14ac:dyDescent="0.25">
      <c r="L336109" s="472"/>
      <c r="M336109" s="472"/>
    </row>
    <row r="336110" spans="12:13" x14ac:dyDescent="0.25">
      <c r="L336110" s="472"/>
      <c r="M336110" s="472"/>
    </row>
    <row r="336111" spans="12:13" x14ac:dyDescent="0.25">
      <c r="L336111" s="472"/>
      <c r="M336111" s="472"/>
    </row>
    <row r="336183" spans="12:13" x14ac:dyDescent="0.25">
      <c r="L336183" s="472"/>
      <c r="M336183" s="472"/>
    </row>
    <row r="336184" spans="12:13" x14ac:dyDescent="0.25">
      <c r="L336184" s="472"/>
      <c r="M336184" s="472"/>
    </row>
    <row r="336185" spans="12:13" x14ac:dyDescent="0.25">
      <c r="L336185" s="472"/>
      <c r="M336185" s="472"/>
    </row>
    <row r="336257" spans="12:13" x14ac:dyDescent="0.25">
      <c r="L336257" s="472"/>
      <c r="M336257" s="472"/>
    </row>
    <row r="336258" spans="12:13" x14ac:dyDescent="0.25">
      <c r="L336258" s="472"/>
      <c r="M336258" s="472"/>
    </row>
    <row r="336259" spans="12:13" x14ac:dyDescent="0.25">
      <c r="L336259" s="472"/>
      <c r="M336259" s="472"/>
    </row>
    <row r="336331" spans="12:13" x14ac:dyDescent="0.25">
      <c r="L336331" s="472"/>
      <c r="M336331" s="472"/>
    </row>
    <row r="336332" spans="12:13" x14ac:dyDescent="0.25">
      <c r="L336332" s="472"/>
      <c r="M336332" s="472"/>
    </row>
    <row r="336333" spans="12:13" x14ac:dyDescent="0.25">
      <c r="L336333" s="472"/>
      <c r="M336333" s="472"/>
    </row>
    <row r="336405" spans="12:13" x14ac:dyDescent="0.25">
      <c r="L336405" s="472"/>
      <c r="M336405" s="472"/>
    </row>
    <row r="336406" spans="12:13" x14ac:dyDescent="0.25">
      <c r="L336406" s="472"/>
      <c r="M336406" s="472"/>
    </row>
    <row r="336407" spans="12:13" x14ac:dyDescent="0.25">
      <c r="L336407" s="472"/>
      <c r="M336407" s="472"/>
    </row>
    <row r="336479" spans="12:13" x14ac:dyDescent="0.25">
      <c r="L336479" s="472"/>
      <c r="M336479" s="472"/>
    </row>
    <row r="336480" spans="12:13" x14ac:dyDescent="0.25">
      <c r="L336480" s="472"/>
      <c r="M336480" s="472"/>
    </row>
    <row r="336481" spans="12:13" x14ac:dyDescent="0.25">
      <c r="L336481" s="472"/>
      <c r="M336481" s="472"/>
    </row>
    <row r="336553" spans="12:13" x14ac:dyDescent="0.25">
      <c r="L336553" s="472"/>
      <c r="M336553" s="472"/>
    </row>
    <row r="336554" spans="12:13" x14ac:dyDescent="0.25">
      <c r="L336554" s="472"/>
      <c r="M336554" s="472"/>
    </row>
    <row r="336555" spans="12:13" x14ac:dyDescent="0.25">
      <c r="L336555" s="472"/>
      <c r="M336555" s="472"/>
    </row>
    <row r="336627" spans="12:13" x14ac:dyDescent="0.25">
      <c r="L336627" s="472"/>
      <c r="M336627" s="472"/>
    </row>
    <row r="336628" spans="12:13" x14ac:dyDescent="0.25">
      <c r="L336628" s="472"/>
      <c r="M336628" s="472"/>
    </row>
    <row r="336629" spans="12:13" x14ac:dyDescent="0.25">
      <c r="L336629" s="472"/>
      <c r="M336629" s="472"/>
    </row>
    <row r="336701" spans="12:13" x14ac:dyDescent="0.25">
      <c r="L336701" s="472"/>
      <c r="M336701" s="472"/>
    </row>
    <row r="336702" spans="12:13" x14ac:dyDescent="0.25">
      <c r="L336702" s="472"/>
      <c r="M336702" s="472"/>
    </row>
    <row r="336703" spans="12:13" x14ac:dyDescent="0.25">
      <c r="L336703" s="472"/>
      <c r="M336703" s="472"/>
    </row>
    <row r="336775" spans="12:13" x14ac:dyDescent="0.25">
      <c r="L336775" s="472"/>
      <c r="M336775" s="472"/>
    </row>
    <row r="336776" spans="12:13" x14ac:dyDescent="0.25">
      <c r="L336776" s="472"/>
      <c r="M336776" s="472"/>
    </row>
    <row r="336777" spans="12:13" x14ac:dyDescent="0.25">
      <c r="L336777" s="472"/>
      <c r="M336777" s="472"/>
    </row>
    <row r="336849" spans="12:13" x14ac:dyDescent="0.25">
      <c r="L336849" s="472"/>
      <c r="M336849" s="472"/>
    </row>
    <row r="336850" spans="12:13" x14ac:dyDescent="0.25">
      <c r="L336850" s="472"/>
      <c r="M336850" s="472"/>
    </row>
    <row r="336851" spans="12:13" x14ac:dyDescent="0.25">
      <c r="L336851" s="472"/>
      <c r="M336851" s="472"/>
    </row>
    <row r="336923" spans="12:13" x14ac:dyDescent="0.25">
      <c r="L336923" s="472"/>
      <c r="M336923" s="472"/>
    </row>
    <row r="336924" spans="12:13" x14ac:dyDescent="0.25">
      <c r="L336924" s="472"/>
      <c r="M336924" s="472"/>
    </row>
    <row r="336925" spans="12:13" x14ac:dyDescent="0.25">
      <c r="L336925" s="472"/>
      <c r="M336925" s="472"/>
    </row>
    <row r="336997" spans="12:13" x14ac:dyDescent="0.25">
      <c r="L336997" s="472"/>
      <c r="M336997" s="472"/>
    </row>
    <row r="336998" spans="12:13" x14ac:dyDescent="0.25">
      <c r="L336998" s="472"/>
      <c r="M336998" s="472"/>
    </row>
    <row r="336999" spans="12:13" x14ac:dyDescent="0.25">
      <c r="L336999" s="472"/>
      <c r="M336999" s="472"/>
    </row>
    <row r="337071" spans="12:13" x14ac:dyDescent="0.25">
      <c r="L337071" s="472"/>
      <c r="M337071" s="472"/>
    </row>
    <row r="337072" spans="12:13" x14ac:dyDescent="0.25">
      <c r="L337072" s="472"/>
      <c r="M337072" s="472"/>
    </row>
    <row r="337073" spans="12:13" x14ac:dyDescent="0.25">
      <c r="L337073" s="472"/>
      <c r="M337073" s="472"/>
    </row>
    <row r="337145" spans="12:13" x14ac:dyDescent="0.25">
      <c r="L337145" s="472"/>
      <c r="M337145" s="472"/>
    </row>
    <row r="337146" spans="12:13" x14ac:dyDescent="0.25">
      <c r="L337146" s="472"/>
      <c r="M337146" s="472"/>
    </row>
    <row r="337147" spans="12:13" x14ac:dyDescent="0.25">
      <c r="L337147" s="472"/>
      <c r="M337147" s="472"/>
    </row>
    <row r="337219" spans="12:13" x14ac:dyDescent="0.25">
      <c r="L337219" s="472"/>
      <c r="M337219" s="472"/>
    </row>
    <row r="337220" spans="12:13" x14ac:dyDescent="0.25">
      <c r="L337220" s="472"/>
      <c r="M337220" s="472"/>
    </row>
    <row r="337221" spans="12:13" x14ac:dyDescent="0.25">
      <c r="L337221" s="472"/>
      <c r="M337221" s="472"/>
    </row>
    <row r="337293" spans="12:13" x14ac:dyDescent="0.25">
      <c r="L337293" s="472"/>
      <c r="M337293" s="472"/>
    </row>
    <row r="337294" spans="12:13" x14ac:dyDescent="0.25">
      <c r="L337294" s="472"/>
      <c r="M337294" s="472"/>
    </row>
    <row r="337295" spans="12:13" x14ac:dyDescent="0.25">
      <c r="L337295" s="472"/>
      <c r="M337295" s="472"/>
    </row>
    <row r="337367" spans="12:13" x14ac:dyDescent="0.25">
      <c r="L337367" s="472"/>
      <c r="M337367" s="472"/>
    </row>
    <row r="337368" spans="12:13" x14ac:dyDescent="0.25">
      <c r="L337368" s="472"/>
      <c r="M337368" s="472"/>
    </row>
    <row r="337369" spans="12:13" x14ac:dyDescent="0.25">
      <c r="L337369" s="472"/>
      <c r="M337369" s="472"/>
    </row>
    <row r="337441" spans="12:13" x14ac:dyDescent="0.25">
      <c r="L337441" s="472"/>
      <c r="M337441" s="472"/>
    </row>
    <row r="337442" spans="12:13" x14ac:dyDescent="0.25">
      <c r="L337442" s="472"/>
      <c r="M337442" s="472"/>
    </row>
    <row r="337443" spans="12:13" x14ac:dyDescent="0.25">
      <c r="L337443" s="472"/>
      <c r="M337443" s="472"/>
    </row>
    <row r="337515" spans="12:13" x14ac:dyDescent="0.25">
      <c r="L337515" s="472"/>
      <c r="M337515" s="472"/>
    </row>
    <row r="337516" spans="12:13" x14ac:dyDescent="0.25">
      <c r="L337516" s="472"/>
      <c r="M337516" s="472"/>
    </row>
    <row r="337517" spans="12:13" x14ac:dyDescent="0.25">
      <c r="L337517" s="472"/>
      <c r="M337517" s="472"/>
    </row>
    <row r="337589" spans="12:13" x14ac:dyDescent="0.25">
      <c r="L337589" s="472"/>
      <c r="M337589" s="472"/>
    </row>
    <row r="337590" spans="12:13" x14ac:dyDescent="0.25">
      <c r="L337590" s="472"/>
      <c r="M337590" s="472"/>
    </row>
    <row r="337591" spans="12:13" x14ac:dyDescent="0.25">
      <c r="L337591" s="472"/>
      <c r="M337591" s="472"/>
    </row>
    <row r="337663" spans="12:13" x14ac:dyDescent="0.25">
      <c r="L337663" s="472"/>
      <c r="M337663" s="472"/>
    </row>
    <row r="337664" spans="12:13" x14ac:dyDescent="0.25">
      <c r="L337664" s="472"/>
      <c r="M337664" s="472"/>
    </row>
    <row r="337665" spans="12:13" x14ac:dyDescent="0.25">
      <c r="L337665" s="472"/>
      <c r="M337665" s="472"/>
    </row>
    <row r="337737" spans="12:13" x14ac:dyDescent="0.25">
      <c r="L337737" s="472"/>
      <c r="M337737" s="472"/>
    </row>
    <row r="337738" spans="12:13" x14ac:dyDescent="0.25">
      <c r="L337738" s="472"/>
      <c r="M337738" s="472"/>
    </row>
    <row r="337739" spans="12:13" x14ac:dyDescent="0.25">
      <c r="L337739" s="472"/>
      <c r="M337739" s="472"/>
    </row>
    <row r="337811" spans="12:13" x14ac:dyDescent="0.25">
      <c r="L337811" s="472"/>
      <c r="M337811" s="472"/>
    </row>
    <row r="337812" spans="12:13" x14ac:dyDescent="0.25">
      <c r="L337812" s="472"/>
      <c r="M337812" s="472"/>
    </row>
    <row r="337813" spans="12:13" x14ac:dyDescent="0.25">
      <c r="L337813" s="472"/>
      <c r="M337813" s="472"/>
    </row>
    <row r="337885" spans="12:13" x14ac:dyDescent="0.25">
      <c r="L337885" s="472"/>
      <c r="M337885" s="472"/>
    </row>
    <row r="337886" spans="12:13" x14ac:dyDescent="0.25">
      <c r="L337886" s="472"/>
      <c r="M337886" s="472"/>
    </row>
    <row r="337887" spans="12:13" x14ac:dyDescent="0.25">
      <c r="L337887" s="472"/>
      <c r="M337887" s="472"/>
    </row>
    <row r="337959" spans="12:13" x14ac:dyDescent="0.25">
      <c r="L337959" s="472"/>
      <c r="M337959" s="472"/>
    </row>
    <row r="337960" spans="12:13" x14ac:dyDescent="0.25">
      <c r="L337960" s="472"/>
      <c r="M337960" s="472"/>
    </row>
    <row r="337961" spans="12:13" x14ac:dyDescent="0.25">
      <c r="L337961" s="472"/>
      <c r="M337961" s="472"/>
    </row>
    <row r="338033" spans="12:13" x14ac:dyDescent="0.25">
      <c r="L338033" s="472"/>
      <c r="M338033" s="472"/>
    </row>
    <row r="338034" spans="12:13" x14ac:dyDescent="0.25">
      <c r="L338034" s="472"/>
      <c r="M338034" s="472"/>
    </row>
    <row r="338035" spans="12:13" x14ac:dyDescent="0.25">
      <c r="L338035" s="472"/>
      <c r="M338035" s="472"/>
    </row>
    <row r="338107" spans="12:13" x14ac:dyDescent="0.25">
      <c r="L338107" s="472"/>
      <c r="M338107" s="472"/>
    </row>
    <row r="338108" spans="12:13" x14ac:dyDescent="0.25">
      <c r="L338108" s="472"/>
      <c r="M338108" s="472"/>
    </row>
    <row r="338109" spans="12:13" x14ac:dyDescent="0.25">
      <c r="L338109" s="472"/>
      <c r="M338109" s="472"/>
    </row>
    <row r="338181" spans="12:13" x14ac:dyDescent="0.25">
      <c r="L338181" s="472"/>
      <c r="M338181" s="472"/>
    </row>
    <row r="338182" spans="12:13" x14ac:dyDescent="0.25">
      <c r="L338182" s="472"/>
      <c r="M338182" s="472"/>
    </row>
    <row r="338183" spans="12:13" x14ac:dyDescent="0.25">
      <c r="L338183" s="472"/>
      <c r="M338183" s="472"/>
    </row>
    <row r="338255" spans="12:13" x14ac:dyDescent="0.25">
      <c r="L338255" s="472"/>
      <c r="M338255" s="472"/>
    </row>
    <row r="338256" spans="12:13" x14ac:dyDescent="0.25">
      <c r="L338256" s="472"/>
      <c r="M338256" s="472"/>
    </row>
    <row r="338257" spans="12:13" x14ac:dyDescent="0.25">
      <c r="L338257" s="472"/>
      <c r="M338257" s="472"/>
    </row>
    <row r="338329" spans="12:13" x14ac:dyDescent="0.25">
      <c r="L338329" s="472"/>
      <c r="M338329" s="472"/>
    </row>
    <row r="338330" spans="12:13" x14ac:dyDescent="0.25">
      <c r="L338330" s="472"/>
      <c r="M338330" s="472"/>
    </row>
    <row r="338331" spans="12:13" x14ac:dyDescent="0.25">
      <c r="L338331" s="472"/>
      <c r="M338331" s="472"/>
    </row>
    <row r="338403" spans="12:13" x14ac:dyDescent="0.25">
      <c r="L338403" s="472"/>
      <c r="M338403" s="472"/>
    </row>
    <row r="338404" spans="12:13" x14ac:dyDescent="0.25">
      <c r="L338404" s="472"/>
      <c r="M338404" s="472"/>
    </row>
    <row r="338405" spans="12:13" x14ac:dyDescent="0.25">
      <c r="L338405" s="472"/>
      <c r="M338405" s="472"/>
    </row>
    <row r="338477" spans="12:13" x14ac:dyDescent="0.25">
      <c r="L338477" s="472"/>
      <c r="M338477" s="472"/>
    </row>
    <row r="338478" spans="12:13" x14ac:dyDescent="0.25">
      <c r="L338478" s="472"/>
      <c r="M338478" s="472"/>
    </row>
    <row r="338479" spans="12:13" x14ac:dyDescent="0.25">
      <c r="L338479" s="472"/>
      <c r="M338479" s="472"/>
    </row>
    <row r="338551" spans="12:13" x14ac:dyDescent="0.25">
      <c r="L338551" s="472"/>
      <c r="M338551" s="472"/>
    </row>
    <row r="338552" spans="12:13" x14ac:dyDescent="0.25">
      <c r="L338552" s="472"/>
      <c r="M338552" s="472"/>
    </row>
    <row r="338553" spans="12:13" x14ac:dyDescent="0.25">
      <c r="L338553" s="472"/>
      <c r="M338553" s="472"/>
    </row>
    <row r="338625" spans="12:13" x14ac:dyDescent="0.25">
      <c r="L338625" s="472"/>
      <c r="M338625" s="472"/>
    </row>
    <row r="338626" spans="12:13" x14ac:dyDescent="0.25">
      <c r="L338626" s="472"/>
      <c r="M338626" s="472"/>
    </row>
    <row r="338627" spans="12:13" x14ac:dyDescent="0.25">
      <c r="L338627" s="472"/>
      <c r="M338627" s="472"/>
    </row>
    <row r="338699" spans="12:13" x14ac:dyDescent="0.25">
      <c r="L338699" s="472"/>
      <c r="M338699" s="472"/>
    </row>
    <row r="338700" spans="12:13" x14ac:dyDescent="0.25">
      <c r="L338700" s="472"/>
      <c r="M338700" s="472"/>
    </row>
    <row r="338701" spans="12:13" x14ac:dyDescent="0.25">
      <c r="L338701" s="472"/>
      <c r="M338701" s="472"/>
    </row>
    <row r="338773" spans="12:13" x14ac:dyDescent="0.25">
      <c r="L338773" s="472"/>
      <c r="M338773" s="472"/>
    </row>
    <row r="338774" spans="12:13" x14ac:dyDescent="0.25">
      <c r="L338774" s="472"/>
      <c r="M338774" s="472"/>
    </row>
    <row r="338775" spans="12:13" x14ac:dyDescent="0.25">
      <c r="L338775" s="472"/>
      <c r="M338775" s="472"/>
    </row>
    <row r="338847" spans="12:13" x14ac:dyDescent="0.25">
      <c r="L338847" s="472"/>
      <c r="M338847" s="472"/>
    </row>
    <row r="338848" spans="12:13" x14ac:dyDescent="0.25">
      <c r="L338848" s="472"/>
      <c r="M338848" s="472"/>
    </row>
    <row r="338849" spans="12:13" x14ac:dyDescent="0.25">
      <c r="L338849" s="472"/>
      <c r="M338849" s="472"/>
    </row>
    <row r="338921" spans="12:13" x14ac:dyDescent="0.25">
      <c r="L338921" s="472"/>
      <c r="M338921" s="472"/>
    </row>
    <row r="338922" spans="12:13" x14ac:dyDescent="0.25">
      <c r="L338922" s="472"/>
      <c r="M338922" s="472"/>
    </row>
    <row r="338923" spans="12:13" x14ac:dyDescent="0.25">
      <c r="L338923" s="472"/>
      <c r="M338923" s="472"/>
    </row>
    <row r="338995" spans="12:13" x14ac:dyDescent="0.25">
      <c r="L338995" s="472"/>
      <c r="M338995" s="472"/>
    </row>
    <row r="338996" spans="12:13" x14ac:dyDescent="0.25">
      <c r="L338996" s="472"/>
      <c r="M338996" s="472"/>
    </row>
    <row r="338997" spans="12:13" x14ac:dyDescent="0.25">
      <c r="L338997" s="472"/>
      <c r="M338997" s="472"/>
    </row>
    <row r="339069" spans="12:13" x14ac:dyDescent="0.25">
      <c r="L339069" s="472"/>
      <c r="M339069" s="472"/>
    </row>
    <row r="339070" spans="12:13" x14ac:dyDescent="0.25">
      <c r="L339070" s="472"/>
      <c r="M339070" s="472"/>
    </row>
    <row r="339071" spans="12:13" x14ac:dyDescent="0.25">
      <c r="L339071" s="472"/>
      <c r="M339071" s="472"/>
    </row>
    <row r="339143" spans="12:13" x14ac:dyDescent="0.25">
      <c r="L339143" s="472"/>
      <c r="M339143" s="472"/>
    </row>
    <row r="339144" spans="12:13" x14ac:dyDescent="0.25">
      <c r="L339144" s="472"/>
      <c r="M339144" s="472"/>
    </row>
    <row r="339145" spans="12:13" x14ac:dyDescent="0.25">
      <c r="L339145" s="472"/>
      <c r="M339145" s="472"/>
    </row>
    <row r="339217" spans="12:13" x14ac:dyDescent="0.25">
      <c r="L339217" s="472"/>
      <c r="M339217" s="472"/>
    </row>
    <row r="339218" spans="12:13" x14ac:dyDescent="0.25">
      <c r="L339218" s="472"/>
      <c r="M339218" s="472"/>
    </row>
    <row r="339219" spans="12:13" x14ac:dyDescent="0.25">
      <c r="L339219" s="472"/>
      <c r="M339219" s="472"/>
    </row>
    <row r="339291" spans="12:13" x14ac:dyDescent="0.25">
      <c r="L339291" s="472"/>
      <c r="M339291" s="472"/>
    </row>
    <row r="339292" spans="12:13" x14ac:dyDescent="0.25">
      <c r="L339292" s="472"/>
      <c r="M339292" s="472"/>
    </row>
    <row r="339293" spans="12:13" x14ac:dyDescent="0.25">
      <c r="L339293" s="472"/>
      <c r="M339293" s="472"/>
    </row>
    <row r="339365" spans="12:13" x14ac:dyDescent="0.25">
      <c r="L339365" s="472"/>
      <c r="M339365" s="472"/>
    </row>
    <row r="339366" spans="12:13" x14ac:dyDescent="0.25">
      <c r="L339366" s="472"/>
      <c r="M339366" s="472"/>
    </row>
    <row r="339367" spans="12:13" x14ac:dyDescent="0.25">
      <c r="L339367" s="472"/>
      <c r="M339367" s="472"/>
    </row>
    <row r="339439" spans="12:13" x14ac:dyDescent="0.25">
      <c r="L339439" s="472"/>
      <c r="M339439" s="472"/>
    </row>
    <row r="339440" spans="12:13" x14ac:dyDescent="0.25">
      <c r="L339440" s="472"/>
      <c r="M339440" s="472"/>
    </row>
    <row r="339441" spans="12:13" x14ac:dyDescent="0.25">
      <c r="L339441" s="472"/>
      <c r="M339441" s="472"/>
    </row>
    <row r="339513" spans="12:13" x14ac:dyDescent="0.25">
      <c r="L339513" s="472"/>
      <c r="M339513" s="472"/>
    </row>
    <row r="339514" spans="12:13" x14ac:dyDescent="0.25">
      <c r="L339514" s="472"/>
      <c r="M339514" s="472"/>
    </row>
    <row r="339515" spans="12:13" x14ac:dyDescent="0.25">
      <c r="L339515" s="472"/>
      <c r="M339515" s="472"/>
    </row>
    <row r="339587" spans="12:13" x14ac:dyDescent="0.25">
      <c r="L339587" s="472"/>
      <c r="M339587" s="472"/>
    </row>
    <row r="339588" spans="12:13" x14ac:dyDescent="0.25">
      <c r="L339588" s="472"/>
      <c r="M339588" s="472"/>
    </row>
    <row r="339589" spans="12:13" x14ac:dyDescent="0.25">
      <c r="L339589" s="472"/>
      <c r="M339589" s="472"/>
    </row>
    <row r="339661" spans="12:13" x14ac:dyDescent="0.25">
      <c r="L339661" s="472"/>
      <c r="M339661" s="472"/>
    </row>
    <row r="339662" spans="12:13" x14ac:dyDescent="0.25">
      <c r="L339662" s="472"/>
      <c r="M339662" s="472"/>
    </row>
    <row r="339663" spans="12:13" x14ac:dyDescent="0.25">
      <c r="L339663" s="472"/>
      <c r="M339663" s="472"/>
    </row>
    <row r="339735" spans="12:13" x14ac:dyDescent="0.25">
      <c r="L339735" s="472"/>
      <c r="M339735" s="472"/>
    </row>
    <row r="339736" spans="12:13" x14ac:dyDescent="0.25">
      <c r="L339736" s="472"/>
      <c r="M339736" s="472"/>
    </row>
    <row r="339737" spans="12:13" x14ac:dyDescent="0.25">
      <c r="L339737" s="472"/>
      <c r="M339737" s="472"/>
    </row>
    <row r="339809" spans="12:13" x14ac:dyDescent="0.25">
      <c r="L339809" s="472"/>
      <c r="M339809" s="472"/>
    </row>
    <row r="339810" spans="12:13" x14ac:dyDescent="0.25">
      <c r="L339810" s="472"/>
      <c r="M339810" s="472"/>
    </row>
    <row r="339811" spans="12:13" x14ac:dyDescent="0.25">
      <c r="L339811" s="472"/>
      <c r="M339811" s="472"/>
    </row>
    <row r="339883" spans="12:13" x14ac:dyDescent="0.25">
      <c r="L339883" s="472"/>
      <c r="M339883" s="472"/>
    </row>
    <row r="339884" spans="12:13" x14ac:dyDescent="0.25">
      <c r="L339884" s="472"/>
      <c r="M339884" s="472"/>
    </row>
    <row r="339885" spans="12:13" x14ac:dyDescent="0.25">
      <c r="L339885" s="472"/>
      <c r="M339885" s="472"/>
    </row>
    <row r="339957" spans="12:13" x14ac:dyDescent="0.25">
      <c r="L339957" s="472"/>
      <c r="M339957" s="472"/>
    </row>
    <row r="339958" spans="12:13" x14ac:dyDescent="0.25">
      <c r="L339958" s="472"/>
      <c r="M339958" s="472"/>
    </row>
    <row r="339959" spans="12:13" x14ac:dyDescent="0.25">
      <c r="L339959" s="472"/>
      <c r="M339959" s="472"/>
    </row>
    <row r="340031" spans="12:13" x14ac:dyDescent="0.25">
      <c r="L340031" s="472"/>
      <c r="M340031" s="472"/>
    </row>
    <row r="340032" spans="12:13" x14ac:dyDescent="0.25">
      <c r="L340032" s="472"/>
      <c r="M340032" s="472"/>
    </row>
    <row r="340033" spans="12:13" x14ac:dyDescent="0.25">
      <c r="L340033" s="472"/>
      <c r="M340033" s="472"/>
    </row>
    <row r="340105" spans="12:13" x14ac:dyDescent="0.25">
      <c r="L340105" s="472"/>
      <c r="M340105" s="472"/>
    </row>
    <row r="340106" spans="12:13" x14ac:dyDescent="0.25">
      <c r="L340106" s="472"/>
      <c r="M340106" s="472"/>
    </row>
    <row r="340107" spans="12:13" x14ac:dyDescent="0.25">
      <c r="L340107" s="472"/>
      <c r="M340107" s="472"/>
    </row>
    <row r="340179" spans="12:13" x14ac:dyDescent="0.25">
      <c r="L340179" s="472"/>
      <c r="M340179" s="472"/>
    </row>
    <row r="340180" spans="12:13" x14ac:dyDescent="0.25">
      <c r="L340180" s="472"/>
      <c r="M340180" s="472"/>
    </row>
    <row r="340181" spans="12:13" x14ac:dyDescent="0.25">
      <c r="L340181" s="472"/>
      <c r="M340181" s="472"/>
    </row>
    <row r="340253" spans="12:13" x14ac:dyDescent="0.25">
      <c r="L340253" s="472"/>
      <c r="M340253" s="472"/>
    </row>
    <row r="340254" spans="12:13" x14ac:dyDescent="0.25">
      <c r="L340254" s="472"/>
      <c r="M340254" s="472"/>
    </row>
    <row r="340255" spans="12:13" x14ac:dyDescent="0.25">
      <c r="L340255" s="472"/>
      <c r="M340255" s="472"/>
    </row>
    <row r="340327" spans="12:13" x14ac:dyDescent="0.25">
      <c r="L340327" s="472"/>
      <c r="M340327" s="472"/>
    </row>
    <row r="340328" spans="12:13" x14ac:dyDescent="0.25">
      <c r="L340328" s="472"/>
      <c r="M340328" s="472"/>
    </row>
    <row r="340329" spans="12:13" x14ac:dyDescent="0.25">
      <c r="L340329" s="472"/>
      <c r="M340329" s="472"/>
    </row>
    <row r="340401" spans="12:13" x14ac:dyDescent="0.25">
      <c r="L340401" s="472"/>
      <c r="M340401" s="472"/>
    </row>
    <row r="340402" spans="12:13" x14ac:dyDescent="0.25">
      <c r="L340402" s="472"/>
      <c r="M340402" s="472"/>
    </row>
    <row r="340403" spans="12:13" x14ac:dyDescent="0.25">
      <c r="L340403" s="472"/>
      <c r="M340403" s="472"/>
    </row>
    <row r="340475" spans="12:13" x14ac:dyDescent="0.25">
      <c r="L340475" s="472"/>
      <c r="M340475" s="472"/>
    </row>
    <row r="340476" spans="12:13" x14ac:dyDescent="0.25">
      <c r="L340476" s="472"/>
      <c r="M340476" s="472"/>
    </row>
    <row r="340477" spans="12:13" x14ac:dyDescent="0.25">
      <c r="L340477" s="472"/>
      <c r="M340477" s="472"/>
    </row>
    <row r="340549" spans="12:13" x14ac:dyDescent="0.25">
      <c r="L340549" s="472"/>
      <c r="M340549" s="472"/>
    </row>
    <row r="340550" spans="12:13" x14ac:dyDescent="0.25">
      <c r="L340550" s="472"/>
      <c r="M340550" s="472"/>
    </row>
    <row r="340551" spans="12:13" x14ac:dyDescent="0.25">
      <c r="L340551" s="472"/>
      <c r="M340551" s="472"/>
    </row>
    <row r="340623" spans="12:13" x14ac:dyDescent="0.25">
      <c r="L340623" s="472"/>
      <c r="M340623" s="472"/>
    </row>
    <row r="340624" spans="12:13" x14ac:dyDescent="0.25">
      <c r="L340624" s="472"/>
      <c r="M340624" s="472"/>
    </row>
    <row r="340625" spans="12:13" x14ac:dyDescent="0.25">
      <c r="L340625" s="472"/>
      <c r="M340625" s="472"/>
    </row>
    <row r="340697" spans="12:13" x14ac:dyDescent="0.25">
      <c r="L340697" s="472"/>
      <c r="M340697" s="472"/>
    </row>
    <row r="340698" spans="12:13" x14ac:dyDescent="0.25">
      <c r="L340698" s="472"/>
      <c r="M340698" s="472"/>
    </row>
    <row r="340699" spans="12:13" x14ac:dyDescent="0.25">
      <c r="L340699" s="472"/>
      <c r="M340699" s="472"/>
    </row>
    <row r="340771" spans="12:13" x14ac:dyDescent="0.25">
      <c r="L340771" s="472"/>
      <c r="M340771" s="472"/>
    </row>
    <row r="340772" spans="12:13" x14ac:dyDescent="0.25">
      <c r="L340772" s="472"/>
      <c r="M340772" s="472"/>
    </row>
    <row r="340773" spans="12:13" x14ac:dyDescent="0.25">
      <c r="L340773" s="472"/>
      <c r="M340773" s="472"/>
    </row>
    <row r="340845" spans="12:13" x14ac:dyDescent="0.25">
      <c r="L340845" s="472"/>
      <c r="M340845" s="472"/>
    </row>
    <row r="340846" spans="12:13" x14ac:dyDescent="0.25">
      <c r="L340846" s="472"/>
      <c r="M340846" s="472"/>
    </row>
    <row r="340847" spans="12:13" x14ac:dyDescent="0.25">
      <c r="L340847" s="472"/>
      <c r="M340847" s="472"/>
    </row>
    <row r="340919" spans="12:13" x14ac:dyDescent="0.25">
      <c r="L340919" s="472"/>
      <c r="M340919" s="472"/>
    </row>
    <row r="340920" spans="12:13" x14ac:dyDescent="0.25">
      <c r="L340920" s="472"/>
      <c r="M340920" s="472"/>
    </row>
    <row r="340921" spans="12:13" x14ac:dyDescent="0.25">
      <c r="L340921" s="472"/>
      <c r="M340921" s="472"/>
    </row>
    <row r="340993" spans="12:13" x14ac:dyDescent="0.25">
      <c r="L340993" s="472"/>
      <c r="M340993" s="472"/>
    </row>
    <row r="340994" spans="12:13" x14ac:dyDescent="0.25">
      <c r="L340994" s="472"/>
      <c r="M340994" s="472"/>
    </row>
    <row r="340995" spans="12:13" x14ac:dyDescent="0.25">
      <c r="L340995" s="472"/>
      <c r="M340995" s="472"/>
    </row>
    <row r="341067" spans="12:13" x14ac:dyDescent="0.25">
      <c r="L341067" s="472"/>
      <c r="M341067" s="472"/>
    </row>
    <row r="341068" spans="12:13" x14ac:dyDescent="0.25">
      <c r="L341068" s="472"/>
      <c r="M341068" s="472"/>
    </row>
    <row r="341069" spans="12:13" x14ac:dyDescent="0.25">
      <c r="L341069" s="472"/>
      <c r="M341069" s="472"/>
    </row>
    <row r="341141" spans="12:13" x14ac:dyDescent="0.25">
      <c r="L341141" s="472"/>
      <c r="M341141" s="472"/>
    </row>
    <row r="341142" spans="12:13" x14ac:dyDescent="0.25">
      <c r="L341142" s="472"/>
      <c r="M341142" s="472"/>
    </row>
    <row r="341143" spans="12:13" x14ac:dyDescent="0.25">
      <c r="L341143" s="472"/>
      <c r="M341143" s="472"/>
    </row>
    <row r="341215" spans="12:13" x14ac:dyDescent="0.25">
      <c r="L341215" s="472"/>
      <c r="M341215" s="472"/>
    </row>
    <row r="341216" spans="12:13" x14ac:dyDescent="0.25">
      <c r="L341216" s="472"/>
      <c r="M341216" s="472"/>
    </row>
    <row r="341217" spans="12:13" x14ac:dyDescent="0.25">
      <c r="L341217" s="472"/>
      <c r="M341217" s="472"/>
    </row>
    <row r="341289" spans="12:13" x14ac:dyDescent="0.25">
      <c r="L341289" s="472"/>
      <c r="M341289" s="472"/>
    </row>
    <row r="341290" spans="12:13" x14ac:dyDescent="0.25">
      <c r="L341290" s="472"/>
      <c r="M341290" s="472"/>
    </row>
    <row r="341291" spans="12:13" x14ac:dyDescent="0.25">
      <c r="L341291" s="472"/>
      <c r="M341291" s="472"/>
    </row>
    <row r="341363" spans="12:13" x14ac:dyDescent="0.25">
      <c r="L341363" s="472"/>
      <c r="M341363" s="472"/>
    </row>
    <row r="341364" spans="12:13" x14ac:dyDescent="0.25">
      <c r="L341364" s="472"/>
      <c r="M341364" s="472"/>
    </row>
    <row r="341365" spans="12:13" x14ac:dyDescent="0.25">
      <c r="L341365" s="472"/>
      <c r="M341365" s="472"/>
    </row>
    <row r="341437" spans="12:13" x14ac:dyDescent="0.25">
      <c r="L341437" s="472"/>
      <c r="M341437" s="472"/>
    </row>
    <row r="341438" spans="12:13" x14ac:dyDescent="0.25">
      <c r="L341438" s="472"/>
      <c r="M341438" s="472"/>
    </row>
    <row r="341439" spans="12:13" x14ac:dyDescent="0.25">
      <c r="L341439" s="472"/>
      <c r="M341439" s="472"/>
    </row>
    <row r="341511" spans="12:13" x14ac:dyDescent="0.25">
      <c r="L341511" s="472"/>
      <c r="M341511" s="472"/>
    </row>
    <row r="341512" spans="12:13" x14ac:dyDescent="0.25">
      <c r="L341512" s="472"/>
      <c r="M341512" s="472"/>
    </row>
    <row r="341513" spans="12:13" x14ac:dyDescent="0.25">
      <c r="L341513" s="472"/>
      <c r="M341513" s="472"/>
    </row>
    <row r="341585" spans="12:13" x14ac:dyDescent="0.25">
      <c r="L341585" s="472"/>
      <c r="M341585" s="472"/>
    </row>
    <row r="341586" spans="12:13" x14ac:dyDescent="0.25">
      <c r="L341586" s="472"/>
      <c r="M341586" s="472"/>
    </row>
    <row r="341587" spans="12:13" x14ac:dyDescent="0.25">
      <c r="L341587" s="472"/>
      <c r="M341587" s="472"/>
    </row>
    <row r="341659" spans="12:13" x14ac:dyDescent="0.25">
      <c r="L341659" s="472"/>
      <c r="M341659" s="472"/>
    </row>
    <row r="341660" spans="12:13" x14ac:dyDescent="0.25">
      <c r="L341660" s="472"/>
      <c r="M341660" s="472"/>
    </row>
    <row r="341661" spans="12:13" x14ac:dyDescent="0.25">
      <c r="L341661" s="472"/>
      <c r="M341661" s="472"/>
    </row>
    <row r="341733" spans="12:13" x14ac:dyDescent="0.25">
      <c r="L341733" s="472"/>
      <c r="M341733" s="472"/>
    </row>
    <row r="341734" spans="12:13" x14ac:dyDescent="0.25">
      <c r="L341734" s="472"/>
      <c r="M341734" s="472"/>
    </row>
    <row r="341735" spans="12:13" x14ac:dyDescent="0.25">
      <c r="L341735" s="472"/>
      <c r="M341735" s="472"/>
    </row>
    <row r="341807" spans="12:13" x14ac:dyDescent="0.25">
      <c r="L341807" s="472"/>
      <c r="M341807" s="472"/>
    </row>
    <row r="341808" spans="12:13" x14ac:dyDescent="0.25">
      <c r="L341808" s="472"/>
      <c r="M341808" s="472"/>
    </row>
    <row r="341809" spans="12:13" x14ac:dyDescent="0.25">
      <c r="L341809" s="472"/>
      <c r="M341809" s="472"/>
    </row>
    <row r="341881" spans="12:13" x14ac:dyDescent="0.25">
      <c r="L341881" s="472"/>
      <c r="M341881" s="472"/>
    </row>
    <row r="341882" spans="12:13" x14ac:dyDescent="0.25">
      <c r="L341882" s="472"/>
      <c r="M341882" s="472"/>
    </row>
    <row r="341883" spans="12:13" x14ac:dyDescent="0.25">
      <c r="L341883" s="472"/>
      <c r="M341883" s="472"/>
    </row>
    <row r="341955" spans="12:13" x14ac:dyDescent="0.25">
      <c r="L341955" s="472"/>
      <c r="M341955" s="472"/>
    </row>
    <row r="341956" spans="12:13" x14ac:dyDescent="0.25">
      <c r="L341956" s="472"/>
      <c r="M341956" s="472"/>
    </row>
    <row r="341957" spans="12:13" x14ac:dyDescent="0.25">
      <c r="L341957" s="472"/>
      <c r="M341957" s="472"/>
    </row>
    <row r="342029" spans="12:13" x14ac:dyDescent="0.25">
      <c r="L342029" s="472"/>
      <c r="M342029" s="472"/>
    </row>
    <row r="342030" spans="12:13" x14ac:dyDescent="0.25">
      <c r="L342030" s="472"/>
      <c r="M342030" s="472"/>
    </row>
    <row r="342031" spans="12:13" x14ac:dyDescent="0.25">
      <c r="L342031" s="472"/>
      <c r="M342031" s="472"/>
    </row>
    <row r="342103" spans="12:13" x14ac:dyDescent="0.25">
      <c r="L342103" s="472"/>
      <c r="M342103" s="472"/>
    </row>
    <row r="342104" spans="12:13" x14ac:dyDescent="0.25">
      <c r="L342104" s="472"/>
      <c r="M342104" s="472"/>
    </row>
    <row r="342105" spans="12:13" x14ac:dyDescent="0.25">
      <c r="L342105" s="472"/>
      <c r="M342105" s="472"/>
    </row>
    <row r="342177" spans="12:13" x14ac:dyDescent="0.25">
      <c r="L342177" s="472"/>
      <c r="M342177" s="472"/>
    </row>
    <row r="342178" spans="12:13" x14ac:dyDescent="0.25">
      <c r="L342178" s="472"/>
      <c r="M342178" s="472"/>
    </row>
    <row r="342179" spans="12:13" x14ac:dyDescent="0.25">
      <c r="L342179" s="472"/>
      <c r="M342179" s="472"/>
    </row>
    <row r="342251" spans="12:13" x14ac:dyDescent="0.25">
      <c r="L342251" s="472"/>
      <c r="M342251" s="472"/>
    </row>
    <row r="342252" spans="12:13" x14ac:dyDescent="0.25">
      <c r="L342252" s="472"/>
      <c r="M342252" s="472"/>
    </row>
    <row r="342253" spans="12:13" x14ac:dyDescent="0.25">
      <c r="L342253" s="472"/>
      <c r="M342253" s="472"/>
    </row>
    <row r="342325" spans="12:13" x14ac:dyDescent="0.25">
      <c r="L342325" s="472"/>
      <c r="M342325" s="472"/>
    </row>
    <row r="342326" spans="12:13" x14ac:dyDescent="0.25">
      <c r="L342326" s="472"/>
      <c r="M342326" s="472"/>
    </row>
    <row r="342327" spans="12:13" x14ac:dyDescent="0.25">
      <c r="L342327" s="472"/>
      <c r="M342327" s="472"/>
    </row>
    <row r="342399" spans="12:13" x14ac:dyDescent="0.25">
      <c r="L342399" s="472"/>
      <c r="M342399" s="472"/>
    </row>
    <row r="342400" spans="12:13" x14ac:dyDescent="0.25">
      <c r="L342400" s="472"/>
      <c r="M342400" s="472"/>
    </row>
    <row r="342401" spans="12:13" x14ac:dyDescent="0.25">
      <c r="L342401" s="472"/>
      <c r="M342401" s="472"/>
    </row>
    <row r="342473" spans="12:13" x14ac:dyDescent="0.25">
      <c r="L342473" s="472"/>
      <c r="M342473" s="472"/>
    </row>
    <row r="342474" spans="12:13" x14ac:dyDescent="0.25">
      <c r="L342474" s="472"/>
      <c r="M342474" s="472"/>
    </row>
    <row r="342475" spans="12:13" x14ac:dyDescent="0.25">
      <c r="L342475" s="472"/>
      <c r="M342475" s="472"/>
    </row>
    <row r="342547" spans="12:13" x14ac:dyDescent="0.25">
      <c r="L342547" s="472"/>
      <c r="M342547" s="472"/>
    </row>
    <row r="342548" spans="12:13" x14ac:dyDescent="0.25">
      <c r="L342548" s="472"/>
      <c r="M342548" s="472"/>
    </row>
    <row r="342549" spans="12:13" x14ac:dyDescent="0.25">
      <c r="L342549" s="472"/>
      <c r="M342549" s="472"/>
    </row>
    <row r="342621" spans="12:13" x14ac:dyDescent="0.25">
      <c r="L342621" s="472"/>
      <c r="M342621" s="472"/>
    </row>
    <row r="342622" spans="12:13" x14ac:dyDescent="0.25">
      <c r="L342622" s="472"/>
      <c r="M342622" s="472"/>
    </row>
    <row r="342623" spans="12:13" x14ac:dyDescent="0.25">
      <c r="L342623" s="472"/>
      <c r="M342623" s="472"/>
    </row>
    <row r="342695" spans="12:13" x14ac:dyDescent="0.25">
      <c r="L342695" s="472"/>
      <c r="M342695" s="472"/>
    </row>
    <row r="342696" spans="12:13" x14ac:dyDescent="0.25">
      <c r="L342696" s="472"/>
      <c r="M342696" s="472"/>
    </row>
    <row r="342697" spans="12:13" x14ac:dyDescent="0.25">
      <c r="L342697" s="472"/>
      <c r="M342697" s="472"/>
    </row>
    <row r="342769" spans="12:13" x14ac:dyDescent="0.25">
      <c r="L342769" s="472"/>
      <c r="M342769" s="472"/>
    </row>
    <row r="342770" spans="12:13" x14ac:dyDescent="0.25">
      <c r="L342770" s="472"/>
      <c r="M342770" s="472"/>
    </row>
    <row r="342771" spans="12:13" x14ac:dyDescent="0.25">
      <c r="L342771" s="472"/>
      <c r="M342771" s="472"/>
    </row>
    <row r="342843" spans="12:13" x14ac:dyDescent="0.25">
      <c r="L342843" s="472"/>
      <c r="M342843" s="472"/>
    </row>
    <row r="342844" spans="12:13" x14ac:dyDescent="0.25">
      <c r="L342844" s="472"/>
      <c r="M342844" s="472"/>
    </row>
    <row r="342845" spans="12:13" x14ac:dyDescent="0.25">
      <c r="L342845" s="472"/>
      <c r="M342845" s="472"/>
    </row>
    <row r="342917" spans="12:13" x14ac:dyDescent="0.25">
      <c r="L342917" s="472"/>
      <c r="M342917" s="472"/>
    </row>
    <row r="342918" spans="12:13" x14ac:dyDescent="0.25">
      <c r="L342918" s="472"/>
      <c r="M342918" s="472"/>
    </row>
    <row r="342919" spans="12:13" x14ac:dyDescent="0.25">
      <c r="L342919" s="472"/>
      <c r="M342919" s="472"/>
    </row>
    <row r="342991" spans="12:13" x14ac:dyDescent="0.25">
      <c r="L342991" s="472"/>
      <c r="M342991" s="472"/>
    </row>
    <row r="342992" spans="12:13" x14ac:dyDescent="0.25">
      <c r="L342992" s="472"/>
      <c r="M342992" s="472"/>
    </row>
    <row r="342993" spans="12:13" x14ac:dyDescent="0.25">
      <c r="L342993" s="472"/>
      <c r="M342993" s="472"/>
    </row>
    <row r="343065" spans="12:13" x14ac:dyDescent="0.25">
      <c r="L343065" s="472"/>
      <c r="M343065" s="472"/>
    </row>
    <row r="343066" spans="12:13" x14ac:dyDescent="0.25">
      <c r="L343066" s="472"/>
      <c r="M343066" s="472"/>
    </row>
    <row r="343067" spans="12:13" x14ac:dyDescent="0.25">
      <c r="L343067" s="472"/>
      <c r="M343067" s="472"/>
    </row>
    <row r="343139" spans="12:13" x14ac:dyDescent="0.25">
      <c r="L343139" s="472"/>
      <c r="M343139" s="472"/>
    </row>
    <row r="343140" spans="12:13" x14ac:dyDescent="0.25">
      <c r="L343140" s="472"/>
      <c r="M343140" s="472"/>
    </row>
    <row r="343141" spans="12:13" x14ac:dyDescent="0.25">
      <c r="L343141" s="472"/>
      <c r="M343141" s="472"/>
    </row>
    <row r="343213" spans="12:13" x14ac:dyDescent="0.25">
      <c r="L343213" s="472"/>
      <c r="M343213" s="472"/>
    </row>
    <row r="343214" spans="12:13" x14ac:dyDescent="0.25">
      <c r="L343214" s="472"/>
      <c r="M343214" s="472"/>
    </row>
    <row r="343215" spans="12:13" x14ac:dyDescent="0.25">
      <c r="L343215" s="472"/>
      <c r="M343215" s="472"/>
    </row>
    <row r="343287" spans="12:13" x14ac:dyDescent="0.25">
      <c r="L343287" s="472"/>
      <c r="M343287" s="472"/>
    </row>
    <row r="343288" spans="12:13" x14ac:dyDescent="0.25">
      <c r="L343288" s="472"/>
      <c r="M343288" s="472"/>
    </row>
    <row r="343289" spans="12:13" x14ac:dyDescent="0.25">
      <c r="L343289" s="472"/>
      <c r="M343289" s="472"/>
    </row>
    <row r="343361" spans="12:13" x14ac:dyDescent="0.25">
      <c r="L343361" s="472"/>
      <c r="M343361" s="472"/>
    </row>
    <row r="343362" spans="12:13" x14ac:dyDescent="0.25">
      <c r="L343362" s="472"/>
      <c r="M343362" s="472"/>
    </row>
    <row r="343363" spans="12:13" x14ac:dyDescent="0.25">
      <c r="L343363" s="472"/>
      <c r="M343363" s="472"/>
    </row>
    <row r="343435" spans="12:13" x14ac:dyDescent="0.25">
      <c r="L343435" s="472"/>
      <c r="M343435" s="472"/>
    </row>
    <row r="343436" spans="12:13" x14ac:dyDescent="0.25">
      <c r="L343436" s="472"/>
      <c r="M343436" s="472"/>
    </row>
    <row r="343437" spans="12:13" x14ac:dyDescent="0.25">
      <c r="L343437" s="472"/>
      <c r="M343437" s="472"/>
    </row>
    <row r="343509" spans="12:13" x14ac:dyDescent="0.25">
      <c r="L343509" s="472"/>
      <c r="M343509" s="472"/>
    </row>
    <row r="343510" spans="12:13" x14ac:dyDescent="0.25">
      <c r="L343510" s="472"/>
      <c r="M343510" s="472"/>
    </row>
    <row r="343511" spans="12:13" x14ac:dyDescent="0.25">
      <c r="L343511" s="472"/>
      <c r="M343511" s="472"/>
    </row>
    <row r="343583" spans="12:13" x14ac:dyDescent="0.25">
      <c r="L343583" s="472"/>
      <c r="M343583" s="472"/>
    </row>
    <row r="343584" spans="12:13" x14ac:dyDescent="0.25">
      <c r="L343584" s="472"/>
      <c r="M343584" s="472"/>
    </row>
    <row r="343585" spans="12:13" x14ac:dyDescent="0.25">
      <c r="L343585" s="472"/>
      <c r="M343585" s="472"/>
    </row>
    <row r="343657" spans="12:13" x14ac:dyDescent="0.25">
      <c r="L343657" s="472"/>
      <c r="M343657" s="472"/>
    </row>
    <row r="343658" spans="12:13" x14ac:dyDescent="0.25">
      <c r="L343658" s="472"/>
      <c r="M343658" s="472"/>
    </row>
    <row r="343659" spans="12:13" x14ac:dyDescent="0.25">
      <c r="L343659" s="472"/>
      <c r="M343659" s="472"/>
    </row>
    <row r="343731" spans="12:13" x14ac:dyDescent="0.25">
      <c r="L343731" s="472"/>
      <c r="M343731" s="472"/>
    </row>
    <row r="343732" spans="12:13" x14ac:dyDescent="0.25">
      <c r="L343732" s="472"/>
      <c r="M343732" s="472"/>
    </row>
    <row r="343733" spans="12:13" x14ac:dyDescent="0.25">
      <c r="L343733" s="472"/>
      <c r="M343733" s="472"/>
    </row>
    <row r="343805" spans="12:13" x14ac:dyDescent="0.25">
      <c r="L343805" s="472"/>
      <c r="M343805" s="472"/>
    </row>
    <row r="343806" spans="12:13" x14ac:dyDescent="0.25">
      <c r="L343806" s="472"/>
      <c r="M343806" s="472"/>
    </row>
    <row r="343807" spans="12:13" x14ac:dyDescent="0.25">
      <c r="L343807" s="472"/>
      <c r="M343807" s="472"/>
    </row>
    <row r="343879" spans="12:13" x14ac:dyDescent="0.25">
      <c r="L343879" s="472"/>
      <c r="M343879" s="472"/>
    </row>
    <row r="343880" spans="12:13" x14ac:dyDescent="0.25">
      <c r="L343880" s="472"/>
      <c r="M343880" s="472"/>
    </row>
    <row r="343881" spans="12:13" x14ac:dyDescent="0.25">
      <c r="L343881" s="472"/>
      <c r="M343881" s="472"/>
    </row>
    <row r="343953" spans="12:13" x14ac:dyDescent="0.25">
      <c r="L343953" s="472"/>
      <c r="M343953" s="472"/>
    </row>
    <row r="343954" spans="12:13" x14ac:dyDescent="0.25">
      <c r="L343954" s="472"/>
      <c r="M343954" s="472"/>
    </row>
    <row r="343955" spans="12:13" x14ac:dyDescent="0.25">
      <c r="L343955" s="472"/>
      <c r="M343955" s="472"/>
    </row>
    <row r="344027" spans="12:13" x14ac:dyDescent="0.25">
      <c r="L344027" s="472"/>
      <c r="M344027" s="472"/>
    </row>
    <row r="344028" spans="12:13" x14ac:dyDescent="0.25">
      <c r="L344028" s="472"/>
      <c r="M344028" s="472"/>
    </row>
    <row r="344029" spans="12:13" x14ac:dyDescent="0.25">
      <c r="L344029" s="472"/>
      <c r="M344029" s="472"/>
    </row>
    <row r="344101" spans="12:13" x14ac:dyDescent="0.25">
      <c r="L344101" s="472"/>
      <c r="M344101" s="472"/>
    </row>
    <row r="344102" spans="12:13" x14ac:dyDescent="0.25">
      <c r="L344102" s="472"/>
      <c r="M344102" s="472"/>
    </row>
    <row r="344103" spans="12:13" x14ac:dyDescent="0.25">
      <c r="L344103" s="472"/>
      <c r="M344103" s="472"/>
    </row>
    <row r="344175" spans="12:13" x14ac:dyDescent="0.25">
      <c r="L344175" s="472"/>
      <c r="M344175" s="472"/>
    </row>
    <row r="344176" spans="12:13" x14ac:dyDescent="0.25">
      <c r="L344176" s="472"/>
      <c r="M344176" s="472"/>
    </row>
    <row r="344177" spans="12:13" x14ac:dyDescent="0.25">
      <c r="L344177" s="472"/>
      <c r="M344177" s="472"/>
    </row>
    <row r="344249" spans="12:13" x14ac:dyDescent="0.25">
      <c r="L344249" s="472"/>
      <c r="M344249" s="472"/>
    </row>
    <row r="344250" spans="12:13" x14ac:dyDescent="0.25">
      <c r="L344250" s="472"/>
      <c r="M344250" s="472"/>
    </row>
    <row r="344251" spans="12:13" x14ac:dyDescent="0.25">
      <c r="L344251" s="472"/>
      <c r="M344251" s="472"/>
    </row>
    <row r="344323" spans="12:13" x14ac:dyDescent="0.25">
      <c r="L344323" s="472"/>
      <c r="M344323" s="472"/>
    </row>
    <row r="344324" spans="12:13" x14ac:dyDescent="0.25">
      <c r="L344324" s="472"/>
      <c r="M344324" s="472"/>
    </row>
    <row r="344325" spans="12:13" x14ac:dyDescent="0.25">
      <c r="L344325" s="472"/>
      <c r="M344325" s="472"/>
    </row>
    <row r="344397" spans="12:13" x14ac:dyDescent="0.25">
      <c r="L344397" s="472"/>
      <c r="M344397" s="472"/>
    </row>
    <row r="344398" spans="12:13" x14ac:dyDescent="0.25">
      <c r="L344398" s="472"/>
      <c r="M344398" s="472"/>
    </row>
    <row r="344399" spans="12:13" x14ac:dyDescent="0.25">
      <c r="L344399" s="472"/>
      <c r="M344399" s="472"/>
    </row>
    <row r="344471" spans="12:13" x14ac:dyDescent="0.25">
      <c r="L344471" s="472"/>
      <c r="M344471" s="472"/>
    </row>
    <row r="344472" spans="12:13" x14ac:dyDescent="0.25">
      <c r="L344472" s="472"/>
      <c r="M344472" s="472"/>
    </row>
    <row r="344473" spans="12:13" x14ac:dyDescent="0.25">
      <c r="L344473" s="472"/>
      <c r="M344473" s="472"/>
    </row>
    <row r="344545" spans="12:13" x14ac:dyDescent="0.25">
      <c r="L344545" s="472"/>
      <c r="M344545" s="472"/>
    </row>
    <row r="344546" spans="12:13" x14ac:dyDescent="0.25">
      <c r="L344546" s="472"/>
      <c r="M344546" s="472"/>
    </row>
    <row r="344547" spans="12:13" x14ac:dyDescent="0.25">
      <c r="L344547" s="472"/>
      <c r="M344547" s="472"/>
    </row>
    <row r="344619" spans="12:13" x14ac:dyDescent="0.25">
      <c r="L344619" s="472"/>
      <c r="M344619" s="472"/>
    </row>
    <row r="344620" spans="12:13" x14ac:dyDescent="0.25">
      <c r="L344620" s="472"/>
      <c r="M344620" s="472"/>
    </row>
    <row r="344621" spans="12:13" x14ac:dyDescent="0.25">
      <c r="L344621" s="472"/>
      <c r="M344621" s="472"/>
    </row>
    <row r="344693" spans="12:13" x14ac:dyDescent="0.25">
      <c r="L344693" s="472"/>
      <c r="M344693" s="472"/>
    </row>
    <row r="344694" spans="12:13" x14ac:dyDescent="0.25">
      <c r="L344694" s="472"/>
      <c r="M344694" s="472"/>
    </row>
    <row r="344695" spans="12:13" x14ac:dyDescent="0.25">
      <c r="L344695" s="472"/>
      <c r="M344695" s="472"/>
    </row>
    <row r="344767" spans="12:13" x14ac:dyDescent="0.25">
      <c r="L344767" s="472"/>
      <c r="M344767" s="472"/>
    </row>
    <row r="344768" spans="12:13" x14ac:dyDescent="0.25">
      <c r="L344768" s="472"/>
      <c r="M344768" s="472"/>
    </row>
    <row r="344769" spans="12:13" x14ac:dyDescent="0.25">
      <c r="L344769" s="472"/>
      <c r="M344769" s="472"/>
    </row>
    <row r="344841" spans="12:13" x14ac:dyDescent="0.25">
      <c r="L344841" s="472"/>
      <c r="M344841" s="472"/>
    </row>
    <row r="344842" spans="12:13" x14ac:dyDescent="0.25">
      <c r="L344842" s="472"/>
      <c r="M344842" s="472"/>
    </row>
    <row r="344843" spans="12:13" x14ac:dyDescent="0.25">
      <c r="L344843" s="472"/>
      <c r="M344843" s="472"/>
    </row>
    <row r="344915" spans="12:13" x14ac:dyDescent="0.25">
      <c r="L344915" s="472"/>
      <c r="M344915" s="472"/>
    </row>
    <row r="344916" spans="12:13" x14ac:dyDescent="0.25">
      <c r="L344916" s="472"/>
      <c r="M344916" s="472"/>
    </row>
    <row r="344917" spans="12:13" x14ac:dyDescent="0.25">
      <c r="L344917" s="472"/>
      <c r="M344917" s="472"/>
    </row>
    <row r="344989" spans="12:13" x14ac:dyDescent="0.25">
      <c r="L344989" s="472"/>
      <c r="M344989" s="472"/>
    </row>
    <row r="344990" spans="12:13" x14ac:dyDescent="0.25">
      <c r="L344990" s="472"/>
      <c r="M344990" s="472"/>
    </row>
    <row r="344991" spans="12:13" x14ac:dyDescent="0.25">
      <c r="L344991" s="472"/>
      <c r="M344991" s="472"/>
    </row>
    <row r="345063" spans="12:13" x14ac:dyDescent="0.25">
      <c r="L345063" s="472"/>
      <c r="M345063" s="472"/>
    </row>
    <row r="345064" spans="12:13" x14ac:dyDescent="0.25">
      <c r="L345064" s="472"/>
      <c r="M345064" s="472"/>
    </row>
    <row r="345065" spans="12:13" x14ac:dyDescent="0.25">
      <c r="L345065" s="472"/>
      <c r="M345065" s="472"/>
    </row>
    <row r="345137" spans="12:13" x14ac:dyDescent="0.25">
      <c r="L345137" s="472"/>
      <c r="M345137" s="472"/>
    </row>
    <row r="345138" spans="12:13" x14ac:dyDescent="0.25">
      <c r="L345138" s="472"/>
      <c r="M345138" s="472"/>
    </row>
    <row r="345139" spans="12:13" x14ac:dyDescent="0.25">
      <c r="L345139" s="472"/>
      <c r="M345139" s="472"/>
    </row>
    <row r="345211" spans="12:13" x14ac:dyDescent="0.25">
      <c r="L345211" s="472"/>
      <c r="M345211" s="472"/>
    </row>
    <row r="345212" spans="12:13" x14ac:dyDescent="0.25">
      <c r="L345212" s="472"/>
      <c r="M345212" s="472"/>
    </row>
    <row r="345213" spans="12:13" x14ac:dyDescent="0.25">
      <c r="L345213" s="472"/>
      <c r="M345213" s="472"/>
    </row>
    <row r="345285" spans="12:13" x14ac:dyDescent="0.25">
      <c r="L345285" s="472"/>
      <c r="M345285" s="472"/>
    </row>
    <row r="345286" spans="12:13" x14ac:dyDescent="0.25">
      <c r="L345286" s="472"/>
      <c r="M345286" s="472"/>
    </row>
    <row r="345287" spans="12:13" x14ac:dyDescent="0.25">
      <c r="L345287" s="472"/>
      <c r="M345287" s="472"/>
    </row>
    <row r="345359" spans="12:13" x14ac:dyDescent="0.25">
      <c r="L345359" s="472"/>
      <c r="M345359" s="472"/>
    </row>
    <row r="345360" spans="12:13" x14ac:dyDescent="0.25">
      <c r="L345360" s="472"/>
      <c r="M345360" s="472"/>
    </row>
    <row r="345361" spans="12:13" x14ac:dyDescent="0.25">
      <c r="L345361" s="472"/>
      <c r="M345361" s="472"/>
    </row>
    <row r="345433" spans="12:13" x14ac:dyDescent="0.25">
      <c r="L345433" s="472"/>
      <c r="M345433" s="472"/>
    </row>
    <row r="345434" spans="12:13" x14ac:dyDescent="0.25">
      <c r="L345434" s="472"/>
      <c r="M345434" s="472"/>
    </row>
    <row r="345435" spans="12:13" x14ac:dyDescent="0.25">
      <c r="L345435" s="472"/>
      <c r="M345435" s="472"/>
    </row>
    <row r="345507" spans="12:13" x14ac:dyDescent="0.25">
      <c r="L345507" s="472"/>
      <c r="M345507" s="472"/>
    </row>
    <row r="345508" spans="12:13" x14ac:dyDescent="0.25">
      <c r="L345508" s="472"/>
      <c r="M345508" s="472"/>
    </row>
    <row r="345509" spans="12:13" x14ac:dyDescent="0.25">
      <c r="L345509" s="472"/>
      <c r="M345509" s="472"/>
    </row>
    <row r="345581" spans="12:13" x14ac:dyDescent="0.25">
      <c r="L345581" s="472"/>
      <c r="M345581" s="472"/>
    </row>
    <row r="345582" spans="12:13" x14ac:dyDescent="0.25">
      <c r="L345582" s="472"/>
      <c r="M345582" s="472"/>
    </row>
    <row r="345583" spans="12:13" x14ac:dyDescent="0.25">
      <c r="L345583" s="472"/>
      <c r="M345583" s="472"/>
    </row>
    <row r="345655" spans="12:13" x14ac:dyDescent="0.25">
      <c r="L345655" s="472"/>
      <c r="M345655" s="472"/>
    </row>
    <row r="345656" spans="12:13" x14ac:dyDescent="0.25">
      <c r="L345656" s="472"/>
      <c r="M345656" s="472"/>
    </row>
    <row r="345657" spans="12:13" x14ac:dyDescent="0.25">
      <c r="L345657" s="472"/>
      <c r="M345657" s="472"/>
    </row>
    <row r="345729" spans="12:13" x14ac:dyDescent="0.25">
      <c r="L345729" s="472"/>
      <c r="M345729" s="472"/>
    </row>
    <row r="345730" spans="12:13" x14ac:dyDescent="0.25">
      <c r="L345730" s="472"/>
      <c r="M345730" s="472"/>
    </row>
    <row r="345731" spans="12:13" x14ac:dyDescent="0.25">
      <c r="L345731" s="472"/>
      <c r="M345731" s="472"/>
    </row>
    <row r="345803" spans="12:13" x14ac:dyDescent="0.25">
      <c r="L345803" s="472"/>
      <c r="M345803" s="472"/>
    </row>
    <row r="345804" spans="12:13" x14ac:dyDescent="0.25">
      <c r="L345804" s="472"/>
      <c r="M345804" s="472"/>
    </row>
    <row r="345805" spans="12:13" x14ac:dyDescent="0.25">
      <c r="L345805" s="472"/>
      <c r="M345805" s="472"/>
    </row>
    <row r="345877" spans="12:13" x14ac:dyDescent="0.25">
      <c r="L345877" s="472"/>
      <c r="M345877" s="472"/>
    </row>
    <row r="345878" spans="12:13" x14ac:dyDescent="0.25">
      <c r="L345878" s="472"/>
      <c r="M345878" s="472"/>
    </row>
    <row r="345879" spans="12:13" x14ac:dyDescent="0.25">
      <c r="L345879" s="472"/>
      <c r="M345879" s="472"/>
    </row>
    <row r="345951" spans="12:13" x14ac:dyDescent="0.25">
      <c r="L345951" s="472"/>
      <c r="M345951" s="472"/>
    </row>
    <row r="345952" spans="12:13" x14ac:dyDescent="0.25">
      <c r="L345952" s="472"/>
      <c r="M345952" s="472"/>
    </row>
    <row r="345953" spans="12:13" x14ac:dyDescent="0.25">
      <c r="L345953" s="472"/>
      <c r="M345953" s="472"/>
    </row>
    <row r="346025" spans="12:13" x14ac:dyDescent="0.25">
      <c r="L346025" s="472"/>
      <c r="M346025" s="472"/>
    </row>
    <row r="346026" spans="12:13" x14ac:dyDescent="0.25">
      <c r="L346026" s="472"/>
      <c r="M346026" s="472"/>
    </row>
    <row r="346027" spans="12:13" x14ac:dyDescent="0.25">
      <c r="L346027" s="472"/>
      <c r="M346027" s="472"/>
    </row>
    <row r="346099" spans="12:13" x14ac:dyDescent="0.25">
      <c r="L346099" s="472"/>
      <c r="M346099" s="472"/>
    </row>
    <row r="346100" spans="12:13" x14ac:dyDescent="0.25">
      <c r="L346100" s="472"/>
      <c r="M346100" s="472"/>
    </row>
    <row r="346101" spans="12:13" x14ac:dyDescent="0.25">
      <c r="L346101" s="472"/>
      <c r="M346101" s="472"/>
    </row>
    <row r="346173" spans="12:13" x14ac:dyDescent="0.25">
      <c r="L346173" s="472"/>
      <c r="M346173" s="472"/>
    </row>
    <row r="346174" spans="12:13" x14ac:dyDescent="0.25">
      <c r="L346174" s="472"/>
      <c r="M346174" s="472"/>
    </row>
    <row r="346175" spans="12:13" x14ac:dyDescent="0.25">
      <c r="L346175" s="472"/>
      <c r="M346175" s="472"/>
    </row>
    <row r="346247" spans="12:13" x14ac:dyDescent="0.25">
      <c r="L346247" s="472"/>
      <c r="M346247" s="472"/>
    </row>
    <row r="346248" spans="12:13" x14ac:dyDescent="0.25">
      <c r="L346248" s="472"/>
      <c r="M346248" s="472"/>
    </row>
    <row r="346249" spans="12:13" x14ac:dyDescent="0.25">
      <c r="L346249" s="472"/>
      <c r="M346249" s="472"/>
    </row>
    <row r="346321" spans="12:13" x14ac:dyDescent="0.25">
      <c r="L346321" s="472"/>
      <c r="M346321" s="472"/>
    </row>
    <row r="346322" spans="12:13" x14ac:dyDescent="0.25">
      <c r="L346322" s="472"/>
      <c r="M346322" s="472"/>
    </row>
    <row r="346323" spans="12:13" x14ac:dyDescent="0.25">
      <c r="L346323" s="472"/>
      <c r="M346323" s="472"/>
    </row>
    <row r="346395" spans="12:13" x14ac:dyDescent="0.25">
      <c r="L346395" s="472"/>
      <c r="M346395" s="472"/>
    </row>
    <row r="346396" spans="12:13" x14ac:dyDescent="0.25">
      <c r="L346396" s="472"/>
      <c r="M346396" s="472"/>
    </row>
    <row r="346397" spans="12:13" x14ac:dyDescent="0.25">
      <c r="L346397" s="472"/>
      <c r="M346397" s="472"/>
    </row>
    <row r="346469" spans="12:13" x14ac:dyDescent="0.25">
      <c r="L346469" s="472"/>
      <c r="M346469" s="472"/>
    </row>
    <row r="346470" spans="12:13" x14ac:dyDescent="0.25">
      <c r="L346470" s="472"/>
      <c r="M346470" s="472"/>
    </row>
    <row r="346471" spans="12:13" x14ac:dyDescent="0.25">
      <c r="L346471" s="472"/>
      <c r="M346471" s="472"/>
    </row>
    <row r="346543" spans="12:13" x14ac:dyDescent="0.25">
      <c r="L346543" s="472"/>
      <c r="M346543" s="472"/>
    </row>
    <row r="346544" spans="12:13" x14ac:dyDescent="0.25">
      <c r="L346544" s="472"/>
      <c r="M346544" s="472"/>
    </row>
    <row r="346545" spans="12:13" x14ac:dyDescent="0.25">
      <c r="L346545" s="472"/>
      <c r="M346545" s="472"/>
    </row>
    <row r="346617" spans="12:13" x14ac:dyDescent="0.25">
      <c r="L346617" s="472"/>
      <c r="M346617" s="472"/>
    </row>
    <row r="346618" spans="12:13" x14ac:dyDescent="0.25">
      <c r="L346618" s="472"/>
      <c r="M346618" s="472"/>
    </row>
    <row r="346619" spans="12:13" x14ac:dyDescent="0.25">
      <c r="L346619" s="472"/>
      <c r="M346619" s="472"/>
    </row>
    <row r="346691" spans="12:13" x14ac:dyDescent="0.25">
      <c r="L346691" s="472"/>
      <c r="M346691" s="472"/>
    </row>
    <row r="346692" spans="12:13" x14ac:dyDescent="0.25">
      <c r="L346692" s="472"/>
      <c r="M346692" s="472"/>
    </row>
    <row r="346693" spans="12:13" x14ac:dyDescent="0.25">
      <c r="L346693" s="472"/>
      <c r="M346693" s="472"/>
    </row>
    <row r="346765" spans="12:13" x14ac:dyDescent="0.25">
      <c r="L346765" s="472"/>
      <c r="M346765" s="472"/>
    </row>
    <row r="346766" spans="12:13" x14ac:dyDescent="0.25">
      <c r="L346766" s="472"/>
      <c r="M346766" s="472"/>
    </row>
    <row r="346767" spans="12:13" x14ac:dyDescent="0.25">
      <c r="L346767" s="472"/>
      <c r="M346767" s="472"/>
    </row>
    <row r="346839" spans="12:13" x14ac:dyDescent="0.25">
      <c r="L346839" s="472"/>
      <c r="M346839" s="472"/>
    </row>
    <row r="346840" spans="12:13" x14ac:dyDescent="0.25">
      <c r="L346840" s="472"/>
      <c r="M346840" s="472"/>
    </row>
    <row r="346841" spans="12:13" x14ac:dyDescent="0.25">
      <c r="L346841" s="472"/>
      <c r="M346841" s="472"/>
    </row>
    <row r="346913" spans="12:13" x14ac:dyDescent="0.25">
      <c r="L346913" s="472"/>
      <c r="M346913" s="472"/>
    </row>
    <row r="346914" spans="12:13" x14ac:dyDescent="0.25">
      <c r="L346914" s="472"/>
      <c r="M346914" s="472"/>
    </row>
    <row r="346915" spans="12:13" x14ac:dyDescent="0.25">
      <c r="L346915" s="472"/>
      <c r="M346915" s="472"/>
    </row>
    <row r="346987" spans="12:13" x14ac:dyDescent="0.25">
      <c r="L346987" s="472"/>
      <c r="M346987" s="472"/>
    </row>
    <row r="346988" spans="12:13" x14ac:dyDescent="0.25">
      <c r="L346988" s="472"/>
      <c r="M346988" s="472"/>
    </row>
    <row r="346989" spans="12:13" x14ac:dyDescent="0.25">
      <c r="L346989" s="472"/>
      <c r="M346989" s="472"/>
    </row>
    <row r="347061" spans="12:13" x14ac:dyDescent="0.25">
      <c r="L347061" s="472"/>
      <c r="M347061" s="472"/>
    </row>
    <row r="347062" spans="12:13" x14ac:dyDescent="0.25">
      <c r="L347062" s="472"/>
      <c r="M347062" s="472"/>
    </row>
    <row r="347063" spans="12:13" x14ac:dyDescent="0.25">
      <c r="L347063" s="472"/>
      <c r="M347063" s="472"/>
    </row>
    <row r="347135" spans="12:13" x14ac:dyDescent="0.25">
      <c r="L347135" s="472"/>
      <c r="M347135" s="472"/>
    </row>
    <row r="347136" spans="12:13" x14ac:dyDescent="0.25">
      <c r="L347136" s="472"/>
      <c r="M347136" s="472"/>
    </row>
    <row r="347137" spans="12:13" x14ac:dyDescent="0.25">
      <c r="L347137" s="472"/>
      <c r="M347137" s="472"/>
    </row>
    <row r="347209" spans="12:13" x14ac:dyDescent="0.25">
      <c r="L347209" s="472"/>
      <c r="M347209" s="472"/>
    </row>
    <row r="347210" spans="12:13" x14ac:dyDescent="0.25">
      <c r="L347210" s="472"/>
      <c r="M347210" s="472"/>
    </row>
    <row r="347211" spans="12:13" x14ac:dyDescent="0.25">
      <c r="L347211" s="472"/>
      <c r="M347211" s="472"/>
    </row>
    <row r="347283" spans="12:13" x14ac:dyDescent="0.25">
      <c r="L347283" s="472"/>
      <c r="M347283" s="472"/>
    </row>
    <row r="347284" spans="12:13" x14ac:dyDescent="0.25">
      <c r="L347284" s="472"/>
      <c r="M347284" s="472"/>
    </row>
    <row r="347285" spans="12:13" x14ac:dyDescent="0.25">
      <c r="L347285" s="472"/>
      <c r="M347285" s="472"/>
    </row>
    <row r="347357" spans="12:13" x14ac:dyDescent="0.25">
      <c r="L347357" s="472"/>
      <c r="M347357" s="472"/>
    </row>
    <row r="347358" spans="12:13" x14ac:dyDescent="0.25">
      <c r="L347358" s="472"/>
      <c r="M347358" s="472"/>
    </row>
    <row r="347359" spans="12:13" x14ac:dyDescent="0.25">
      <c r="L347359" s="472"/>
      <c r="M347359" s="472"/>
    </row>
    <row r="347431" spans="12:13" x14ac:dyDescent="0.25">
      <c r="L347431" s="472"/>
      <c r="M347431" s="472"/>
    </row>
    <row r="347432" spans="12:13" x14ac:dyDescent="0.25">
      <c r="L347432" s="472"/>
      <c r="M347432" s="472"/>
    </row>
    <row r="347433" spans="12:13" x14ac:dyDescent="0.25">
      <c r="L347433" s="472"/>
      <c r="M347433" s="472"/>
    </row>
    <row r="347505" spans="12:13" x14ac:dyDescent="0.25">
      <c r="L347505" s="472"/>
      <c r="M347505" s="472"/>
    </row>
    <row r="347506" spans="12:13" x14ac:dyDescent="0.25">
      <c r="L347506" s="472"/>
      <c r="M347506" s="472"/>
    </row>
    <row r="347507" spans="12:13" x14ac:dyDescent="0.25">
      <c r="L347507" s="472"/>
      <c r="M347507" s="472"/>
    </row>
    <row r="347579" spans="12:13" x14ac:dyDescent="0.25">
      <c r="L347579" s="472"/>
      <c r="M347579" s="472"/>
    </row>
    <row r="347580" spans="12:13" x14ac:dyDescent="0.25">
      <c r="L347580" s="472"/>
      <c r="M347580" s="472"/>
    </row>
    <row r="347581" spans="12:13" x14ac:dyDescent="0.25">
      <c r="L347581" s="472"/>
      <c r="M347581" s="472"/>
    </row>
    <row r="347653" spans="12:13" x14ac:dyDescent="0.25">
      <c r="L347653" s="472"/>
      <c r="M347653" s="472"/>
    </row>
    <row r="347654" spans="12:13" x14ac:dyDescent="0.25">
      <c r="L347654" s="472"/>
      <c r="M347654" s="472"/>
    </row>
    <row r="347655" spans="12:13" x14ac:dyDescent="0.25">
      <c r="L347655" s="472"/>
      <c r="M347655" s="472"/>
    </row>
    <row r="347727" spans="12:13" x14ac:dyDescent="0.25">
      <c r="L347727" s="472"/>
      <c r="M347727" s="472"/>
    </row>
    <row r="347728" spans="12:13" x14ac:dyDescent="0.25">
      <c r="L347728" s="472"/>
      <c r="M347728" s="472"/>
    </row>
    <row r="347729" spans="12:13" x14ac:dyDescent="0.25">
      <c r="L347729" s="472"/>
      <c r="M347729" s="472"/>
    </row>
    <row r="347801" spans="12:13" x14ac:dyDescent="0.25">
      <c r="L347801" s="472"/>
      <c r="M347801" s="472"/>
    </row>
    <row r="347802" spans="12:13" x14ac:dyDescent="0.25">
      <c r="L347802" s="472"/>
      <c r="M347802" s="472"/>
    </row>
    <row r="347803" spans="12:13" x14ac:dyDescent="0.25">
      <c r="L347803" s="472"/>
      <c r="M347803" s="472"/>
    </row>
    <row r="347875" spans="12:13" x14ac:dyDescent="0.25">
      <c r="L347875" s="472"/>
      <c r="M347875" s="472"/>
    </row>
    <row r="347876" spans="12:13" x14ac:dyDescent="0.25">
      <c r="L347876" s="472"/>
      <c r="M347876" s="472"/>
    </row>
    <row r="347877" spans="12:13" x14ac:dyDescent="0.25">
      <c r="L347877" s="472"/>
      <c r="M347877" s="472"/>
    </row>
    <row r="347949" spans="12:13" x14ac:dyDescent="0.25">
      <c r="L347949" s="472"/>
      <c r="M347949" s="472"/>
    </row>
    <row r="347950" spans="12:13" x14ac:dyDescent="0.25">
      <c r="L347950" s="472"/>
      <c r="M347950" s="472"/>
    </row>
    <row r="347951" spans="12:13" x14ac:dyDescent="0.25">
      <c r="L347951" s="472"/>
      <c r="M347951" s="472"/>
    </row>
    <row r="348023" spans="12:13" x14ac:dyDescent="0.25">
      <c r="L348023" s="472"/>
      <c r="M348023" s="472"/>
    </row>
    <row r="348024" spans="12:13" x14ac:dyDescent="0.25">
      <c r="L348024" s="472"/>
      <c r="M348024" s="472"/>
    </row>
    <row r="348025" spans="12:13" x14ac:dyDescent="0.25">
      <c r="L348025" s="472"/>
      <c r="M348025" s="472"/>
    </row>
    <row r="348097" spans="12:13" x14ac:dyDescent="0.25">
      <c r="L348097" s="472"/>
      <c r="M348097" s="472"/>
    </row>
    <row r="348098" spans="12:13" x14ac:dyDescent="0.25">
      <c r="L348098" s="472"/>
      <c r="M348098" s="472"/>
    </row>
    <row r="348099" spans="12:13" x14ac:dyDescent="0.25">
      <c r="L348099" s="472"/>
      <c r="M348099" s="472"/>
    </row>
    <row r="348171" spans="12:13" x14ac:dyDescent="0.25">
      <c r="L348171" s="472"/>
      <c r="M348171" s="472"/>
    </row>
    <row r="348172" spans="12:13" x14ac:dyDescent="0.25">
      <c r="L348172" s="472"/>
      <c r="M348172" s="472"/>
    </row>
    <row r="348173" spans="12:13" x14ac:dyDescent="0.25">
      <c r="L348173" s="472"/>
      <c r="M348173" s="472"/>
    </row>
    <row r="348245" spans="12:13" x14ac:dyDescent="0.25">
      <c r="L348245" s="472"/>
      <c r="M348245" s="472"/>
    </row>
    <row r="348246" spans="12:13" x14ac:dyDescent="0.25">
      <c r="L348246" s="472"/>
      <c r="M348246" s="472"/>
    </row>
    <row r="348247" spans="12:13" x14ac:dyDescent="0.25">
      <c r="L348247" s="472"/>
      <c r="M348247" s="472"/>
    </row>
    <row r="348319" spans="12:13" x14ac:dyDescent="0.25">
      <c r="L348319" s="472"/>
      <c r="M348319" s="472"/>
    </row>
    <row r="348320" spans="12:13" x14ac:dyDescent="0.25">
      <c r="L348320" s="472"/>
      <c r="M348320" s="472"/>
    </row>
    <row r="348321" spans="12:13" x14ac:dyDescent="0.25">
      <c r="L348321" s="472"/>
      <c r="M348321" s="472"/>
    </row>
    <row r="348393" spans="12:13" x14ac:dyDescent="0.25">
      <c r="L348393" s="472"/>
      <c r="M348393" s="472"/>
    </row>
    <row r="348394" spans="12:13" x14ac:dyDescent="0.25">
      <c r="L348394" s="472"/>
      <c r="M348394" s="472"/>
    </row>
    <row r="348395" spans="12:13" x14ac:dyDescent="0.25">
      <c r="L348395" s="472"/>
      <c r="M348395" s="472"/>
    </row>
    <row r="348467" spans="12:13" x14ac:dyDescent="0.25">
      <c r="L348467" s="472"/>
      <c r="M348467" s="472"/>
    </row>
    <row r="348468" spans="12:13" x14ac:dyDescent="0.25">
      <c r="L348468" s="472"/>
      <c r="M348468" s="472"/>
    </row>
    <row r="348469" spans="12:13" x14ac:dyDescent="0.25">
      <c r="L348469" s="472"/>
      <c r="M348469" s="472"/>
    </row>
    <row r="348541" spans="12:13" x14ac:dyDescent="0.25">
      <c r="L348541" s="472"/>
      <c r="M348541" s="472"/>
    </row>
    <row r="348542" spans="12:13" x14ac:dyDescent="0.25">
      <c r="L348542" s="472"/>
      <c r="M348542" s="472"/>
    </row>
    <row r="348543" spans="12:13" x14ac:dyDescent="0.25">
      <c r="L348543" s="472"/>
      <c r="M348543" s="472"/>
    </row>
    <row r="348615" spans="12:13" x14ac:dyDescent="0.25">
      <c r="L348615" s="472"/>
      <c r="M348615" s="472"/>
    </row>
    <row r="348616" spans="12:13" x14ac:dyDescent="0.25">
      <c r="L348616" s="472"/>
      <c r="M348616" s="472"/>
    </row>
    <row r="348617" spans="12:13" x14ac:dyDescent="0.25">
      <c r="L348617" s="472"/>
      <c r="M348617" s="472"/>
    </row>
    <row r="348689" spans="12:13" x14ac:dyDescent="0.25">
      <c r="L348689" s="472"/>
      <c r="M348689" s="472"/>
    </row>
    <row r="348690" spans="12:13" x14ac:dyDescent="0.25">
      <c r="L348690" s="472"/>
      <c r="M348690" s="472"/>
    </row>
    <row r="348691" spans="12:13" x14ac:dyDescent="0.25">
      <c r="L348691" s="472"/>
      <c r="M348691" s="472"/>
    </row>
    <row r="348763" spans="12:13" x14ac:dyDescent="0.25">
      <c r="L348763" s="472"/>
      <c r="M348763" s="472"/>
    </row>
    <row r="348764" spans="12:13" x14ac:dyDescent="0.25">
      <c r="L348764" s="472"/>
      <c r="M348764" s="472"/>
    </row>
    <row r="348765" spans="12:13" x14ac:dyDescent="0.25">
      <c r="L348765" s="472"/>
      <c r="M348765" s="472"/>
    </row>
    <row r="348837" spans="12:13" x14ac:dyDescent="0.25">
      <c r="L348837" s="472"/>
      <c r="M348837" s="472"/>
    </row>
    <row r="348838" spans="12:13" x14ac:dyDescent="0.25">
      <c r="L348838" s="472"/>
      <c r="M348838" s="472"/>
    </row>
    <row r="348839" spans="12:13" x14ac:dyDescent="0.25">
      <c r="L348839" s="472"/>
      <c r="M348839" s="472"/>
    </row>
    <row r="348911" spans="12:13" x14ac:dyDescent="0.25">
      <c r="L348911" s="472"/>
      <c r="M348911" s="472"/>
    </row>
    <row r="348912" spans="12:13" x14ac:dyDescent="0.25">
      <c r="L348912" s="472"/>
      <c r="M348912" s="472"/>
    </row>
    <row r="348913" spans="12:13" x14ac:dyDescent="0.25">
      <c r="L348913" s="472"/>
      <c r="M348913" s="472"/>
    </row>
    <row r="348985" spans="12:13" x14ac:dyDescent="0.25">
      <c r="L348985" s="472"/>
      <c r="M348985" s="472"/>
    </row>
    <row r="348986" spans="12:13" x14ac:dyDescent="0.25">
      <c r="L348986" s="472"/>
      <c r="M348986" s="472"/>
    </row>
    <row r="348987" spans="12:13" x14ac:dyDescent="0.25">
      <c r="L348987" s="472"/>
      <c r="M348987" s="472"/>
    </row>
    <row r="349059" spans="12:13" x14ac:dyDescent="0.25">
      <c r="L349059" s="472"/>
      <c r="M349059" s="472"/>
    </row>
    <row r="349060" spans="12:13" x14ac:dyDescent="0.25">
      <c r="L349060" s="472"/>
      <c r="M349060" s="472"/>
    </row>
    <row r="349061" spans="12:13" x14ac:dyDescent="0.25">
      <c r="L349061" s="472"/>
      <c r="M349061" s="472"/>
    </row>
    <row r="349133" spans="12:13" x14ac:dyDescent="0.25">
      <c r="L349133" s="472"/>
      <c r="M349133" s="472"/>
    </row>
    <row r="349134" spans="12:13" x14ac:dyDescent="0.25">
      <c r="L349134" s="472"/>
      <c r="M349134" s="472"/>
    </row>
    <row r="349135" spans="12:13" x14ac:dyDescent="0.25">
      <c r="L349135" s="472"/>
      <c r="M349135" s="472"/>
    </row>
    <row r="349207" spans="12:13" x14ac:dyDescent="0.25">
      <c r="L349207" s="472"/>
      <c r="M349207" s="472"/>
    </row>
    <row r="349208" spans="12:13" x14ac:dyDescent="0.25">
      <c r="L349208" s="472"/>
      <c r="M349208" s="472"/>
    </row>
    <row r="349209" spans="12:13" x14ac:dyDescent="0.25">
      <c r="L349209" s="472"/>
      <c r="M349209" s="472"/>
    </row>
    <row r="349281" spans="12:13" x14ac:dyDescent="0.25">
      <c r="L349281" s="472"/>
      <c r="M349281" s="472"/>
    </row>
    <row r="349282" spans="12:13" x14ac:dyDescent="0.25">
      <c r="L349282" s="472"/>
      <c r="M349282" s="472"/>
    </row>
    <row r="349283" spans="12:13" x14ac:dyDescent="0.25">
      <c r="L349283" s="472"/>
      <c r="M349283" s="472"/>
    </row>
    <row r="349355" spans="12:13" x14ac:dyDescent="0.25">
      <c r="L349355" s="472"/>
      <c r="M349355" s="472"/>
    </row>
    <row r="349356" spans="12:13" x14ac:dyDescent="0.25">
      <c r="L349356" s="472"/>
      <c r="M349356" s="472"/>
    </row>
    <row r="349357" spans="12:13" x14ac:dyDescent="0.25">
      <c r="L349357" s="472"/>
      <c r="M349357" s="472"/>
    </row>
    <row r="349429" spans="12:13" x14ac:dyDescent="0.25">
      <c r="L349429" s="472"/>
      <c r="M349429" s="472"/>
    </row>
    <row r="349430" spans="12:13" x14ac:dyDescent="0.25">
      <c r="L349430" s="472"/>
      <c r="M349430" s="472"/>
    </row>
    <row r="349431" spans="12:13" x14ac:dyDescent="0.25">
      <c r="L349431" s="472"/>
      <c r="M349431" s="472"/>
    </row>
    <row r="349503" spans="12:13" x14ac:dyDescent="0.25">
      <c r="L349503" s="472"/>
      <c r="M349503" s="472"/>
    </row>
    <row r="349504" spans="12:13" x14ac:dyDescent="0.25">
      <c r="L349504" s="472"/>
      <c r="M349504" s="472"/>
    </row>
    <row r="349505" spans="12:13" x14ac:dyDescent="0.25">
      <c r="L349505" s="472"/>
      <c r="M349505" s="472"/>
    </row>
    <row r="349577" spans="12:13" x14ac:dyDescent="0.25">
      <c r="L349577" s="472"/>
      <c r="M349577" s="472"/>
    </row>
    <row r="349578" spans="12:13" x14ac:dyDescent="0.25">
      <c r="L349578" s="472"/>
      <c r="M349578" s="472"/>
    </row>
    <row r="349579" spans="12:13" x14ac:dyDescent="0.25">
      <c r="L349579" s="472"/>
      <c r="M349579" s="472"/>
    </row>
    <row r="349651" spans="12:13" x14ac:dyDescent="0.25">
      <c r="L349651" s="472"/>
      <c r="M349651" s="472"/>
    </row>
    <row r="349652" spans="12:13" x14ac:dyDescent="0.25">
      <c r="L349652" s="472"/>
      <c r="M349652" s="472"/>
    </row>
    <row r="349653" spans="12:13" x14ac:dyDescent="0.25">
      <c r="L349653" s="472"/>
      <c r="M349653" s="472"/>
    </row>
    <row r="349725" spans="12:13" x14ac:dyDescent="0.25">
      <c r="L349725" s="472"/>
      <c r="M349725" s="472"/>
    </row>
    <row r="349726" spans="12:13" x14ac:dyDescent="0.25">
      <c r="L349726" s="472"/>
      <c r="M349726" s="472"/>
    </row>
    <row r="349727" spans="12:13" x14ac:dyDescent="0.25">
      <c r="L349727" s="472"/>
      <c r="M349727" s="472"/>
    </row>
    <row r="349799" spans="12:13" x14ac:dyDescent="0.25">
      <c r="L349799" s="472"/>
      <c r="M349799" s="472"/>
    </row>
    <row r="349800" spans="12:13" x14ac:dyDescent="0.25">
      <c r="L349800" s="472"/>
      <c r="M349800" s="472"/>
    </row>
    <row r="349801" spans="12:13" x14ac:dyDescent="0.25">
      <c r="L349801" s="472"/>
      <c r="M349801" s="472"/>
    </row>
    <row r="349873" spans="12:13" x14ac:dyDescent="0.25">
      <c r="L349873" s="472"/>
      <c r="M349873" s="472"/>
    </row>
    <row r="349874" spans="12:13" x14ac:dyDescent="0.25">
      <c r="L349874" s="472"/>
      <c r="M349874" s="472"/>
    </row>
    <row r="349875" spans="12:13" x14ac:dyDescent="0.25">
      <c r="L349875" s="472"/>
      <c r="M349875" s="472"/>
    </row>
    <row r="349947" spans="12:13" x14ac:dyDescent="0.25">
      <c r="L349947" s="472"/>
      <c r="M349947" s="472"/>
    </row>
    <row r="349948" spans="12:13" x14ac:dyDescent="0.25">
      <c r="L349948" s="472"/>
      <c r="M349948" s="472"/>
    </row>
    <row r="349949" spans="12:13" x14ac:dyDescent="0.25">
      <c r="L349949" s="472"/>
      <c r="M349949" s="472"/>
    </row>
    <row r="350021" spans="12:13" x14ac:dyDescent="0.25">
      <c r="L350021" s="472"/>
      <c r="M350021" s="472"/>
    </row>
    <row r="350022" spans="12:13" x14ac:dyDescent="0.25">
      <c r="L350022" s="472"/>
      <c r="M350022" s="472"/>
    </row>
    <row r="350023" spans="12:13" x14ac:dyDescent="0.25">
      <c r="L350023" s="472"/>
      <c r="M350023" s="472"/>
    </row>
    <row r="350095" spans="12:13" x14ac:dyDescent="0.25">
      <c r="L350095" s="472"/>
      <c r="M350095" s="472"/>
    </row>
    <row r="350096" spans="12:13" x14ac:dyDescent="0.25">
      <c r="L350096" s="472"/>
      <c r="M350096" s="472"/>
    </row>
    <row r="350097" spans="12:13" x14ac:dyDescent="0.25">
      <c r="L350097" s="472"/>
      <c r="M350097" s="472"/>
    </row>
    <row r="350169" spans="12:13" x14ac:dyDescent="0.25">
      <c r="L350169" s="472"/>
      <c r="M350169" s="472"/>
    </row>
    <row r="350170" spans="12:13" x14ac:dyDescent="0.25">
      <c r="L350170" s="472"/>
      <c r="M350170" s="472"/>
    </row>
    <row r="350171" spans="12:13" x14ac:dyDescent="0.25">
      <c r="L350171" s="472"/>
      <c r="M350171" s="472"/>
    </row>
    <row r="350243" spans="12:13" x14ac:dyDescent="0.25">
      <c r="L350243" s="472"/>
      <c r="M350243" s="472"/>
    </row>
    <row r="350244" spans="12:13" x14ac:dyDescent="0.25">
      <c r="L350244" s="472"/>
      <c r="M350244" s="472"/>
    </row>
    <row r="350245" spans="12:13" x14ac:dyDescent="0.25">
      <c r="L350245" s="472"/>
      <c r="M350245" s="472"/>
    </row>
    <row r="350317" spans="12:13" x14ac:dyDescent="0.25">
      <c r="L350317" s="472"/>
      <c r="M350317" s="472"/>
    </row>
    <row r="350318" spans="12:13" x14ac:dyDescent="0.25">
      <c r="L350318" s="472"/>
      <c r="M350318" s="472"/>
    </row>
    <row r="350319" spans="12:13" x14ac:dyDescent="0.25">
      <c r="L350319" s="472"/>
      <c r="M350319" s="472"/>
    </row>
    <row r="350391" spans="12:13" x14ac:dyDescent="0.25">
      <c r="L350391" s="472"/>
      <c r="M350391" s="472"/>
    </row>
    <row r="350392" spans="12:13" x14ac:dyDescent="0.25">
      <c r="L350392" s="472"/>
      <c r="M350392" s="472"/>
    </row>
    <row r="350393" spans="12:13" x14ac:dyDescent="0.25">
      <c r="L350393" s="472"/>
      <c r="M350393" s="472"/>
    </row>
    <row r="350465" spans="12:13" x14ac:dyDescent="0.25">
      <c r="L350465" s="472"/>
      <c r="M350465" s="472"/>
    </row>
    <row r="350466" spans="12:13" x14ac:dyDescent="0.25">
      <c r="L350466" s="472"/>
      <c r="M350466" s="472"/>
    </row>
    <row r="350467" spans="12:13" x14ac:dyDescent="0.25">
      <c r="L350467" s="472"/>
      <c r="M350467" s="472"/>
    </row>
    <row r="350539" spans="12:13" x14ac:dyDescent="0.25">
      <c r="L350539" s="472"/>
      <c r="M350539" s="472"/>
    </row>
    <row r="350540" spans="12:13" x14ac:dyDescent="0.25">
      <c r="L350540" s="472"/>
      <c r="M350540" s="472"/>
    </row>
    <row r="350541" spans="12:13" x14ac:dyDescent="0.25">
      <c r="L350541" s="472"/>
      <c r="M350541" s="472"/>
    </row>
    <row r="350613" spans="12:13" x14ac:dyDescent="0.25">
      <c r="L350613" s="472"/>
      <c r="M350613" s="472"/>
    </row>
    <row r="350614" spans="12:13" x14ac:dyDescent="0.25">
      <c r="L350614" s="472"/>
      <c r="M350614" s="472"/>
    </row>
    <row r="350615" spans="12:13" x14ac:dyDescent="0.25">
      <c r="L350615" s="472"/>
      <c r="M350615" s="472"/>
    </row>
    <row r="350687" spans="12:13" x14ac:dyDescent="0.25">
      <c r="L350687" s="472"/>
      <c r="M350687" s="472"/>
    </row>
    <row r="350688" spans="12:13" x14ac:dyDescent="0.25">
      <c r="L350688" s="472"/>
      <c r="M350688" s="472"/>
    </row>
    <row r="350689" spans="12:13" x14ac:dyDescent="0.25">
      <c r="L350689" s="472"/>
      <c r="M350689" s="472"/>
    </row>
    <row r="350761" spans="12:13" x14ac:dyDescent="0.25">
      <c r="L350761" s="472"/>
      <c r="M350761" s="472"/>
    </row>
    <row r="350762" spans="12:13" x14ac:dyDescent="0.25">
      <c r="L350762" s="472"/>
      <c r="M350762" s="472"/>
    </row>
    <row r="350763" spans="12:13" x14ac:dyDescent="0.25">
      <c r="L350763" s="472"/>
      <c r="M350763" s="472"/>
    </row>
    <row r="350835" spans="12:13" x14ac:dyDescent="0.25">
      <c r="L350835" s="472"/>
      <c r="M350835" s="472"/>
    </row>
    <row r="350836" spans="12:13" x14ac:dyDescent="0.25">
      <c r="L350836" s="472"/>
      <c r="M350836" s="472"/>
    </row>
    <row r="350837" spans="12:13" x14ac:dyDescent="0.25">
      <c r="L350837" s="472"/>
      <c r="M350837" s="472"/>
    </row>
    <row r="350909" spans="12:13" x14ac:dyDescent="0.25">
      <c r="L350909" s="472"/>
      <c r="M350909" s="472"/>
    </row>
    <row r="350910" spans="12:13" x14ac:dyDescent="0.25">
      <c r="L350910" s="472"/>
      <c r="M350910" s="472"/>
    </row>
    <row r="350911" spans="12:13" x14ac:dyDescent="0.25">
      <c r="L350911" s="472"/>
      <c r="M350911" s="472"/>
    </row>
    <row r="350983" spans="12:13" x14ac:dyDescent="0.25">
      <c r="L350983" s="472"/>
      <c r="M350983" s="472"/>
    </row>
    <row r="350984" spans="12:13" x14ac:dyDescent="0.25">
      <c r="L350984" s="472"/>
      <c r="M350984" s="472"/>
    </row>
    <row r="350985" spans="12:13" x14ac:dyDescent="0.25">
      <c r="L350985" s="472"/>
      <c r="M350985" s="472"/>
    </row>
    <row r="351057" spans="12:13" x14ac:dyDescent="0.25">
      <c r="L351057" s="472"/>
      <c r="M351057" s="472"/>
    </row>
    <row r="351058" spans="12:13" x14ac:dyDescent="0.25">
      <c r="L351058" s="472"/>
      <c r="M351058" s="472"/>
    </row>
    <row r="351059" spans="12:13" x14ac:dyDescent="0.25">
      <c r="L351059" s="472"/>
      <c r="M351059" s="472"/>
    </row>
    <row r="351131" spans="12:13" x14ac:dyDescent="0.25">
      <c r="L351131" s="472"/>
      <c r="M351131" s="472"/>
    </row>
    <row r="351132" spans="12:13" x14ac:dyDescent="0.25">
      <c r="L351132" s="472"/>
      <c r="M351132" s="472"/>
    </row>
    <row r="351133" spans="12:13" x14ac:dyDescent="0.25">
      <c r="L351133" s="472"/>
      <c r="M351133" s="472"/>
    </row>
    <row r="351205" spans="12:13" x14ac:dyDescent="0.25">
      <c r="L351205" s="472"/>
      <c r="M351205" s="472"/>
    </row>
    <row r="351206" spans="12:13" x14ac:dyDescent="0.25">
      <c r="L351206" s="472"/>
      <c r="M351206" s="472"/>
    </row>
    <row r="351207" spans="12:13" x14ac:dyDescent="0.25">
      <c r="L351207" s="472"/>
      <c r="M351207" s="472"/>
    </row>
    <row r="351279" spans="12:13" x14ac:dyDescent="0.25">
      <c r="L351279" s="472"/>
      <c r="M351279" s="472"/>
    </row>
    <row r="351280" spans="12:13" x14ac:dyDescent="0.25">
      <c r="L351280" s="472"/>
      <c r="M351280" s="472"/>
    </row>
    <row r="351281" spans="12:13" x14ac:dyDescent="0.25">
      <c r="L351281" s="472"/>
      <c r="M351281" s="472"/>
    </row>
    <row r="351353" spans="12:13" x14ac:dyDescent="0.25">
      <c r="L351353" s="472"/>
      <c r="M351353" s="472"/>
    </row>
    <row r="351354" spans="12:13" x14ac:dyDescent="0.25">
      <c r="L351354" s="472"/>
      <c r="M351354" s="472"/>
    </row>
    <row r="351355" spans="12:13" x14ac:dyDescent="0.25">
      <c r="L351355" s="472"/>
      <c r="M351355" s="472"/>
    </row>
    <row r="351427" spans="12:13" x14ac:dyDescent="0.25">
      <c r="L351427" s="472"/>
      <c r="M351427" s="472"/>
    </row>
    <row r="351428" spans="12:13" x14ac:dyDescent="0.25">
      <c r="L351428" s="472"/>
      <c r="M351428" s="472"/>
    </row>
    <row r="351429" spans="12:13" x14ac:dyDescent="0.25">
      <c r="L351429" s="472"/>
      <c r="M351429" s="472"/>
    </row>
    <row r="351501" spans="12:13" x14ac:dyDescent="0.25">
      <c r="L351501" s="472"/>
      <c r="M351501" s="472"/>
    </row>
    <row r="351502" spans="12:13" x14ac:dyDescent="0.25">
      <c r="L351502" s="472"/>
      <c r="M351502" s="472"/>
    </row>
    <row r="351503" spans="12:13" x14ac:dyDescent="0.25">
      <c r="L351503" s="472"/>
      <c r="M351503" s="472"/>
    </row>
    <row r="351575" spans="12:13" x14ac:dyDescent="0.25">
      <c r="L351575" s="472"/>
      <c r="M351575" s="472"/>
    </row>
    <row r="351576" spans="12:13" x14ac:dyDescent="0.25">
      <c r="L351576" s="472"/>
      <c r="M351576" s="472"/>
    </row>
    <row r="351577" spans="12:13" x14ac:dyDescent="0.25">
      <c r="L351577" s="472"/>
      <c r="M351577" s="472"/>
    </row>
    <row r="351649" spans="12:13" x14ac:dyDescent="0.25">
      <c r="L351649" s="472"/>
      <c r="M351649" s="472"/>
    </row>
    <row r="351650" spans="12:13" x14ac:dyDescent="0.25">
      <c r="L351650" s="472"/>
      <c r="M351650" s="472"/>
    </row>
    <row r="351651" spans="12:13" x14ac:dyDescent="0.25">
      <c r="L351651" s="472"/>
      <c r="M351651" s="472"/>
    </row>
    <row r="351723" spans="12:13" x14ac:dyDescent="0.25">
      <c r="L351723" s="472"/>
      <c r="M351723" s="472"/>
    </row>
    <row r="351724" spans="12:13" x14ac:dyDescent="0.25">
      <c r="L351724" s="472"/>
      <c r="M351724" s="472"/>
    </row>
    <row r="351725" spans="12:13" x14ac:dyDescent="0.25">
      <c r="L351725" s="472"/>
      <c r="M351725" s="472"/>
    </row>
    <row r="351797" spans="12:13" x14ac:dyDescent="0.25">
      <c r="L351797" s="472"/>
      <c r="M351797" s="472"/>
    </row>
    <row r="351798" spans="12:13" x14ac:dyDescent="0.25">
      <c r="L351798" s="472"/>
      <c r="M351798" s="472"/>
    </row>
    <row r="351799" spans="12:13" x14ac:dyDescent="0.25">
      <c r="L351799" s="472"/>
      <c r="M351799" s="472"/>
    </row>
    <row r="351871" spans="12:13" x14ac:dyDescent="0.25">
      <c r="L351871" s="472"/>
      <c r="M351871" s="472"/>
    </row>
    <row r="351872" spans="12:13" x14ac:dyDescent="0.25">
      <c r="L351872" s="472"/>
      <c r="M351872" s="472"/>
    </row>
    <row r="351873" spans="12:13" x14ac:dyDescent="0.25">
      <c r="L351873" s="472"/>
      <c r="M351873" s="472"/>
    </row>
    <row r="351945" spans="12:13" x14ac:dyDescent="0.25">
      <c r="L351945" s="472"/>
      <c r="M351945" s="472"/>
    </row>
    <row r="351946" spans="12:13" x14ac:dyDescent="0.25">
      <c r="L351946" s="472"/>
      <c r="M351946" s="472"/>
    </row>
    <row r="351947" spans="12:13" x14ac:dyDescent="0.25">
      <c r="L351947" s="472"/>
      <c r="M351947" s="472"/>
    </row>
    <row r="352019" spans="12:13" x14ac:dyDescent="0.25">
      <c r="L352019" s="472"/>
      <c r="M352019" s="472"/>
    </row>
    <row r="352020" spans="12:13" x14ac:dyDescent="0.25">
      <c r="L352020" s="472"/>
      <c r="M352020" s="472"/>
    </row>
    <row r="352021" spans="12:13" x14ac:dyDescent="0.25">
      <c r="L352021" s="472"/>
      <c r="M352021" s="472"/>
    </row>
    <row r="352093" spans="12:13" x14ac:dyDescent="0.25">
      <c r="L352093" s="472"/>
      <c r="M352093" s="472"/>
    </row>
    <row r="352094" spans="12:13" x14ac:dyDescent="0.25">
      <c r="L352094" s="472"/>
      <c r="M352094" s="472"/>
    </row>
    <row r="352095" spans="12:13" x14ac:dyDescent="0.25">
      <c r="L352095" s="472"/>
      <c r="M352095" s="472"/>
    </row>
    <row r="352167" spans="12:13" x14ac:dyDescent="0.25">
      <c r="L352167" s="472"/>
      <c r="M352167" s="472"/>
    </row>
    <row r="352168" spans="12:13" x14ac:dyDescent="0.25">
      <c r="L352168" s="472"/>
      <c r="M352168" s="472"/>
    </row>
    <row r="352169" spans="12:13" x14ac:dyDescent="0.25">
      <c r="L352169" s="472"/>
      <c r="M352169" s="472"/>
    </row>
    <row r="352241" spans="12:13" x14ac:dyDescent="0.25">
      <c r="L352241" s="472"/>
      <c r="M352241" s="472"/>
    </row>
    <row r="352242" spans="12:13" x14ac:dyDescent="0.25">
      <c r="L352242" s="472"/>
      <c r="M352242" s="472"/>
    </row>
    <row r="352243" spans="12:13" x14ac:dyDescent="0.25">
      <c r="L352243" s="472"/>
      <c r="M352243" s="472"/>
    </row>
    <row r="352315" spans="12:13" x14ac:dyDescent="0.25">
      <c r="L352315" s="472"/>
      <c r="M352315" s="472"/>
    </row>
    <row r="352316" spans="12:13" x14ac:dyDescent="0.25">
      <c r="L352316" s="472"/>
      <c r="M352316" s="472"/>
    </row>
    <row r="352317" spans="12:13" x14ac:dyDescent="0.25">
      <c r="L352317" s="472"/>
      <c r="M352317" s="472"/>
    </row>
    <row r="352389" spans="12:13" x14ac:dyDescent="0.25">
      <c r="L352389" s="472"/>
      <c r="M352389" s="472"/>
    </row>
    <row r="352390" spans="12:13" x14ac:dyDescent="0.25">
      <c r="L352390" s="472"/>
      <c r="M352390" s="472"/>
    </row>
    <row r="352391" spans="12:13" x14ac:dyDescent="0.25">
      <c r="L352391" s="472"/>
      <c r="M352391" s="472"/>
    </row>
    <row r="352463" spans="12:13" x14ac:dyDescent="0.25">
      <c r="L352463" s="472"/>
      <c r="M352463" s="472"/>
    </row>
    <row r="352464" spans="12:13" x14ac:dyDescent="0.25">
      <c r="L352464" s="472"/>
      <c r="M352464" s="472"/>
    </row>
    <row r="352465" spans="12:13" x14ac:dyDescent="0.25">
      <c r="L352465" s="472"/>
      <c r="M352465" s="472"/>
    </row>
    <row r="352537" spans="12:13" x14ac:dyDescent="0.25">
      <c r="L352537" s="472"/>
      <c r="M352537" s="472"/>
    </row>
    <row r="352538" spans="12:13" x14ac:dyDescent="0.25">
      <c r="L352538" s="472"/>
      <c r="M352538" s="472"/>
    </row>
    <row r="352539" spans="12:13" x14ac:dyDescent="0.25">
      <c r="L352539" s="472"/>
      <c r="M352539" s="472"/>
    </row>
    <row r="352611" spans="12:13" x14ac:dyDescent="0.25">
      <c r="L352611" s="472"/>
      <c r="M352611" s="472"/>
    </row>
    <row r="352612" spans="12:13" x14ac:dyDescent="0.25">
      <c r="L352612" s="472"/>
      <c r="M352612" s="472"/>
    </row>
    <row r="352613" spans="12:13" x14ac:dyDescent="0.25">
      <c r="L352613" s="472"/>
      <c r="M352613" s="472"/>
    </row>
    <row r="352685" spans="12:13" x14ac:dyDescent="0.25">
      <c r="L352685" s="472"/>
      <c r="M352685" s="472"/>
    </row>
    <row r="352686" spans="12:13" x14ac:dyDescent="0.25">
      <c r="L352686" s="472"/>
      <c r="M352686" s="472"/>
    </row>
    <row r="352687" spans="12:13" x14ac:dyDescent="0.25">
      <c r="L352687" s="472"/>
      <c r="M352687" s="472"/>
    </row>
    <row r="352759" spans="12:13" x14ac:dyDescent="0.25">
      <c r="L352759" s="472"/>
      <c r="M352759" s="472"/>
    </row>
    <row r="352760" spans="12:13" x14ac:dyDescent="0.25">
      <c r="L352760" s="472"/>
      <c r="M352760" s="472"/>
    </row>
    <row r="352761" spans="12:13" x14ac:dyDescent="0.25">
      <c r="L352761" s="472"/>
      <c r="M352761" s="472"/>
    </row>
    <row r="352833" spans="12:13" x14ac:dyDescent="0.25">
      <c r="L352833" s="472"/>
      <c r="M352833" s="472"/>
    </row>
    <row r="352834" spans="12:13" x14ac:dyDescent="0.25">
      <c r="L352834" s="472"/>
      <c r="M352834" s="472"/>
    </row>
    <row r="352835" spans="12:13" x14ac:dyDescent="0.25">
      <c r="L352835" s="472"/>
      <c r="M352835" s="472"/>
    </row>
    <row r="352907" spans="12:13" x14ac:dyDescent="0.25">
      <c r="L352907" s="472"/>
      <c r="M352907" s="472"/>
    </row>
    <row r="352908" spans="12:13" x14ac:dyDescent="0.25">
      <c r="L352908" s="472"/>
      <c r="M352908" s="472"/>
    </row>
    <row r="352909" spans="12:13" x14ac:dyDescent="0.25">
      <c r="L352909" s="472"/>
      <c r="M352909" s="472"/>
    </row>
    <row r="352981" spans="12:13" x14ac:dyDescent="0.25">
      <c r="L352981" s="472"/>
      <c r="M352981" s="472"/>
    </row>
    <row r="352982" spans="12:13" x14ac:dyDescent="0.25">
      <c r="L352982" s="472"/>
      <c r="M352982" s="472"/>
    </row>
    <row r="352983" spans="12:13" x14ac:dyDescent="0.25">
      <c r="L352983" s="472"/>
      <c r="M352983" s="472"/>
    </row>
    <row r="353055" spans="12:13" x14ac:dyDescent="0.25">
      <c r="L353055" s="472"/>
      <c r="M353055" s="472"/>
    </row>
    <row r="353056" spans="12:13" x14ac:dyDescent="0.25">
      <c r="L353056" s="472"/>
      <c r="M353056" s="472"/>
    </row>
    <row r="353057" spans="12:13" x14ac:dyDescent="0.25">
      <c r="L353057" s="472"/>
      <c r="M353057" s="472"/>
    </row>
    <row r="353129" spans="12:13" x14ac:dyDescent="0.25">
      <c r="L353129" s="472"/>
      <c r="M353129" s="472"/>
    </row>
    <row r="353130" spans="12:13" x14ac:dyDescent="0.25">
      <c r="L353130" s="472"/>
      <c r="M353130" s="472"/>
    </row>
    <row r="353131" spans="12:13" x14ac:dyDescent="0.25">
      <c r="L353131" s="472"/>
      <c r="M353131" s="472"/>
    </row>
    <row r="353203" spans="12:13" x14ac:dyDescent="0.25">
      <c r="L353203" s="472"/>
      <c r="M353203" s="472"/>
    </row>
    <row r="353204" spans="12:13" x14ac:dyDescent="0.25">
      <c r="L353204" s="472"/>
      <c r="M353204" s="472"/>
    </row>
    <row r="353205" spans="12:13" x14ac:dyDescent="0.25">
      <c r="L353205" s="472"/>
      <c r="M353205" s="472"/>
    </row>
    <row r="353277" spans="12:13" x14ac:dyDescent="0.25">
      <c r="L353277" s="472"/>
      <c r="M353277" s="472"/>
    </row>
    <row r="353278" spans="12:13" x14ac:dyDescent="0.25">
      <c r="L353278" s="472"/>
      <c r="M353278" s="472"/>
    </row>
    <row r="353279" spans="12:13" x14ac:dyDescent="0.25">
      <c r="L353279" s="472"/>
      <c r="M353279" s="472"/>
    </row>
    <row r="353351" spans="12:13" x14ac:dyDescent="0.25">
      <c r="L353351" s="472"/>
      <c r="M353351" s="472"/>
    </row>
    <row r="353352" spans="12:13" x14ac:dyDescent="0.25">
      <c r="L353352" s="472"/>
      <c r="M353352" s="472"/>
    </row>
    <row r="353353" spans="12:13" x14ac:dyDescent="0.25">
      <c r="L353353" s="472"/>
      <c r="M353353" s="472"/>
    </row>
    <row r="353425" spans="12:13" x14ac:dyDescent="0.25">
      <c r="L353425" s="472"/>
      <c r="M353425" s="472"/>
    </row>
    <row r="353426" spans="12:13" x14ac:dyDescent="0.25">
      <c r="L353426" s="472"/>
      <c r="M353426" s="472"/>
    </row>
    <row r="353427" spans="12:13" x14ac:dyDescent="0.25">
      <c r="L353427" s="472"/>
      <c r="M353427" s="472"/>
    </row>
    <row r="353499" spans="12:13" x14ac:dyDescent="0.25">
      <c r="L353499" s="472"/>
      <c r="M353499" s="472"/>
    </row>
    <row r="353500" spans="12:13" x14ac:dyDescent="0.25">
      <c r="L353500" s="472"/>
      <c r="M353500" s="472"/>
    </row>
    <row r="353501" spans="12:13" x14ac:dyDescent="0.25">
      <c r="L353501" s="472"/>
      <c r="M353501" s="472"/>
    </row>
    <row r="353573" spans="12:13" x14ac:dyDescent="0.25">
      <c r="L353573" s="472"/>
      <c r="M353573" s="472"/>
    </row>
    <row r="353574" spans="12:13" x14ac:dyDescent="0.25">
      <c r="L353574" s="472"/>
      <c r="M353574" s="472"/>
    </row>
    <row r="353575" spans="12:13" x14ac:dyDescent="0.25">
      <c r="L353575" s="472"/>
      <c r="M353575" s="472"/>
    </row>
    <row r="353647" spans="12:13" x14ac:dyDescent="0.25">
      <c r="L353647" s="472"/>
      <c r="M353647" s="472"/>
    </row>
    <row r="353648" spans="12:13" x14ac:dyDescent="0.25">
      <c r="L353648" s="472"/>
      <c r="M353648" s="472"/>
    </row>
    <row r="353649" spans="12:13" x14ac:dyDescent="0.25">
      <c r="L353649" s="472"/>
      <c r="M353649" s="472"/>
    </row>
    <row r="353721" spans="12:13" x14ac:dyDescent="0.25">
      <c r="L353721" s="472"/>
      <c r="M353721" s="472"/>
    </row>
    <row r="353722" spans="12:13" x14ac:dyDescent="0.25">
      <c r="L353722" s="472"/>
      <c r="M353722" s="472"/>
    </row>
    <row r="353723" spans="12:13" x14ac:dyDescent="0.25">
      <c r="L353723" s="472"/>
      <c r="M353723" s="472"/>
    </row>
    <row r="353795" spans="12:13" x14ac:dyDescent="0.25">
      <c r="L353795" s="472"/>
      <c r="M353795" s="472"/>
    </row>
    <row r="353796" spans="12:13" x14ac:dyDescent="0.25">
      <c r="L353796" s="472"/>
      <c r="M353796" s="472"/>
    </row>
    <row r="353797" spans="12:13" x14ac:dyDescent="0.25">
      <c r="L353797" s="472"/>
      <c r="M353797" s="472"/>
    </row>
    <row r="353869" spans="12:13" x14ac:dyDescent="0.25">
      <c r="L353869" s="472"/>
      <c r="M353869" s="472"/>
    </row>
    <row r="353870" spans="12:13" x14ac:dyDescent="0.25">
      <c r="L353870" s="472"/>
      <c r="M353870" s="472"/>
    </row>
    <row r="353871" spans="12:13" x14ac:dyDescent="0.25">
      <c r="L353871" s="472"/>
      <c r="M353871" s="472"/>
    </row>
    <row r="353943" spans="12:13" x14ac:dyDescent="0.25">
      <c r="L353943" s="472"/>
      <c r="M353943" s="472"/>
    </row>
    <row r="353944" spans="12:13" x14ac:dyDescent="0.25">
      <c r="L353944" s="472"/>
      <c r="M353944" s="472"/>
    </row>
    <row r="353945" spans="12:13" x14ac:dyDescent="0.25">
      <c r="L353945" s="472"/>
      <c r="M353945" s="472"/>
    </row>
    <row r="354017" spans="12:13" x14ac:dyDescent="0.25">
      <c r="L354017" s="472"/>
      <c r="M354017" s="472"/>
    </row>
    <row r="354018" spans="12:13" x14ac:dyDescent="0.25">
      <c r="L354018" s="472"/>
      <c r="M354018" s="472"/>
    </row>
    <row r="354019" spans="12:13" x14ac:dyDescent="0.25">
      <c r="L354019" s="472"/>
      <c r="M354019" s="472"/>
    </row>
    <row r="354091" spans="12:13" x14ac:dyDescent="0.25">
      <c r="L354091" s="472"/>
      <c r="M354091" s="472"/>
    </row>
    <row r="354092" spans="12:13" x14ac:dyDescent="0.25">
      <c r="L354092" s="472"/>
      <c r="M354092" s="472"/>
    </row>
    <row r="354093" spans="12:13" x14ac:dyDescent="0.25">
      <c r="L354093" s="472"/>
      <c r="M354093" s="472"/>
    </row>
    <row r="354165" spans="12:13" x14ac:dyDescent="0.25">
      <c r="L354165" s="472"/>
      <c r="M354165" s="472"/>
    </row>
    <row r="354166" spans="12:13" x14ac:dyDescent="0.25">
      <c r="L354166" s="472"/>
      <c r="M354166" s="472"/>
    </row>
    <row r="354167" spans="12:13" x14ac:dyDescent="0.25">
      <c r="L354167" s="472"/>
      <c r="M354167" s="472"/>
    </row>
    <row r="354239" spans="12:13" x14ac:dyDescent="0.25">
      <c r="L354239" s="472"/>
      <c r="M354239" s="472"/>
    </row>
    <row r="354240" spans="12:13" x14ac:dyDescent="0.25">
      <c r="L354240" s="472"/>
      <c r="M354240" s="472"/>
    </row>
    <row r="354241" spans="12:13" x14ac:dyDescent="0.25">
      <c r="L354241" s="472"/>
      <c r="M354241" s="472"/>
    </row>
    <row r="354313" spans="12:13" x14ac:dyDescent="0.25">
      <c r="L354313" s="472"/>
      <c r="M354313" s="472"/>
    </row>
    <row r="354314" spans="12:13" x14ac:dyDescent="0.25">
      <c r="L354314" s="472"/>
      <c r="M354314" s="472"/>
    </row>
    <row r="354315" spans="12:13" x14ac:dyDescent="0.25">
      <c r="L354315" s="472"/>
      <c r="M354315" s="472"/>
    </row>
    <row r="354387" spans="12:13" x14ac:dyDescent="0.25">
      <c r="L354387" s="472"/>
      <c r="M354387" s="472"/>
    </row>
    <row r="354388" spans="12:13" x14ac:dyDescent="0.25">
      <c r="L354388" s="472"/>
      <c r="M354388" s="472"/>
    </row>
    <row r="354389" spans="12:13" x14ac:dyDescent="0.25">
      <c r="L354389" s="472"/>
      <c r="M354389" s="472"/>
    </row>
    <row r="354461" spans="12:13" x14ac:dyDescent="0.25">
      <c r="L354461" s="472"/>
      <c r="M354461" s="472"/>
    </row>
    <row r="354462" spans="12:13" x14ac:dyDescent="0.25">
      <c r="L354462" s="472"/>
      <c r="M354462" s="472"/>
    </row>
    <row r="354463" spans="12:13" x14ac:dyDescent="0.25">
      <c r="L354463" s="472"/>
      <c r="M354463" s="472"/>
    </row>
    <row r="354535" spans="12:13" x14ac:dyDescent="0.25">
      <c r="L354535" s="472"/>
      <c r="M354535" s="472"/>
    </row>
    <row r="354536" spans="12:13" x14ac:dyDescent="0.25">
      <c r="L354536" s="472"/>
      <c r="M354536" s="472"/>
    </row>
    <row r="354537" spans="12:13" x14ac:dyDescent="0.25">
      <c r="L354537" s="472"/>
      <c r="M354537" s="472"/>
    </row>
    <row r="354609" spans="12:13" x14ac:dyDescent="0.25">
      <c r="L354609" s="472"/>
      <c r="M354609" s="472"/>
    </row>
    <row r="354610" spans="12:13" x14ac:dyDescent="0.25">
      <c r="L354610" s="472"/>
      <c r="M354610" s="472"/>
    </row>
    <row r="354611" spans="12:13" x14ac:dyDescent="0.25">
      <c r="L354611" s="472"/>
      <c r="M354611" s="472"/>
    </row>
    <row r="354683" spans="12:13" x14ac:dyDescent="0.25">
      <c r="L354683" s="472"/>
      <c r="M354683" s="472"/>
    </row>
    <row r="354684" spans="12:13" x14ac:dyDescent="0.25">
      <c r="L354684" s="472"/>
      <c r="M354684" s="472"/>
    </row>
    <row r="354685" spans="12:13" x14ac:dyDescent="0.25">
      <c r="L354685" s="472"/>
      <c r="M354685" s="472"/>
    </row>
    <row r="354757" spans="12:13" x14ac:dyDescent="0.25">
      <c r="L354757" s="472"/>
      <c r="M354757" s="472"/>
    </row>
    <row r="354758" spans="12:13" x14ac:dyDescent="0.25">
      <c r="L354758" s="472"/>
      <c r="M354758" s="472"/>
    </row>
    <row r="354759" spans="12:13" x14ac:dyDescent="0.25">
      <c r="L354759" s="472"/>
      <c r="M354759" s="472"/>
    </row>
    <row r="354831" spans="12:13" x14ac:dyDescent="0.25">
      <c r="L354831" s="472"/>
      <c r="M354831" s="472"/>
    </row>
    <row r="354832" spans="12:13" x14ac:dyDescent="0.25">
      <c r="L354832" s="472"/>
      <c r="M354832" s="472"/>
    </row>
    <row r="354833" spans="12:13" x14ac:dyDescent="0.25">
      <c r="L354833" s="472"/>
      <c r="M354833" s="472"/>
    </row>
    <row r="354905" spans="12:13" x14ac:dyDescent="0.25">
      <c r="L354905" s="472"/>
      <c r="M354905" s="472"/>
    </row>
    <row r="354906" spans="12:13" x14ac:dyDescent="0.25">
      <c r="L354906" s="472"/>
      <c r="M354906" s="472"/>
    </row>
    <row r="354907" spans="12:13" x14ac:dyDescent="0.25">
      <c r="L354907" s="472"/>
      <c r="M354907" s="472"/>
    </row>
    <row r="354979" spans="12:13" x14ac:dyDescent="0.25">
      <c r="L354979" s="472"/>
      <c r="M354979" s="472"/>
    </row>
    <row r="354980" spans="12:13" x14ac:dyDescent="0.25">
      <c r="L354980" s="472"/>
      <c r="M354980" s="472"/>
    </row>
    <row r="354981" spans="12:13" x14ac:dyDescent="0.25">
      <c r="L354981" s="472"/>
      <c r="M354981" s="472"/>
    </row>
    <row r="355053" spans="12:13" x14ac:dyDescent="0.25">
      <c r="L355053" s="472"/>
      <c r="M355053" s="472"/>
    </row>
    <row r="355054" spans="12:13" x14ac:dyDescent="0.25">
      <c r="L355054" s="472"/>
      <c r="M355054" s="472"/>
    </row>
    <row r="355055" spans="12:13" x14ac:dyDescent="0.25">
      <c r="L355055" s="472"/>
      <c r="M355055" s="472"/>
    </row>
    <row r="355127" spans="12:13" x14ac:dyDescent="0.25">
      <c r="L355127" s="472"/>
      <c r="M355127" s="472"/>
    </row>
    <row r="355128" spans="12:13" x14ac:dyDescent="0.25">
      <c r="L355128" s="472"/>
      <c r="M355128" s="472"/>
    </row>
    <row r="355129" spans="12:13" x14ac:dyDescent="0.25">
      <c r="L355129" s="472"/>
      <c r="M355129" s="472"/>
    </row>
    <row r="355201" spans="12:13" x14ac:dyDescent="0.25">
      <c r="L355201" s="472"/>
      <c r="M355201" s="472"/>
    </row>
    <row r="355202" spans="12:13" x14ac:dyDescent="0.25">
      <c r="L355202" s="472"/>
      <c r="M355202" s="472"/>
    </row>
    <row r="355203" spans="12:13" x14ac:dyDescent="0.25">
      <c r="L355203" s="472"/>
      <c r="M355203" s="472"/>
    </row>
    <row r="355275" spans="12:13" x14ac:dyDescent="0.25">
      <c r="L355275" s="472"/>
      <c r="M355275" s="472"/>
    </row>
    <row r="355276" spans="12:13" x14ac:dyDescent="0.25">
      <c r="L355276" s="472"/>
      <c r="M355276" s="472"/>
    </row>
    <row r="355277" spans="12:13" x14ac:dyDescent="0.25">
      <c r="L355277" s="472"/>
      <c r="M355277" s="472"/>
    </row>
    <row r="355349" spans="12:13" x14ac:dyDescent="0.25">
      <c r="L355349" s="472"/>
      <c r="M355349" s="472"/>
    </row>
    <row r="355350" spans="12:13" x14ac:dyDescent="0.25">
      <c r="L355350" s="472"/>
      <c r="M355350" s="472"/>
    </row>
    <row r="355351" spans="12:13" x14ac:dyDescent="0.25">
      <c r="L355351" s="472"/>
      <c r="M355351" s="472"/>
    </row>
    <row r="355423" spans="12:13" x14ac:dyDescent="0.25">
      <c r="L355423" s="472"/>
      <c r="M355423" s="472"/>
    </row>
    <row r="355424" spans="12:13" x14ac:dyDescent="0.25">
      <c r="L355424" s="472"/>
      <c r="M355424" s="472"/>
    </row>
    <row r="355425" spans="12:13" x14ac:dyDescent="0.25">
      <c r="L355425" s="472"/>
      <c r="M355425" s="472"/>
    </row>
    <row r="355497" spans="12:13" x14ac:dyDescent="0.25">
      <c r="L355497" s="472"/>
      <c r="M355497" s="472"/>
    </row>
    <row r="355498" spans="12:13" x14ac:dyDescent="0.25">
      <c r="L355498" s="472"/>
      <c r="M355498" s="472"/>
    </row>
    <row r="355499" spans="12:13" x14ac:dyDescent="0.25">
      <c r="L355499" s="472"/>
      <c r="M355499" s="472"/>
    </row>
    <row r="355571" spans="12:13" x14ac:dyDescent="0.25">
      <c r="L355571" s="472"/>
      <c r="M355571" s="472"/>
    </row>
    <row r="355572" spans="12:13" x14ac:dyDescent="0.25">
      <c r="L355572" s="472"/>
      <c r="M355572" s="472"/>
    </row>
    <row r="355573" spans="12:13" x14ac:dyDescent="0.25">
      <c r="L355573" s="472"/>
      <c r="M355573" s="472"/>
    </row>
    <row r="355645" spans="12:13" x14ac:dyDescent="0.25">
      <c r="L355645" s="472"/>
      <c r="M355645" s="472"/>
    </row>
    <row r="355646" spans="12:13" x14ac:dyDescent="0.25">
      <c r="L355646" s="472"/>
      <c r="M355646" s="472"/>
    </row>
    <row r="355647" spans="12:13" x14ac:dyDescent="0.25">
      <c r="L355647" s="472"/>
      <c r="M355647" s="472"/>
    </row>
    <row r="355719" spans="12:13" x14ac:dyDescent="0.25">
      <c r="L355719" s="472"/>
      <c r="M355719" s="472"/>
    </row>
    <row r="355720" spans="12:13" x14ac:dyDescent="0.25">
      <c r="L355720" s="472"/>
      <c r="M355720" s="472"/>
    </row>
    <row r="355721" spans="12:13" x14ac:dyDescent="0.25">
      <c r="L355721" s="472"/>
      <c r="M355721" s="472"/>
    </row>
    <row r="355793" spans="12:13" x14ac:dyDescent="0.25">
      <c r="L355793" s="472"/>
      <c r="M355793" s="472"/>
    </row>
    <row r="355794" spans="12:13" x14ac:dyDescent="0.25">
      <c r="L355794" s="472"/>
      <c r="M355794" s="472"/>
    </row>
    <row r="355795" spans="12:13" x14ac:dyDescent="0.25">
      <c r="L355795" s="472"/>
      <c r="M355795" s="472"/>
    </row>
    <row r="355867" spans="12:13" x14ac:dyDescent="0.25">
      <c r="L355867" s="472"/>
      <c r="M355867" s="472"/>
    </row>
    <row r="355868" spans="12:13" x14ac:dyDescent="0.25">
      <c r="L355868" s="472"/>
      <c r="M355868" s="472"/>
    </row>
    <row r="355869" spans="12:13" x14ac:dyDescent="0.25">
      <c r="L355869" s="472"/>
      <c r="M355869" s="472"/>
    </row>
    <row r="355941" spans="12:13" x14ac:dyDescent="0.25">
      <c r="L355941" s="472"/>
      <c r="M355941" s="472"/>
    </row>
    <row r="355942" spans="12:13" x14ac:dyDescent="0.25">
      <c r="L355942" s="472"/>
      <c r="M355942" s="472"/>
    </row>
    <row r="355943" spans="12:13" x14ac:dyDescent="0.25">
      <c r="L355943" s="472"/>
      <c r="M355943" s="472"/>
    </row>
    <row r="356015" spans="12:13" x14ac:dyDescent="0.25">
      <c r="L356015" s="472"/>
      <c r="M356015" s="472"/>
    </row>
    <row r="356016" spans="12:13" x14ac:dyDescent="0.25">
      <c r="L356016" s="472"/>
      <c r="M356016" s="472"/>
    </row>
    <row r="356017" spans="12:13" x14ac:dyDescent="0.25">
      <c r="L356017" s="472"/>
      <c r="M356017" s="472"/>
    </row>
    <row r="356089" spans="12:13" x14ac:dyDescent="0.25">
      <c r="L356089" s="472"/>
      <c r="M356089" s="472"/>
    </row>
    <row r="356090" spans="12:13" x14ac:dyDescent="0.25">
      <c r="L356090" s="472"/>
      <c r="M356090" s="472"/>
    </row>
    <row r="356091" spans="12:13" x14ac:dyDescent="0.25">
      <c r="L356091" s="472"/>
      <c r="M356091" s="472"/>
    </row>
    <row r="356163" spans="12:13" x14ac:dyDescent="0.25">
      <c r="L356163" s="472"/>
      <c r="M356163" s="472"/>
    </row>
    <row r="356164" spans="12:13" x14ac:dyDescent="0.25">
      <c r="L356164" s="472"/>
      <c r="M356164" s="472"/>
    </row>
    <row r="356165" spans="12:13" x14ac:dyDescent="0.25">
      <c r="L356165" s="472"/>
      <c r="M356165" s="472"/>
    </row>
    <row r="356237" spans="12:13" x14ac:dyDescent="0.25">
      <c r="L356237" s="472"/>
      <c r="M356237" s="472"/>
    </row>
    <row r="356238" spans="12:13" x14ac:dyDescent="0.25">
      <c r="L356238" s="472"/>
      <c r="M356238" s="472"/>
    </row>
    <row r="356239" spans="12:13" x14ac:dyDescent="0.25">
      <c r="L356239" s="472"/>
      <c r="M356239" s="472"/>
    </row>
    <row r="356311" spans="12:13" x14ac:dyDescent="0.25">
      <c r="L356311" s="472"/>
      <c r="M356311" s="472"/>
    </row>
    <row r="356312" spans="12:13" x14ac:dyDescent="0.25">
      <c r="L356312" s="472"/>
      <c r="M356312" s="472"/>
    </row>
    <row r="356313" spans="12:13" x14ac:dyDescent="0.25">
      <c r="L356313" s="472"/>
      <c r="M356313" s="472"/>
    </row>
    <row r="356385" spans="12:13" x14ac:dyDescent="0.25">
      <c r="L356385" s="472"/>
      <c r="M356385" s="472"/>
    </row>
    <row r="356386" spans="12:13" x14ac:dyDescent="0.25">
      <c r="L356386" s="472"/>
      <c r="M356386" s="472"/>
    </row>
    <row r="356387" spans="12:13" x14ac:dyDescent="0.25">
      <c r="L356387" s="472"/>
      <c r="M356387" s="472"/>
    </row>
    <row r="356459" spans="12:13" x14ac:dyDescent="0.25">
      <c r="L356459" s="472"/>
      <c r="M356459" s="472"/>
    </row>
    <row r="356460" spans="12:13" x14ac:dyDescent="0.25">
      <c r="L356460" s="472"/>
      <c r="M356460" s="472"/>
    </row>
    <row r="356461" spans="12:13" x14ac:dyDescent="0.25">
      <c r="L356461" s="472"/>
      <c r="M356461" s="472"/>
    </row>
    <row r="356533" spans="12:13" x14ac:dyDescent="0.25">
      <c r="L356533" s="472"/>
      <c r="M356533" s="472"/>
    </row>
    <row r="356534" spans="12:13" x14ac:dyDescent="0.25">
      <c r="L356534" s="472"/>
      <c r="M356534" s="472"/>
    </row>
    <row r="356535" spans="12:13" x14ac:dyDescent="0.25">
      <c r="L356535" s="472"/>
      <c r="M356535" s="472"/>
    </row>
    <row r="356607" spans="12:13" x14ac:dyDescent="0.25">
      <c r="L356607" s="472"/>
      <c r="M356607" s="472"/>
    </row>
    <row r="356608" spans="12:13" x14ac:dyDescent="0.25">
      <c r="L356608" s="472"/>
      <c r="M356608" s="472"/>
    </row>
    <row r="356609" spans="12:13" x14ac:dyDescent="0.25">
      <c r="L356609" s="472"/>
      <c r="M356609" s="472"/>
    </row>
    <row r="356681" spans="12:13" x14ac:dyDescent="0.25">
      <c r="L356681" s="472"/>
      <c r="M356681" s="472"/>
    </row>
    <row r="356682" spans="12:13" x14ac:dyDescent="0.25">
      <c r="L356682" s="472"/>
      <c r="M356682" s="472"/>
    </row>
    <row r="356683" spans="12:13" x14ac:dyDescent="0.25">
      <c r="L356683" s="472"/>
      <c r="M356683" s="472"/>
    </row>
    <row r="356755" spans="12:13" x14ac:dyDescent="0.25">
      <c r="L356755" s="472"/>
      <c r="M356755" s="472"/>
    </row>
    <row r="356756" spans="12:13" x14ac:dyDescent="0.25">
      <c r="L356756" s="472"/>
      <c r="M356756" s="472"/>
    </row>
    <row r="356757" spans="12:13" x14ac:dyDescent="0.25">
      <c r="L356757" s="472"/>
      <c r="M356757" s="472"/>
    </row>
    <row r="356829" spans="12:13" x14ac:dyDescent="0.25">
      <c r="L356829" s="472"/>
      <c r="M356829" s="472"/>
    </row>
    <row r="356830" spans="12:13" x14ac:dyDescent="0.25">
      <c r="L356830" s="472"/>
      <c r="M356830" s="472"/>
    </row>
    <row r="356831" spans="12:13" x14ac:dyDescent="0.25">
      <c r="L356831" s="472"/>
      <c r="M356831" s="472"/>
    </row>
    <row r="356903" spans="12:13" x14ac:dyDescent="0.25">
      <c r="L356903" s="472"/>
      <c r="M356903" s="472"/>
    </row>
    <row r="356904" spans="12:13" x14ac:dyDescent="0.25">
      <c r="L356904" s="472"/>
      <c r="M356904" s="472"/>
    </row>
    <row r="356905" spans="12:13" x14ac:dyDescent="0.25">
      <c r="L356905" s="472"/>
      <c r="M356905" s="472"/>
    </row>
    <row r="356977" spans="12:13" x14ac:dyDescent="0.25">
      <c r="L356977" s="472"/>
      <c r="M356977" s="472"/>
    </row>
    <row r="356978" spans="12:13" x14ac:dyDescent="0.25">
      <c r="L356978" s="472"/>
      <c r="M356978" s="472"/>
    </row>
    <row r="356979" spans="12:13" x14ac:dyDescent="0.25">
      <c r="L356979" s="472"/>
      <c r="M356979" s="472"/>
    </row>
    <row r="357051" spans="12:13" x14ac:dyDescent="0.25">
      <c r="L357051" s="472"/>
      <c r="M357051" s="472"/>
    </row>
    <row r="357052" spans="12:13" x14ac:dyDescent="0.25">
      <c r="L357052" s="472"/>
      <c r="M357052" s="472"/>
    </row>
    <row r="357053" spans="12:13" x14ac:dyDescent="0.25">
      <c r="L357053" s="472"/>
      <c r="M357053" s="472"/>
    </row>
    <row r="357125" spans="12:13" x14ac:dyDescent="0.25">
      <c r="L357125" s="472"/>
      <c r="M357125" s="472"/>
    </row>
    <row r="357126" spans="12:13" x14ac:dyDescent="0.25">
      <c r="L357126" s="472"/>
      <c r="M357126" s="472"/>
    </row>
    <row r="357127" spans="12:13" x14ac:dyDescent="0.25">
      <c r="L357127" s="472"/>
      <c r="M357127" s="472"/>
    </row>
    <row r="357199" spans="12:13" x14ac:dyDescent="0.25">
      <c r="L357199" s="472"/>
      <c r="M357199" s="472"/>
    </row>
    <row r="357200" spans="12:13" x14ac:dyDescent="0.25">
      <c r="L357200" s="472"/>
      <c r="M357200" s="472"/>
    </row>
    <row r="357201" spans="12:13" x14ac:dyDescent="0.25">
      <c r="L357201" s="472"/>
      <c r="M357201" s="472"/>
    </row>
    <row r="357273" spans="12:13" x14ac:dyDescent="0.25">
      <c r="L357273" s="472"/>
      <c r="M357273" s="472"/>
    </row>
    <row r="357274" spans="12:13" x14ac:dyDescent="0.25">
      <c r="L357274" s="472"/>
      <c r="M357274" s="472"/>
    </row>
    <row r="357275" spans="12:13" x14ac:dyDescent="0.25">
      <c r="L357275" s="472"/>
      <c r="M357275" s="472"/>
    </row>
    <row r="357347" spans="12:13" x14ac:dyDescent="0.25">
      <c r="L357347" s="472"/>
      <c r="M357347" s="472"/>
    </row>
    <row r="357348" spans="12:13" x14ac:dyDescent="0.25">
      <c r="L357348" s="472"/>
      <c r="M357348" s="472"/>
    </row>
    <row r="357349" spans="12:13" x14ac:dyDescent="0.25">
      <c r="L357349" s="472"/>
      <c r="M357349" s="472"/>
    </row>
    <row r="357421" spans="12:13" x14ac:dyDescent="0.25">
      <c r="L357421" s="472"/>
      <c r="M357421" s="472"/>
    </row>
    <row r="357422" spans="12:13" x14ac:dyDescent="0.25">
      <c r="L357422" s="472"/>
      <c r="M357422" s="472"/>
    </row>
    <row r="357423" spans="12:13" x14ac:dyDescent="0.25">
      <c r="L357423" s="472"/>
      <c r="M357423" s="472"/>
    </row>
    <row r="357495" spans="12:13" x14ac:dyDescent="0.25">
      <c r="L357495" s="472"/>
      <c r="M357495" s="472"/>
    </row>
    <row r="357496" spans="12:13" x14ac:dyDescent="0.25">
      <c r="L357496" s="472"/>
      <c r="M357496" s="472"/>
    </row>
    <row r="357497" spans="12:13" x14ac:dyDescent="0.25">
      <c r="L357497" s="472"/>
      <c r="M357497" s="472"/>
    </row>
    <row r="357569" spans="12:13" x14ac:dyDescent="0.25">
      <c r="L357569" s="472"/>
      <c r="M357569" s="472"/>
    </row>
    <row r="357570" spans="12:13" x14ac:dyDescent="0.25">
      <c r="L357570" s="472"/>
      <c r="M357570" s="472"/>
    </row>
    <row r="357571" spans="12:13" x14ac:dyDescent="0.25">
      <c r="L357571" s="472"/>
      <c r="M357571" s="472"/>
    </row>
    <row r="357643" spans="12:13" x14ac:dyDescent="0.25">
      <c r="L357643" s="472"/>
      <c r="M357643" s="472"/>
    </row>
    <row r="357644" spans="12:13" x14ac:dyDescent="0.25">
      <c r="L357644" s="472"/>
      <c r="M357644" s="472"/>
    </row>
    <row r="357645" spans="12:13" x14ac:dyDescent="0.25">
      <c r="L357645" s="472"/>
      <c r="M357645" s="472"/>
    </row>
    <row r="357717" spans="12:13" x14ac:dyDescent="0.25">
      <c r="L357717" s="472"/>
      <c r="M357717" s="472"/>
    </row>
    <row r="357718" spans="12:13" x14ac:dyDescent="0.25">
      <c r="L357718" s="472"/>
      <c r="M357718" s="472"/>
    </row>
    <row r="357719" spans="12:13" x14ac:dyDescent="0.25">
      <c r="L357719" s="472"/>
      <c r="M357719" s="472"/>
    </row>
    <row r="357791" spans="12:13" x14ac:dyDescent="0.25">
      <c r="L357791" s="472"/>
      <c r="M357791" s="472"/>
    </row>
    <row r="357792" spans="12:13" x14ac:dyDescent="0.25">
      <c r="L357792" s="472"/>
      <c r="M357792" s="472"/>
    </row>
    <row r="357793" spans="12:13" x14ac:dyDescent="0.25">
      <c r="L357793" s="472"/>
      <c r="M357793" s="472"/>
    </row>
    <row r="357865" spans="12:13" x14ac:dyDescent="0.25">
      <c r="L357865" s="472"/>
      <c r="M357865" s="472"/>
    </row>
    <row r="357866" spans="12:13" x14ac:dyDescent="0.25">
      <c r="L357866" s="472"/>
      <c r="M357866" s="472"/>
    </row>
    <row r="357867" spans="12:13" x14ac:dyDescent="0.25">
      <c r="L357867" s="472"/>
      <c r="M357867" s="472"/>
    </row>
    <row r="357939" spans="12:13" x14ac:dyDescent="0.25">
      <c r="L357939" s="472"/>
      <c r="M357939" s="472"/>
    </row>
    <row r="357940" spans="12:13" x14ac:dyDescent="0.25">
      <c r="L357940" s="472"/>
      <c r="M357940" s="472"/>
    </row>
    <row r="357941" spans="12:13" x14ac:dyDescent="0.25">
      <c r="L357941" s="472"/>
      <c r="M357941" s="472"/>
    </row>
    <row r="358013" spans="12:13" x14ac:dyDescent="0.25">
      <c r="L358013" s="472"/>
      <c r="M358013" s="472"/>
    </row>
    <row r="358014" spans="12:13" x14ac:dyDescent="0.25">
      <c r="L358014" s="472"/>
      <c r="M358014" s="472"/>
    </row>
    <row r="358015" spans="12:13" x14ac:dyDescent="0.25">
      <c r="L358015" s="472"/>
      <c r="M358015" s="472"/>
    </row>
    <row r="358087" spans="12:13" x14ac:dyDescent="0.25">
      <c r="L358087" s="472"/>
      <c r="M358087" s="472"/>
    </row>
    <row r="358088" spans="12:13" x14ac:dyDescent="0.25">
      <c r="L358088" s="472"/>
      <c r="M358088" s="472"/>
    </row>
    <row r="358089" spans="12:13" x14ac:dyDescent="0.25">
      <c r="L358089" s="472"/>
      <c r="M358089" s="472"/>
    </row>
    <row r="358161" spans="12:13" x14ac:dyDescent="0.25">
      <c r="L358161" s="472"/>
      <c r="M358161" s="472"/>
    </row>
    <row r="358162" spans="12:13" x14ac:dyDescent="0.25">
      <c r="L358162" s="472"/>
      <c r="M358162" s="472"/>
    </row>
    <row r="358163" spans="12:13" x14ac:dyDescent="0.25">
      <c r="L358163" s="472"/>
      <c r="M358163" s="472"/>
    </row>
    <row r="358235" spans="12:13" x14ac:dyDescent="0.25">
      <c r="L358235" s="472"/>
      <c r="M358235" s="472"/>
    </row>
    <row r="358236" spans="12:13" x14ac:dyDescent="0.25">
      <c r="L358236" s="472"/>
      <c r="M358236" s="472"/>
    </row>
    <row r="358237" spans="12:13" x14ac:dyDescent="0.25">
      <c r="L358237" s="472"/>
      <c r="M358237" s="472"/>
    </row>
    <row r="358309" spans="12:13" x14ac:dyDescent="0.25">
      <c r="L358309" s="472"/>
      <c r="M358309" s="472"/>
    </row>
    <row r="358310" spans="12:13" x14ac:dyDescent="0.25">
      <c r="L358310" s="472"/>
      <c r="M358310" s="472"/>
    </row>
    <row r="358311" spans="12:13" x14ac:dyDescent="0.25">
      <c r="L358311" s="472"/>
      <c r="M358311" s="472"/>
    </row>
    <row r="358383" spans="12:13" x14ac:dyDescent="0.25">
      <c r="L358383" s="472"/>
      <c r="M358383" s="472"/>
    </row>
    <row r="358384" spans="12:13" x14ac:dyDescent="0.25">
      <c r="L358384" s="472"/>
      <c r="M358384" s="472"/>
    </row>
    <row r="358385" spans="12:13" x14ac:dyDescent="0.25">
      <c r="L358385" s="472"/>
      <c r="M358385" s="472"/>
    </row>
    <row r="358457" spans="12:13" x14ac:dyDescent="0.25">
      <c r="L358457" s="472"/>
      <c r="M358457" s="472"/>
    </row>
    <row r="358458" spans="12:13" x14ac:dyDescent="0.25">
      <c r="L358458" s="472"/>
      <c r="M358458" s="472"/>
    </row>
    <row r="358459" spans="12:13" x14ac:dyDescent="0.25">
      <c r="L358459" s="472"/>
      <c r="M358459" s="472"/>
    </row>
    <row r="358531" spans="12:13" x14ac:dyDescent="0.25">
      <c r="L358531" s="472"/>
      <c r="M358531" s="472"/>
    </row>
    <row r="358532" spans="12:13" x14ac:dyDescent="0.25">
      <c r="L358532" s="472"/>
      <c r="M358532" s="472"/>
    </row>
    <row r="358533" spans="12:13" x14ac:dyDescent="0.25">
      <c r="L358533" s="472"/>
      <c r="M358533" s="472"/>
    </row>
    <row r="358605" spans="12:13" x14ac:dyDescent="0.25">
      <c r="L358605" s="472"/>
      <c r="M358605" s="472"/>
    </row>
    <row r="358606" spans="12:13" x14ac:dyDescent="0.25">
      <c r="L358606" s="472"/>
      <c r="M358606" s="472"/>
    </row>
    <row r="358607" spans="12:13" x14ac:dyDescent="0.25">
      <c r="L358607" s="472"/>
      <c r="M358607" s="472"/>
    </row>
    <row r="358679" spans="12:13" x14ac:dyDescent="0.25">
      <c r="L358679" s="472"/>
      <c r="M358679" s="472"/>
    </row>
    <row r="358680" spans="12:13" x14ac:dyDescent="0.25">
      <c r="L358680" s="472"/>
      <c r="M358680" s="472"/>
    </row>
    <row r="358681" spans="12:13" x14ac:dyDescent="0.25">
      <c r="L358681" s="472"/>
      <c r="M358681" s="472"/>
    </row>
    <row r="358753" spans="12:13" x14ac:dyDescent="0.25">
      <c r="L358753" s="472"/>
      <c r="M358753" s="472"/>
    </row>
    <row r="358754" spans="12:13" x14ac:dyDescent="0.25">
      <c r="L358754" s="472"/>
      <c r="M358754" s="472"/>
    </row>
    <row r="358755" spans="12:13" x14ac:dyDescent="0.25">
      <c r="L358755" s="472"/>
      <c r="M358755" s="472"/>
    </row>
    <row r="358827" spans="12:13" x14ac:dyDescent="0.25">
      <c r="L358827" s="472"/>
      <c r="M358827" s="472"/>
    </row>
    <row r="358828" spans="12:13" x14ac:dyDescent="0.25">
      <c r="L358828" s="472"/>
      <c r="M358828" s="472"/>
    </row>
    <row r="358829" spans="12:13" x14ac:dyDescent="0.25">
      <c r="L358829" s="472"/>
      <c r="M358829" s="472"/>
    </row>
    <row r="358901" spans="12:13" x14ac:dyDescent="0.25">
      <c r="L358901" s="472"/>
      <c r="M358901" s="472"/>
    </row>
    <row r="358902" spans="12:13" x14ac:dyDescent="0.25">
      <c r="L358902" s="472"/>
      <c r="M358902" s="472"/>
    </row>
    <row r="358903" spans="12:13" x14ac:dyDescent="0.25">
      <c r="L358903" s="472"/>
      <c r="M358903" s="472"/>
    </row>
    <row r="358975" spans="12:13" x14ac:dyDescent="0.25">
      <c r="L358975" s="472"/>
      <c r="M358975" s="472"/>
    </row>
    <row r="358976" spans="12:13" x14ac:dyDescent="0.25">
      <c r="L358976" s="472"/>
      <c r="M358976" s="472"/>
    </row>
    <row r="358977" spans="12:13" x14ac:dyDescent="0.25">
      <c r="L358977" s="472"/>
      <c r="M358977" s="472"/>
    </row>
    <row r="359049" spans="12:13" x14ac:dyDescent="0.25">
      <c r="L359049" s="472"/>
      <c r="M359049" s="472"/>
    </row>
    <row r="359050" spans="12:13" x14ac:dyDescent="0.25">
      <c r="L359050" s="472"/>
      <c r="M359050" s="472"/>
    </row>
    <row r="359051" spans="12:13" x14ac:dyDescent="0.25">
      <c r="L359051" s="472"/>
      <c r="M359051" s="472"/>
    </row>
    <row r="359123" spans="12:13" x14ac:dyDescent="0.25">
      <c r="L359123" s="472"/>
      <c r="M359123" s="472"/>
    </row>
    <row r="359124" spans="12:13" x14ac:dyDescent="0.25">
      <c r="L359124" s="472"/>
      <c r="M359124" s="472"/>
    </row>
    <row r="359125" spans="12:13" x14ac:dyDescent="0.25">
      <c r="L359125" s="472"/>
      <c r="M359125" s="472"/>
    </row>
    <row r="359197" spans="12:13" x14ac:dyDescent="0.25">
      <c r="L359197" s="472"/>
      <c r="M359197" s="472"/>
    </row>
    <row r="359198" spans="12:13" x14ac:dyDescent="0.25">
      <c r="L359198" s="472"/>
      <c r="M359198" s="472"/>
    </row>
    <row r="359199" spans="12:13" x14ac:dyDescent="0.25">
      <c r="L359199" s="472"/>
      <c r="M359199" s="472"/>
    </row>
    <row r="359271" spans="12:13" x14ac:dyDescent="0.25">
      <c r="L359271" s="472"/>
      <c r="M359271" s="472"/>
    </row>
    <row r="359272" spans="12:13" x14ac:dyDescent="0.25">
      <c r="L359272" s="472"/>
      <c r="M359272" s="472"/>
    </row>
    <row r="359273" spans="12:13" x14ac:dyDescent="0.25">
      <c r="L359273" s="472"/>
      <c r="M359273" s="472"/>
    </row>
    <row r="359345" spans="12:13" x14ac:dyDescent="0.25">
      <c r="L359345" s="472"/>
      <c r="M359345" s="472"/>
    </row>
    <row r="359346" spans="12:13" x14ac:dyDescent="0.25">
      <c r="L359346" s="472"/>
      <c r="M359346" s="472"/>
    </row>
    <row r="359347" spans="12:13" x14ac:dyDescent="0.25">
      <c r="L359347" s="472"/>
      <c r="M359347" s="472"/>
    </row>
    <row r="359419" spans="12:13" x14ac:dyDescent="0.25">
      <c r="L359419" s="472"/>
      <c r="M359419" s="472"/>
    </row>
    <row r="359420" spans="12:13" x14ac:dyDescent="0.25">
      <c r="L359420" s="472"/>
      <c r="M359420" s="472"/>
    </row>
    <row r="359421" spans="12:13" x14ac:dyDescent="0.25">
      <c r="L359421" s="472"/>
      <c r="M359421" s="472"/>
    </row>
    <row r="359493" spans="12:13" x14ac:dyDescent="0.25">
      <c r="L359493" s="472"/>
      <c r="M359493" s="472"/>
    </row>
    <row r="359494" spans="12:13" x14ac:dyDescent="0.25">
      <c r="L359494" s="472"/>
      <c r="M359494" s="472"/>
    </row>
    <row r="359495" spans="12:13" x14ac:dyDescent="0.25">
      <c r="L359495" s="472"/>
      <c r="M359495" s="472"/>
    </row>
    <row r="359567" spans="12:13" x14ac:dyDescent="0.25">
      <c r="L359567" s="472"/>
      <c r="M359567" s="472"/>
    </row>
    <row r="359568" spans="12:13" x14ac:dyDescent="0.25">
      <c r="L359568" s="472"/>
      <c r="M359568" s="472"/>
    </row>
    <row r="359569" spans="12:13" x14ac:dyDescent="0.25">
      <c r="L359569" s="472"/>
      <c r="M359569" s="472"/>
    </row>
    <row r="359641" spans="12:13" x14ac:dyDescent="0.25">
      <c r="L359641" s="472"/>
      <c r="M359641" s="472"/>
    </row>
    <row r="359642" spans="12:13" x14ac:dyDescent="0.25">
      <c r="L359642" s="472"/>
      <c r="M359642" s="472"/>
    </row>
    <row r="359643" spans="12:13" x14ac:dyDescent="0.25">
      <c r="L359643" s="472"/>
      <c r="M359643" s="472"/>
    </row>
    <row r="359715" spans="12:13" x14ac:dyDescent="0.25">
      <c r="L359715" s="472"/>
      <c r="M359715" s="472"/>
    </row>
    <row r="359716" spans="12:13" x14ac:dyDescent="0.25">
      <c r="L359716" s="472"/>
      <c r="M359716" s="472"/>
    </row>
    <row r="359717" spans="12:13" x14ac:dyDescent="0.25">
      <c r="L359717" s="472"/>
      <c r="M359717" s="472"/>
    </row>
    <row r="359789" spans="12:13" x14ac:dyDescent="0.25">
      <c r="L359789" s="472"/>
      <c r="M359789" s="472"/>
    </row>
    <row r="359790" spans="12:13" x14ac:dyDescent="0.25">
      <c r="L359790" s="472"/>
      <c r="M359790" s="472"/>
    </row>
    <row r="359791" spans="12:13" x14ac:dyDescent="0.25">
      <c r="L359791" s="472"/>
      <c r="M359791" s="472"/>
    </row>
    <row r="359863" spans="12:13" x14ac:dyDescent="0.25">
      <c r="L359863" s="472"/>
      <c r="M359863" s="472"/>
    </row>
    <row r="359864" spans="12:13" x14ac:dyDescent="0.25">
      <c r="L359864" s="472"/>
      <c r="M359864" s="472"/>
    </row>
    <row r="359865" spans="12:13" x14ac:dyDescent="0.25">
      <c r="L359865" s="472"/>
      <c r="M359865" s="472"/>
    </row>
    <row r="359937" spans="12:13" x14ac:dyDescent="0.25">
      <c r="L359937" s="472"/>
      <c r="M359937" s="472"/>
    </row>
    <row r="359938" spans="12:13" x14ac:dyDescent="0.25">
      <c r="L359938" s="472"/>
      <c r="M359938" s="472"/>
    </row>
    <row r="359939" spans="12:13" x14ac:dyDescent="0.25">
      <c r="L359939" s="472"/>
      <c r="M359939" s="472"/>
    </row>
    <row r="360011" spans="12:13" x14ac:dyDescent="0.25">
      <c r="L360011" s="472"/>
      <c r="M360011" s="472"/>
    </row>
    <row r="360012" spans="12:13" x14ac:dyDescent="0.25">
      <c r="L360012" s="472"/>
      <c r="M360012" s="472"/>
    </row>
    <row r="360013" spans="12:13" x14ac:dyDescent="0.25">
      <c r="L360013" s="472"/>
      <c r="M360013" s="472"/>
    </row>
    <row r="360085" spans="12:13" x14ac:dyDescent="0.25">
      <c r="L360085" s="472"/>
      <c r="M360085" s="472"/>
    </row>
    <row r="360086" spans="12:13" x14ac:dyDescent="0.25">
      <c r="L360086" s="472"/>
      <c r="M360086" s="472"/>
    </row>
    <row r="360087" spans="12:13" x14ac:dyDescent="0.25">
      <c r="L360087" s="472"/>
      <c r="M360087" s="472"/>
    </row>
    <row r="360159" spans="12:13" x14ac:dyDescent="0.25">
      <c r="L360159" s="472"/>
      <c r="M360159" s="472"/>
    </row>
    <row r="360160" spans="12:13" x14ac:dyDescent="0.25">
      <c r="L360160" s="472"/>
      <c r="M360160" s="472"/>
    </row>
    <row r="360161" spans="12:13" x14ac:dyDescent="0.25">
      <c r="L360161" s="472"/>
      <c r="M360161" s="472"/>
    </row>
    <row r="360233" spans="12:13" x14ac:dyDescent="0.25">
      <c r="L360233" s="472"/>
      <c r="M360233" s="472"/>
    </row>
    <row r="360234" spans="12:13" x14ac:dyDescent="0.25">
      <c r="L360234" s="472"/>
      <c r="M360234" s="472"/>
    </row>
    <row r="360235" spans="12:13" x14ac:dyDescent="0.25">
      <c r="L360235" s="472"/>
      <c r="M360235" s="472"/>
    </row>
    <row r="360307" spans="12:13" x14ac:dyDescent="0.25">
      <c r="L360307" s="472"/>
      <c r="M360307" s="472"/>
    </row>
    <row r="360308" spans="12:13" x14ac:dyDescent="0.25">
      <c r="L360308" s="472"/>
      <c r="M360308" s="472"/>
    </row>
    <row r="360309" spans="12:13" x14ac:dyDescent="0.25">
      <c r="L360309" s="472"/>
      <c r="M360309" s="472"/>
    </row>
    <row r="360381" spans="12:13" x14ac:dyDescent="0.25">
      <c r="L360381" s="472"/>
      <c r="M360381" s="472"/>
    </row>
    <row r="360382" spans="12:13" x14ac:dyDescent="0.25">
      <c r="L360382" s="472"/>
      <c r="M360382" s="472"/>
    </row>
    <row r="360383" spans="12:13" x14ac:dyDescent="0.25">
      <c r="L360383" s="472"/>
      <c r="M360383" s="472"/>
    </row>
    <row r="360455" spans="12:13" x14ac:dyDescent="0.25">
      <c r="L360455" s="472"/>
      <c r="M360455" s="472"/>
    </row>
    <row r="360456" spans="12:13" x14ac:dyDescent="0.25">
      <c r="L360456" s="472"/>
      <c r="M360456" s="472"/>
    </row>
    <row r="360457" spans="12:13" x14ac:dyDescent="0.25">
      <c r="L360457" s="472"/>
      <c r="M360457" s="472"/>
    </row>
    <row r="360529" spans="12:13" x14ac:dyDescent="0.25">
      <c r="L360529" s="472"/>
      <c r="M360529" s="472"/>
    </row>
    <row r="360530" spans="12:13" x14ac:dyDescent="0.25">
      <c r="L360530" s="472"/>
      <c r="M360530" s="472"/>
    </row>
    <row r="360531" spans="12:13" x14ac:dyDescent="0.25">
      <c r="L360531" s="472"/>
      <c r="M360531" s="472"/>
    </row>
    <row r="360603" spans="12:13" x14ac:dyDescent="0.25">
      <c r="L360603" s="472"/>
      <c r="M360603" s="472"/>
    </row>
    <row r="360604" spans="12:13" x14ac:dyDescent="0.25">
      <c r="L360604" s="472"/>
      <c r="M360604" s="472"/>
    </row>
    <row r="360605" spans="12:13" x14ac:dyDescent="0.25">
      <c r="L360605" s="472"/>
      <c r="M360605" s="472"/>
    </row>
    <row r="360677" spans="12:13" x14ac:dyDescent="0.25">
      <c r="L360677" s="472"/>
      <c r="M360677" s="472"/>
    </row>
    <row r="360678" spans="12:13" x14ac:dyDescent="0.25">
      <c r="L360678" s="472"/>
      <c r="M360678" s="472"/>
    </row>
    <row r="360679" spans="12:13" x14ac:dyDescent="0.25">
      <c r="L360679" s="472"/>
      <c r="M360679" s="472"/>
    </row>
    <row r="360751" spans="12:13" x14ac:dyDescent="0.25">
      <c r="L360751" s="472"/>
      <c r="M360751" s="472"/>
    </row>
    <row r="360752" spans="12:13" x14ac:dyDescent="0.25">
      <c r="L360752" s="472"/>
      <c r="M360752" s="472"/>
    </row>
    <row r="360753" spans="12:13" x14ac:dyDescent="0.25">
      <c r="L360753" s="472"/>
      <c r="M360753" s="472"/>
    </row>
    <row r="360825" spans="12:13" x14ac:dyDescent="0.25">
      <c r="L360825" s="472"/>
      <c r="M360825" s="472"/>
    </row>
    <row r="360826" spans="12:13" x14ac:dyDescent="0.25">
      <c r="L360826" s="472"/>
      <c r="M360826" s="472"/>
    </row>
    <row r="360827" spans="12:13" x14ac:dyDescent="0.25">
      <c r="L360827" s="472"/>
      <c r="M360827" s="472"/>
    </row>
    <row r="360899" spans="12:13" x14ac:dyDescent="0.25">
      <c r="L360899" s="472"/>
      <c r="M360899" s="472"/>
    </row>
    <row r="360900" spans="12:13" x14ac:dyDescent="0.25">
      <c r="L360900" s="472"/>
      <c r="M360900" s="472"/>
    </row>
    <row r="360901" spans="12:13" x14ac:dyDescent="0.25">
      <c r="L360901" s="472"/>
      <c r="M360901" s="472"/>
    </row>
    <row r="360973" spans="12:13" x14ac:dyDescent="0.25">
      <c r="L360973" s="472"/>
      <c r="M360973" s="472"/>
    </row>
    <row r="360974" spans="12:13" x14ac:dyDescent="0.25">
      <c r="L360974" s="472"/>
      <c r="M360974" s="472"/>
    </row>
    <row r="360975" spans="12:13" x14ac:dyDescent="0.25">
      <c r="L360975" s="472"/>
      <c r="M360975" s="472"/>
    </row>
    <row r="361047" spans="12:13" x14ac:dyDescent="0.25">
      <c r="L361047" s="472"/>
      <c r="M361047" s="472"/>
    </row>
    <row r="361048" spans="12:13" x14ac:dyDescent="0.25">
      <c r="L361048" s="472"/>
      <c r="M361048" s="472"/>
    </row>
    <row r="361049" spans="12:13" x14ac:dyDescent="0.25">
      <c r="L361049" s="472"/>
      <c r="M361049" s="472"/>
    </row>
    <row r="361121" spans="12:13" x14ac:dyDescent="0.25">
      <c r="L361121" s="472"/>
      <c r="M361121" s="472"/>
    </row>
    <row r="361122" spans="12:13" x14ac:dyDescent="0.25">
      <c r="L361122" s="472"/>
      <c r="M361122" s="472"/>
    </row>
    <row r="361123" spans="12:13" x14ac:dyDescent="0.25">
      <c r="L361123" s="472"/>
      <c r="M361123" s="472"/>
    </row>
    <row r="361195" spans="12:13" x14ac:dyDescent="0.25">
      <c r="L361195" s="472"/>
      <c r="M361195" s="472"/>
    </row>
    <row r="361196" spans="12:13" x14ac:dyDescent="0.25">
      <c r="L361196" s="472"/>
      <c r="M361196" s="472"/>
    </row>
    <row r="361197" spans="12:13" x14ac:dyDescent="0.25">
      <c r="L361197" s="472"/>
      <c r="M361197" s="472"/>
    </row>
    <row r="361269" spans="12:13" x14ac:dyDescent="0.25">
      <c r="L361269" s="472"/>
      <c r="M361269" s="472"/>
    </row>
    <row r="361270" spans="12:13" x14ac:dyDescent="0.25">
      <c r="L361270" s="472"/>
      <c r="M361270" s="472"/>
    </row>
    <row r="361271" spans="12:13" x14ac:dyDescent="0.25">
      <c r="L361271" s="472"/>
      <c r="M361271" s="472"/>
    </row>
    <row r="361343" spans="12:13" x14ac:dyDescent="0.25">
      <c r="L361343" s="472"/>
      <c r="M361343" s="472"/>
    </row>
    <row r="361344" spans="12:13" x14ac:dyDescent="0.25">
      <c r="L361344" s="472"/>
      <c r="M361344" s="472"/>
    </row>
    <row r="361345" spans="12:13" x14ac:dyDescent="0.25">
      <c r="L361345" s="472"/>
      <c r="M361345" s="472"/>
    </row>
    <row r="361417" spans="12:13" x14ac:dyDescent="0.25">
      <c r="L361417" s="472"/>
      <c r="M361417" s="472"/>
    </row>
    <row r="361418" spans="12:13" x14ac:dyDescent="0.25">
      <c r="L361418" s="472"/>
      <c r="M361418" s="472"/>
    </row>
    <row r="361419" spans="12:13" x14ac:dyDescent="0.25">
      <c r="L361419" s="472"/>
      <c r="M361419" s="472"/>
    </row>
    <row r="361491" spans="12:13" x14ac:dyDescent="0.25">
      <c r="L361491" s="472"/>
      <c r="M361491" s="472"/>
    </row>
    <row r="361492" spans="12:13" x14ac:dyDescent="0.25">
      <c r="L361492" s="472"/>
      <c r="M361492" s="472"/>
    </row>
    <row r="361493" spans="12:13" x14ac:dyDescent="0.25">
      <c r="L361493" s="472"/>
      <c r="M361493" s="472"/>
    </row>
    <row r="361565" spans="12:13" x14ac:dyDescent="0.25">
      <c r="L361565" s="472"/>
      <c r="M361565" s="472"/>
    </row>
    <row r="361566" spans="12:13" x14ac:dyDescent="0.25">
      <c r="L361566" s="472"/>
      <c r="M361566" s="472"/>
    </row>
    <row r="361567" spans="12:13" x14ac:dyDescent="0.25">
      <c r="L361567" s="472"/>
      <c r="M361567" s="472"/>
    </row>
    <row r="361639" spans="12:13" x14ac:dyDescent="0.25">
      <c r="L361639" s="472"/>
      <c r="M361639" s="472"/>
    </row>
    <row r="361640" spans="12:13" x14ac:dyDescent="0.25">
      <c r="L361640" s="472"/>
      <c r="M361640" s="472"/>
    </row>
    <row r="361641" spans="12:13" x14ac:dyDescent="0.25">
      <c r="L361641" s="472"/>
      <c r="M361641" s="472"/>
    </row>
    <row r="361713" spans="12:13" x14ac:dyDescent="0.25">
      <c r="L361713" s="472"/>
      <c r="M361713" s="472"/>
    </row>
    <row r="361714" spans="12:13" x14ac:dyDescent="0.25">
      <c r="L361714" s="472"/>
      <c r="M361714" s="472"/>
    </row>
    <row r="361715" spans="12:13" x14ac:dyDescent="0.25">
      <c r="L361715" s="472"/>
      <c r="M361715" s="472"/>
    </row>
    <row r="361787" spans="12:13" x14ac:dyDescent="0.25">
      <c r="L361787" s="472"/>
      <c r="M361787" s="472"/>
    </row>
    <row r="361788" spans="12:13" x14ac:dyDescent="0.25">
      <c r="L361788" s="472"/>
      <c r="M361788" s="472"/>
    </row>
    <row r="361789" spans="12:13" x14ac:dyDescent="0.25">
      <c r="L361789" s="472"/>
      <c r="M361789" s="472"/>
    </row>
    <row r="361861" spans="12:13" x14ac:dyDescent="0.25">
      <c r="L361861" s="472"/>
      <c r="M361861" s="472"/>
    </row>
    <row r="361862" spans="12:13" x14ac:dyDescent="0.25">
      <c r="L361862" s="472"/>
      <c r="M361862" s="472"/>
    </row>
    <row r="361863" spans="12:13" x14ac:dyDescent="0.25">
      <c r="L361863" s="472"/>
      <c r="M361863" s="472"/>
    </row>
    <row r="361935" spans="12:13" x14ac:dyDescent="0.25">
      <c r="L361935" s="472"/>
      <c r="M361935" s="472"/>
    </row>
    <row r="361936" spans="12:13" x14ac:dyDescent="0.25">
      <c r="L361936" s="472"/>
      <c r="M361936" s="472"/>
    </row>
    <row r="361937" spans="12:13" x14ac:dyDescent="0.25">
      <c r="L361937" s="472"/>
      <c r="M361937" s="472"/>
    </row>
    <row r="362009" spans="12:13" x14ac:dyDescent="0.25">
      <c r="L362009" s="472"/>
      <c r="M362009" s="472"/>
    </row>
    <row r="362010" spans="12:13" x14ac:dyDescent="0.25">
      <c r="L362010" s="472"/>
      <c r="M362010" s="472"/>
    </row>
    <row r="362011" spans="12:13" x14ac:dyDescent="0.25">
      <c r="L362011" s="472"/>
      <c r="M362011" s="472"/>
    </row>
    <row r="362083" spans="12:13" x14ac:dyDescent="0.25">
      <c r="L362083" s="472"/>
      <c r="M362083" s="472"/>
    </row>
    <row r="362084" spans="12:13" x14ac:dyDescent="0.25">
      <c r="L362084" s="472"/>
      <c r="M362084" s="472"/>
    </row>
    <row r="362085" spans="12:13" x14ac:dyDescent="0.25">
      <c r="L362085" s="472"/>
      <c r="M362085" s="472"/>
    </row>
    <row r="362157" spans="12:13" x14ac:dyDescent="0.25">
      <c r="L362157" s="472"/>
      <c r="M362157" s="472"/>
    </row>
    <row r="362158" spans="12:13" x14ac:dyDescent="0.25">
      <c r="L362158" s="472"/>
      <c r="M362158" s="472"/>
    </row>
    <row r="362159" spans="12:13" x14ac:dyDescent="0.25">
      <c r="L362159" s="472"/>
      <c r="M362159" s="472"/>
    </row>
    <row r="362231" spans="12:13" x14ac:dyDescent="0.25">
      <c r="L362231" s="472"/>
      <c r="M362231" s="472"/>
    </row>
    <row r="362232" spans="12:13" x14ac:dyDescent="0.25">
      <c r="L362232" s="472"/>
      <c r="M362232" s="472"/>
    </row>
    <row r="362233" spans="12:13" x14ac:dyDescent="0.25">
      <c r="L362233" s="472"/>
      <c r="M362233" s="472"/>
    </row>
    <row r="362305" spans="12:13" x14ac:dyDescent="0.25">
      <c r="L362305" s="472"/>
      <c r="M362305" s="472"/>
    </row>
    <row r="362306" spans="12:13" x14ac:dyDescent="0.25">
      <c r="L362306" s="472"/>
      <c r="M362306" s="472"/>
    </row>
    <row r="362307" spans="12:13" x14ac:dyDescent="0.25">
      <c r="L362307" s="472"/>
      <c r="M362307" s="472"/>
    </row>
    <row r="362379" spans="12:13" x14ac:dyDescent="0.25">
      <c r="L362379" s="472"/>
      <c r="M362379" s="472"/>
    </row>
    <row r="362380" spans="12:13" x14ac:dyDescent="0.25">
      <c r="L362380" s="472"/>
      <c r="M362380" s="472"/>
    </row>
    <row r="362381" spans="12:13" x14ac:dyDescent="0.25">
      <c r="L362381" s="472"/>
      <c r="M362381" s="472"/>
    </row>
    <row r="362453" spans="12:13" x14ac:dyDescent="0.25">
      <c r="L362453" s="472"/>
      <c r="M362453" s="472"/>
    </row>
    <row r="362454" spans="12:13" x14ac:dyDescent="0.25">
      <c r="L362454" s="472"/>
      <c r="M362454" s="472"/>
    </row>
    <row r="362455" spans="12:13" x14ac:dyDescent="0.25">
      <c r="L362455" s="472"/>
      <c r="M362455" s="472"/>
    </row>
    <row r="362527" spans="12:13" x14ac:dyDescent="0.25">
      <c r="L362527" s="472"/>
      <c r="M362527" s="472"/>
    </row>
    <row r="362528" spans="12:13" x14ac:dyDescent="0.25">
      <c r="L362528" s="472"/>
      <c r="M362528" s="472"/>
    </row>
    <row r="362529" spans="12:13" x14ac:dyDescent="0.25">
      <c r="L362529" s="472"/>
      <c r="M362529" s="472"/>
    </row>
    <row r="362601" spans="12:13" x14ac:dyDescent="0.25">
      <c r="L362601" s="472"/>
      <c r="M362601" s="472"/>
    </row>
    <row r="362602" spans="12:13" x14ac:dyDescent="0.25">
      <c r="L362602" s="472"/>
      <c r="M362602" s="472"/>
    </row>
    <row r="362603" spans="12:13" x14ac:dyDescent="0.25">
      <c r="L362603" s="472"/>
      <c r="M362603" s="472"/>
    </row>
    <row r="362675" spans="12:13" x14ac:dyDescent="0.25">
      <c r="L362675" s="472"/>
      <c r="M362675" s="472"/>
    </row>
    <row r="362676" spans="12:13" x14ac:dyDescent="0.25">
      <c r="L362676" s="472"/>
      <c r="M362676" s="472"/>
    </row>
    <row r="362677" spans="12:13" x14ac:dyDescent="0.25">
      <c r="L362677" s="472"/>
      <c r="M362677" s="472"/>
    </row>
    <row r="362749" spans="12:13" x14ac:dyDescent="0.25">
      <c r="L362749" s="472"/>
      <c r="M362749" s="472"/>
    </row>
    <row r="362750" spans="12:13" x14ac:dyDescent="0.25">
      <c r="L362750" s="472"/>
      <c r="M362750" s="472"/>
    </row>
    <row r="362751" spans="12:13" x14ac:dyDescent="0.25">
      <c r="L362751" s="472"/>
      <c r="M362751" s="472"/>
    </row>
    <row r="362823" spans="12:13" x14ac:dyDescent="0.25">
      <c r="L362823" s="472"/>
      <c r="M362823" s="472"/>
    </row>
    <row r="362824" spans="12:13" x14ac:dyDescent="0.25">
      <c r="L362824" s="472"/>
      <c r="M362824" s="472"/>
    </row>
    <row r="362825" spans="12:13" x14ac:dyDescent="0.25">
      <c r="L362825" s="472"/>
      <c r="M362825" s="472"/>
    </row>
    <row r="362897" spans="12:13" x14ac:dyDescent="0.25">
      <c r="L362897" s="472"/>
      <c r="M362897" s="472"/>
    </row>
    <row r="362898" spans="12:13" x14ac:dyDescent="0.25">
      <c r="L362898" s="472"/>
      <c r="M362898" s="472"/>
    </row>
    <row r="362899" spans="12:13" x14ac:dyDescent="0.25">
      <c r="L362899" s="472"/>
      <c r="M362899" s="472"/>
    </row>
    <row r="362971" spans="12:13" x14ac:dyDescent="0.25">
      <c r="L362971" s="472"/>
      <c r="M362971" s="472"/>
    </row>
    <row r="362972" spans="12:13" x14ac:dyDescent="0.25">
      <c r="L362972" s="472"/>
      <c r="M362972" s="472"/>
    </row>
    <row r="362973" spans="12:13" x14ac:dyDescent="0.25">
      <c r="L362973" s="472"/>
      <c r="M362973" s="472"/>
    </row>
    <row r="363045" spans="12:13" x14ac:dyDescent="0.25">
      <c r="L363045" s="472"/>
      <c r="M363045" s="472"/>
    </row>
    <row r="363046" spans="12:13" x14ac:dyDescent="0.25">
      <c r="L363046" s="472"/>
      <c r="M363046" s="472"/>
    </row>
    <row r="363047" spans="12:13" x14ac:dyDescent="0.25">
      <c r="L363047" s="472"/>
      <c r="M363047" s="472"/>
    </row>
    <row r="363119" spans="12:13" x14ac:dyDescent="0.25">
      <c r="L363119" s="472"/>
      <c r="M363119" s="472"/>
    </row>
    <row r="363120" spans="12:13" x14ac:dyDescent="0.25">
      <c r="L363120" s="472"/>
      <c r="M363120" s="472"/>
    </row>
    <row r="363121" spans="12:13" x14ac:dyDescent="0.25">
      <c r="L363121" s="472"/>
      <c r="M363121" s="472"/>
    </row>
    <row r="363193" spans="12:13" x14ac:dyDescent="0.25">
      <c r="L363193" s="472"/>
      <c r="M363193" s="472"/>
    </row>
    <row r="363194" spans="12:13" x14ac:dyDescent="0.25">
      <c r="L363194" s="472"/>
      <c r="M363194" s="472"/>
    </row>
    <row r="363195" spans="12:13" x14ac:dyDescent="0.25">
      <c r="L363195" s="472"/>
      <c r="M363195" s="472"/>
    </row>
    <row r="363267" spans="12:13" x14ac:dyDescent="0.25">
      <c r="L363267" s="472"/>
      <c r="M363267" s="472"/>
    </row>
    <row r="363268" spans="12:13" x14ac:dyDescent="0.25">
      <c r="L363268" s="472"/>
      <c r="M363268" s="472"/>
    </row>
    <row r="363269" spans="12:13" x14ac:dyDescent="0.25">
      <c r="L363269" s="472"/>
      <c r="M363269" s="472"/>
    </row>
    <row r="363341" spans="12:13" x14ac:dyDescent="0.25">
      <c r="L363341" s="472"/>
      <c r="M363341" s="472"/>
    </row>
    <row r="363342" spans="12:13" x14ac:dyDescent="0.25">
      <c r="L363342" s="472"/>
      <c r="M363342" s="472"/>
    </row>
    <row r="363343" spans="12:13" x14ac:dyDescent="0.25">
      <c r="L363343" s="472"/>
      <c r="M363343" s="472"/>
    </row>
    <row r="363415" spans="12:13" x14ac:dyDescent="0.25">
      <c r="L363415" s="472"/>
      <c r="M363415" s="472"/>
    </row>
    <row r="363416" spans="12:13" x14ac:dyDescent="0.25">
      <c r="L363416" s="472"/>
      <c r="M363416" s="472"/>
    </row>
    <row r="363417" spans="12:13" x14ac:dyDescent="0.25">
      <c r="L363417" s="472"/>
      <c r="M363417" s="472"/>
    </row>
    <row r="363489" spans="12:13" x14ac:dyDescent="0.25">
      <c r="L363489" s="472"/>
      <c r="M363489" s="472"/>
    </row>
    <row r="363490" spans="12:13" x14ac:dyDescent="0.25">
      <c r="L363490" s="472"/>
      <c r="M363490" s="472"/>
    </row>
    <row r="363491" spans="12:13" x14ac:dyDescent="0.25">
      <c r="L363491" s="472"/>
      <c r="M363491" s="472"/>
    </row>
    <row r="363563" spans="12:13" x14ac:dyDescent="0.25">
      <c r="L363563" s="472"/>
      <c r="M363563" s="472"/>
    </row>
    <row r="363564" spans="12:13" x14ac:dyDescent="0.25">
      <c r="L363564" s="472"/>
      <c r="M363564" s="472"/>
    </row>
    <row r="363565" spans="12:13" x14ac:dyDescent="0.25">
      <c r="L363565" s="472"/>
      <c r="M363565" s="472"/>
    </row>
    <row r="363637" spans="12:13" x14ac:dyDescent="0.25">
      <c r="L363637" s="472"/>
      <c r="M363637" s="472"/>
    </row>
    <row r="363638" spans="12:13" x14ac:dyDescent="0.25">
      <c r="L363638" s="472"/>
      <c r="M363638" s="472"/>
    </row>
    <row r="363639" spans="12:13" x14ac:dyDescent="0.25">
      <c r="L363639" s="472"/>
      <c r="M363639" s="472"/>
    </row>
    <row r="363711" spans="12:13" x14ac:dyDescent="0.25">
      <c r="L363711" s="472"/>
      <c r="M363711" s="472"/>
    </row>
    <row r="363712" spans="12:13" x14ac:dyDescent="0.25">
      <c r="L363712" s="472"/>
      <c r="M363712" s="472"/>
    </row>
    <row r="363713" spans="12:13" x14ac:dyDescent="0.25">
      <c r="L363713" s="472"/>
      <c r="M363713" s="472"/>
    </row>
    <row r="363785" spans="12:13" x14ac:dyDescent="0.25">
      <c r="L363785" s="472"/>
      <c r="M363785" s="472"/>
    </row>
    <row r="363786" spans="12:13" x14ac:dyDescent="0.25">
      <c r="L363786" s="472"/>
      <c r="M363786" s="472"/>
    </row>
    <row r="363787" spans="12:13" x14ac:dyDescent="0.25">
      <c r="L363787" s="472"/>
      <c r="M363787" s="472"/>
    </row>
    <row r="363859" spans="12:13" x14ac:dyDescent="0.25">
      <c r="L363859" s="472"/>
      <c r="M363859" s="472"/>
    </row>
    <row r="363860" spans="12:13" x14ac:dyDescent="0.25">
      <c r="L363860" s="472"/>
      <c r="M363860" s="472"/>
    </row>
    <row r="363861" spans="12:13" x14ac:dyDescent="0.25">
      <c r="L363861" s="472"/>
      <c r="M363861" s="472"/>
    </row>
    <row r="363933" spans="12:13" x14ac:dyDescent="0.25">
      <c r="L363933" s="472"/>
      <c r="M363933" s="472"/>
    </row>
    <row r="363934" spans="12:13" x14ac:dyDescent="0.25">
      <c r="L363934" s="472"/>
      <c r="M363934" s="472"/>
    </row>
    <row r="363935" spans="12:13" x14ac:dyDescent="0.25">
      <c r="L363935" s="472"/>
      <c r="M363935" s="472"/>
    </row>
    <row r="364007" spans="12:13" x14ac:dyDescent="0.25">
      <c r="L364007" s="472"/>
      <c r="M364007" s="472"/>
    </row>
    <row r="364008" spans="12:13" x14ac:dyDescent="0.25">
      <c r="L364008" s="472"/>
      <c r="M364008" s="472"/>
    </row>
    <row r="364009" spans="12:13" x14ac:dyDescent="0.25">
      <c r="L364009" s="472"/>
      <c r="M364009" s="472"/>
    </row>
    <row r="364081" spans="12:13" x14ac:dyDescent="0.25">
      <c r="L364081" s="472"/>
      <c r="M364081" s="472"/>
    </row>
    <row r="364082" spans="12:13" x14ac:dyDescent="0.25">
      <c r="L364082" s="472"/>
      <c r="M364082" s="472"/>
    </row>
    <row r="364083" spans="12:13" x14ac:dyDescent="0.25">
      <c r="L364083" s="472"/>
      <c r="M364083" s="472"/>
    </row>
    <row r="364155" spans="12:13" x14ac:dyDescent="0.25">
      <c r="L364155" s="472"/>
      <c r="M364155" s="472"/>
    </row>
    <row r="364156" spans="12:13" x14ac:dyDescent="0.25">
      <c r="L364156" s="472"/>
      <c r="M364156" s="472"/>
    </row>
    <row r="364157" spans="12:13" x14ac:dyDescent="0.25">
      <c r="L364157" s="472"/>
      <c r="M364157" s="472"/>
    </row>
    <row r="364229" spans="12:13" x14ac:dyDescent="0.25">
      <c r="L364229" s="472"/>
      <c r="M364229" s="472"/>
    </row>
    <row r="364230" spans="12:13" x14ac:dyDescent="0.25">
      <c r="L364230" s="472"/>
      <c r="M364230" s="472"/>
    </row>
    <row r="364231" spans="12:13" x14ac:dyDescent="0.25">
      <c r="L364231" s="472"/>
      <c r="M364231" s="472"/>
    </row>
    <row r="364303" spans="12:13" x14ac:dyDescent="0.25">
      <c r="L364303" s="472"/>
      <c r="M364303" s="472"/>
    </row>
    <row r="364304" spans="12:13" x14ac:dyDescent="0.25">
      <c r="L364304" s="472"/>
      <c r="M364304" s="472"/>
    </row>
    <row r="364305" spans="12:13" x14ac:dyDescent="0.25">
      <c r="L364305" s="472"/>
      <c r="M364305" s="472"/>
    </row>
    <row r="364377" spans="12:13" x14ac:dyDescent="0.25">
      <c r="L364377" s="472"/>
      <c r="M364377" s="472"/>
    </row>
    <row r="364378" spans="12:13" x14ac:dyDescent="0.25">
      <c r="L364378" s="472"/>
      <c r="M364378" s="472"/>
    </row>
    <row r="364379" spans="12:13" x14ac:dyDescent="0.25">
      <c r="L364379" s="472"/>
      <c r="M364379" s="472"/>
    </row>
    <row r="364451" spans="12:13" x14ac:dyDescent="0.25">
      <c r="L364451" s="472"/>
      <c r="M364451" s="472"/>
    </row>
    <row r="364452" spans="12:13" x14ac:dyDescent="0.25">
      <c r="L364452" s="472"/>
      <c r="M364452" s="472"/>
    </row>
    <row r="364453" spans="12:13" x14ac:dyDescent="0.25">
      <c r="L364453" s="472"/>
      <c r="M364453" s="472"/>
    </row>
    <row r="364525" spans="12:13" x14ac:dyDescent="0.25">
      <c r="L364525" s="472"/>
      <c r="M364525" s="472"/>
    </row>
    <row r="364526" spans="12:13" x14ac:dyDescent="0.25">
      <c r="L364526" s="472"/>
      <c r="M364526" s="472"/>
    </row>
    <row r="364527" spans="12:13" x14ac:dyDescent="0.25">
      <c r="L364527" s="472"/>
      <c r="M364527" s="472"/>
    </row>
    <row r="364599" spans="12:13" x14ac:dyDescent="0.25">
      <c r="L364599" s="472"/>
      <c r="M364599" s="472"/>
    </row>
    <row r="364600" spans="12:13" x14ac:dyDescent="0.25">
      <c r="L364600" s="472"/>
      <c r="M364600" s="472"/>
    </row>
    <row r="364601" spans="12:13" x14ac:dyDescent="0.25">
      <c r="L364601" s="472"/>
      <c r="M364601" s="472"/>
    </row>
    <row r="364673" spans="12:13" x14ac:dyDescent="0.25">
      <c r="L364673" s="472"/>
      <c r="M364673" s="472"/>
    </row>
    <row r="364674" spans="12:13" x14ac:dyDescent="0.25">
      <c r="L364674" s="472"/>
      <c r="M364674" s="472"/>
    </row>
    <row r="364675" spans="12:13" x14ac:dyDescent="0.25">
      <c r="L364675" s="472"/>
      <c r="M364675" s="472"/>
    </row>
    <row r="364747" spans="12:13" x14ac:dyDescent="0.25">
      <c r="L364747" s="472"/>
      <c r="M364747" s="472"/>
    </row>
    <row r="364748" spans="12:13" x14ac:dyDescent="0.25">
      <c r="L364748" s="472"/>
      <c r="M364748" s="472"/>
    </row>
    <row r="364749" spans="12:13" x14ac:dyDescent="0.25">
      <c r="L364749" s="472"/>
      <c r="M364749" s="472"/>
    </row>
    <row r="364821" spans="12:13" x14ac:dyDescent="0.25">
      <c r="L364821" s="472"/>
      <c r="M364821" s="472"/>
    </row>
    <row r="364822" spans="12:13" x14ac:dyDescent="0.25">
      <c r="L364822" s="472"/>
      <c r="M364822" s="472"/>
    </row>
    <row r="364823" spans="12:13" x14ac:dyDescent="0.25">
      <c r="L364823" s="472"/>
      <c r="M364823" s="472"/>
    </row>
    <row r="364895" spans="12:13" x14ac:dyDescent="0.25">
      <c r="L364895" s="472"/>
      <c r="M364895" s="472"/>
    </row>
    <row r="364896" spans="12:13" x14ac:dyDescent="0.25">
      <c r="L364896" s="472"/>
      <c r="M364896" s="472"/>
    </row>
    <row r="364897" spans="12:13" x14ac:dyDescent="0.25">
      <c r="L364897" s="472"/>
      <c r="M364897" s="472"/>
    </row>
    <row r="364969" spans="12:13" x14ac:dyDescent="0.25">
      <c r="L364969" s="472"/>
      <c r="M364969" s="472"/>
    </row>
    <row r="364970" spans="12:13" x14ac:dyDescent="0.25">
      <c r="L364970" s="472"/>
      <c r="M364970" s="472"/>
    </row>
    <row r="364971" spans="12:13" x14ac:dyDescent="0.25">
      <c r="L364971" s="472"/>
      <c r="M364971" s="472"/>
    </row>
    <row r="365043" spans="12:13" x14ac:dyDescent="0.25">
      <c r="L365043" s="472"/>
      <c r="M365043" s="472"/>
    </row>
    <row r="365044" spans="12:13" x14ac:dyDescent="0.25">
      <c r="L365044" s="472"/>
      <c r="M365044" s="472"/>
    </row>
    <row r="365045" spans="12:13" x14ac:dyDescent="0.25">
      <c r="L365045" s="472"/>
      <c r="M365045" s="472"/>
    </row>
    <row r="365117" spans="12:13" x14ac:dyDescent="0.25">
      <c r="L365117" s="472"/>
      <c r="M365117" s="472"/>
    </row>
    <row r="365118" spans="12:13" x14ac:dyDescent="0.25">
      <c r="L365118" s="472"/>
      <c r="M365118" s="472"/>
    </row>
    <row r="365119" spans="12:13" x14ac:dyDescent="0.25">
      <c r="L365119" s="472"/>
      <c r="M365119" s="472"/>
    </row>
    <row r="365191" spans="12:13" x14ac:dyDescent="0.25">
      <c r="L365191" s="472"/>
      <c r="M365191" s="472"/>
    </row>
    <row r="365192" spans="12:13" x14ac:dyDescent="0.25">
      <c r="L365192" s="472"/>
      <c r="M365192" s="472"/>
    </row>
    <row r="365193" spans="12:13" x14ac:dyDescent="0.25">
      <c r="L365193" s="472"/>
      <c r="M365193" s="472"/>
    </row>
    <row r="365265" spans="12:13" x14ac:dyDescent="0.25">
      <c r="L365265" s="472"/>
      <c r="M365265" s="472"/>
    </row>
    <row r="365266" spans="12:13" x14ac:dyDescent="0.25">
      <c r="L365266" s="472"/>
      <c r="M365266" s="472"/>
    </row>
    <row r="365267" spans="12:13" x14ac:dyDescent="0.25">
      <c r="L365267" s="472"/>
      <c r="M365267" s="472"/>
    </row>
    <row r="365339" spans="12:13" x14ac:dyDescent="0.25">
      <c r="L365339" s="472"/>
      <c r="M365339" s="472"/>
    </row>
    <row r="365340" spans="12:13" x14ac:dyDescent="0.25">
      <c r="L365340" s="472"/>
      <c r="M365340" s="472"/>
    </row>
    <row r="365341" spans="12:13" x14ac:dyDescent="0.25">
      <c r="L365341" s="472"/>
      <c r="M365341" s="472"/>
    </row>
    <row r="365413" spans="12:13" x14ac:dyDescent="0.25">
      <c r="L365413" s="472"/>
      <c r="M365413" s="472"/>
    </row>
    <row r="365414" spans="12:13" x14ac:dyDescent="0.25">
      <c r="L365414" s="472"/>
      <c r="M365414" s="472"/>
    </row>
    <row r="365415" spans="12:13" x14ac:dyDescent="0.25">
      <c r="L365415" s="472"/>
      <c r="M365415" s="472"/>
    </row>
    <row r="365487" spans="12:13" x14ac:dyDescent="0.25">
      <c r="L365487" s="472"/>
      <c r="M365487" s="472"/>
    </row>
    <row r="365488" spans="12:13" x14ac:dyDescent="0.25">
      <c r="L365488" s="472"/>
      <c r="M365488" s="472"/>
    </row>
    <row r="365489" spans="12:13" x14ac:dyDescent="0.25">
      <c r="L365489" s="472"/>
      <c r="M365489" s="472"/>
    </row>
    <row r="365561" spans="12:13" x14ac:dyDescent="0.25">
      <c r="L365561" s="472"/>
      <c r="M365561" s="472"/>
    </row>
    <row r="365562" spans="12:13" x14ac:dyDescent="0.25">
      <c r="L365562" s="472"/>
      <c r="M365562" s="472"/>
    </row>
    <row r="365563" spans="12:13" x14ac:dyDescent="0.25">
      <c r="L365563" s="472"/>
      <c r="M365563" s="472"/>
    </row>
    <row r="365635" spans="12:13" x14ac:dyDescent="0.25">
      <c r="L365635" s="472"/>
      <c r="M365635" s="472"/>
    </row>
    <row r="365636" spans="12:13" x14ac:dyDescent="0.25">
      <c r="L365636" s="472"/>
      <c r="M365636" s="472"/>
    </row>
    <row r="365637" spans="12:13" x14ac:dyDescent="0.25">
      <c r="L365637" s="472"/>
      <c r="M365637" s="472"/>
    </row>
    <row r="365709" spans="12:13" x14ac:dyDescent="0.25">
      <c r="L365709" s="472"/>
      <c r="M365709" s="472"/>
    </row>
    <row r="365710" spans="12:13" x14ac:dyDescent="0.25">
      <c r="L365710" s="472"/>
      <c r="M365710" s="472"/>
    </row>
    <row r="365711" spans="12:13" x14ac:dyDescent="0.25">
      <c r="L365711" s="472"/>
      <c r="M365711" s="472"/>
    </row>
    <row r="365783" spans="12:13" x14ac:dyDescent="0.25">
      <c r="L365783" s="472"/>
      <c r="M365783" s="472"/>
    </row>
    <row r="365784" spans="12:13" x14ac:dyDescent="0.25">
      <c r="L365784" s="472"/>
      <c r="M365784" s="472"/>
    </row>
    <row r="365785" spans="12:13" x14ac:dyDescent="0.25">
      <c r="L365785" s="472"/>
      <c r="M365785" s="472"/>
    </row>
    <row r="365857" spans="12:13" x14ac:dyDescent="0.25">
      <c r="L365857" s="472"/>
      <c r="M365857" s="472"/>
    </row>
    <row r="365858" spans="12:13" x14ac:dyDescent="0.25">
      <c r="L365858" s="472"/>
      <c r="M365858" s="472"/>
    </row>
    <row r="365859" spans="12:13" x14ac:dyDescent="0.25">
      <c r="L365859" s="472"/>
      <c r="M365859" s="472"/>
    </row>
    <row r="365931" spans="12:13" x14ac:dyDescent="0.25">
      <c r="L365931" s="472"/>
      <c r="M365931" s="472"/>
    </row>
    <row r="365932" spans="12:13" x14ac:dyDescent="0.25">
      <c r="L365932" s="472"/>
      <c r="M365932" s="472"/>
    </row>
    <row r="365933" spans="12:13" x14ac:dyDescent="0.25">
      <c r="L365933" s="472"/>
      <c r="M365933" s="472"/>
    </row>
    <row r="366005" spans="12:13" x14ac:dyDescent="0.25">
      <c r="L366005" s="472"/>
      <c r="M366005" s="472"/>
    </row>
    <row r="366006" spans="12:13" x14ac:dyDescent="0.25">
      <c r="L366006" s="472"/>
      <c r="M366006" s="472"/>
    </row>
    <row r="366007" spans="12:13" x14ac:dyDescent="0.25">
      <c r="L366007" s="472"/>
      <c r="M366007" s="472"/>
    </row>
    <row r="366079" spans="12:13" x14ac:dyDescent="0.25">
      <c r="L366079" s="472"/>
      <c r="M366079" s="472"/>
    </row>
    <row r="366080" spans="12:13" x14ac:dyDescent="0.25">
      <c r="L366080" s="472"/>
      <c r="M366080" s="472"/>
    </row>
    <row r="366081" spans="12:13" x14ac:dyDescent="0.25">
      <c r="L366081" s="472"/>
      <c r="M366081" s="472"/>
    </row>
    <row r="366153" spans="12:13" x14ac:dyDescent="0.25">
      <c r="L366153" s="472"/>
      <c r="M366153" s="472"/>
    </row>
    <row r="366154" spans="12:13" x14ac:dyDescent="0.25">
      <c r="L366154" s="472"/>
      <c r="M366154" s="472"/>
    </row>
    <row r="366155" spans="12:13" x14ac:dyDescent="0.25">
      <c r="L366155" s="472"/>
      <c r="M366155" s="472"/>
    </row>
    <row r="366227" spans="12:13" x14ac:dyDescent="0.25">
      <c r="L366227" s="472"/>
      <c r="M366227" s="472"/>
    </row>
    <row r="366228" spans="12:13" x14ac:dyDescent="0.25">
      <c r="L366228" s="472"/>
      <c r="M366228" s="472"/>
    </row>
    <row r="366229" spans="12:13" x14ac:dyDescent="0.25">
      <c r="L366229" s="472"/>
      <c r="M366229" s="472"/>
    </row>
    <row r="366301" spans="12:13" x14ac:dyDescent="0.25">
      <c r="L366301" s="472"/>
      <c r="M366301" s="472"/>
    </row>
    <row r="366302" spans="12:13" x14ac:dyDescent="0.25">
      <c r="L366302" s="472"/>
      <c r="M366302" s="472"/>
    </row>
    <row r="366303" spans="12:13" x14ac:dyDescent="0.25">
      <c r="L366303" s="472"/>
      <c r="M366303" s="472"/>
    </row>
    <row r="366375" spans="12:13" x14ac:dyDescent="0.25">
      <c r="L366375" s="472"/>
      <c r="M366375" s="472"/>
    </row>
    <row r="366376" spans="12:13" x14ac:dyDescent="0.25">
      <c r="L366376" s="472"/>
      <c r="M366376" s="472"/>
    </row>
    <row r="366377" spans="12:13" x14ac:dyDescent="0.25">
      <c r="L366377" s="472"/>
      <c r="M366377" s="472"/>
    </row>
    <row r="366449" spans="12:13" x14ac:dyDescent="0.25">
      <c r="L366449" s="472"/>
      <c r="M366449" s="472"/>
    </row>
    <row r="366450" spans="12:13" x14ac:dyDescent="0.25">
      <c r="L366450" s="472"/>
      <c r="M366450" s="472"/>
    </row>
    <row r="366451" spans="12:13" x14ac:dyDescent="0.25">
      <c r="L366451" s="472"/>
      <c r="M366451" s="472"/>
    </row>
    <row r="366523" spans="12:13" x14ac:dyDescent="0.25">
      <c r="L366523" s="472"/>
      <c r="M366523" s="472"/>
    </row>
    <row r="366524" spans="12:13" x14ac:dyDescent="0.25">
      <c r="L366524" s="472"/>
      <c r="M366524" s="472"/>
    </row>
    <row r="366525" spans="12:13" x14ac:dyDescent="0.25">
      <c r="L366525" s="472"/>
      <c r="M366525" s="472"/>
    </row>
    <row r="366597" spans="12:13" x14ac:dyDescent="0.25">
      <c r="L366597" s="472"/>
      <c r="M366597" s="472"/>
    </row>
    <row r="366598" spans="12:13" x14ac:dyDescent="0.25">
      <c r="L366598" s="472"/>
      <c r="M366598" s="472"/>
    </row>
    <row r="366599" spans="12:13" x14ac:dyDescent="0.25">
      <c r="L366599" s="472"/>
      <c r="M366599" s="472"/>
    </row>
    <row r="366671" spans="12:13" x14ac:dyDescent="0.25">
      <c r="L366671" s="472"/>
      <c r="M366671" s="472"/>
    </row>
    <row r="366672" spans="12:13" x14ac:dyDescent="0.25">
      <c r="L366672" s="472"/>
      <c r="M366672" s="472"/>
    </row>
    <row r="366673" spans="12:13" x14ac:dyDescent="0.25">
      <c r="L366673" s="472"/>
      <c r="M366673" s="472"/>
    </row>
    <row r="366745" spans="12:13" x14ac:dyDescent="0.25">
      <c r="L366745" s="472"/>
      <c r="M366745" s="472"/>
    </row>
    <row r="366746" spans="12:13" x14ac:dyDescent="0.25">
      <c r="L366746" s="472"/>
      <c r="M366746" s="472"/>
    </row>
    <row r="366747" spans="12:13" x14ac:dyDescent="0.25">
      <c r="L366747" s="472"/>
      <c r="M366747" s="472"/>
    </row>
    <row r="366819" spans="12:13" x14ac:dyDescent="0.25">
      <c r="L366819" s="472"/>
      <c r="M366819" s="472"/>
    </row>
    <row r="366820" spans="12:13" x14ac:dyDescent="0.25">
      <c r="L366820" s="472"/>
      <c r="M366820" s="472"/>
    </row>
    <row r="366821" spans="12:13" x14ac:dyDescent="0.25">
      <c r="L366821" s="472"/>
      <c r="M366821" s="472"/>
    </row>
    <row r="366893" spans="12:13" x14ac:dyDescent="0.25">
      <c r="L366893" s="472"/>
      <c r="M366893" s="472"/>
    </row>
    <row r="366894" spans="12:13" x14ac:dyDescent="0.25">
      <c r="L366894" s="472"/>
      <c r="M366894" s="472"/>
    </row>
    <row r="366895" spans="12:13" x14ac:dyDescent="0.25">
      <c r="L366895" s="472"/>
      <c r="M366895" s="472"/>
    </row>
    <row r="366967" spans="12:13" x14ac:dyDescent="0.25">
      <c r="L366967" s="472"/>
      <c r="M366967" s="472"/>
    </row>
    <row r="366968" spans="12:13" x14ac:dyDescent="0.25">
      <c r="L366968" s="472"/>
      <c r="M366968" s="472"/>
    </row>
    <row r="366969" spans="12:13" x14ac:dyDescent="0.25">
      <c r="L366969" s="472"/>
      <c r="M366969" s="472"/>
    </row>
    <row r="367041" spans="12:13" x14ac:dyDescent="0.25">
      <c r="L367041" s="472"/>
      <c r="M367041" s="472"/>
    </row>
    <row r="367042" spans="12:13" x14ac:dyDescent="0.25">
      <c r="L367042" s="472"/>
      <c r="M367042" s="472"/>
    </row>
    <row r="367043" spans="12:13" x14ac:dyDescent="0.25">
      <c r="L367043" s="472"/>
      <c r="M367043" s="472"/>
    </row>
    <row r="367115" spans="12:13" x14ac:dyDescent="0.25">
      <c r="L367115" s="472"/>
      <c r="M367115" s="472"/>
    </row>
    <row r="367116" spans="12:13" x14ac:dyDescent="0.25">
      <c r="L367116" s="472"/>
      <c r="M367116" s="472"/>
    </row>
    <row r="367117" spans="12:13" x14ac:dyDescent="0.25">
      <c r="L367117" s="472"/>
      <c r="M367117" s="472"/>
    </row>
    <row r="367189" spans="12:13" x14ac:dyDescent="0.25">
      <c r="L367189" s="472"/>
      <c r="M367189" s="472"/>
    </row>
    <row r="367190" spans="12:13" x14ac:dyDescent="0.25">
      <c r="L367190" s="472"/>
      <c r="M367190" s="472"/>
    </row>
    <row r="367191" spans="12:13" x14ac:dyDescent="0.25">
      <c r="L367191" s="472"/>
      <c r="M367191" s="472"/>
    </row>
    <row r="367263" spans="12:13" x14ac:dyDescent="0.25">
      <c r="L367263" s="472"/>
      <c r="M367263" s="472"/>
    </row>
    <row r="367264" spans="12:13" x14ac:dyDescent="0.25">
      <c r="L367264" s="472"/>
      <c r="M367264" s="472"/>
    </row>
    <row r="367265" spans="12:13" x14ac:dyDescent="0.25">
      <c r="L367265" s="472"/>
      <c r="M367265" s="472"/>
    </row>
    <row r="367337" spans="12:13" x14ac:dyDescent="0.25">
      <c r="L367337" s="472"/>
      <c r="M367337" s="472"/>
    </row>
    <row r="367338" spans="12:13" x14ac:dyDescent="0.25">
      <c r="L367338" s="472"/>
      <c r="M367338" s="472"/>
    </row>
    <row r="367339" spans="12:13" x14ac:dyDescent="0.25">
      <c r="L367339" s="472"/>
      <c r="M367339" s="472"/>
    </row>
    <row r="367411" spans="12:13" x14ac:dyDescent="0.25">
      <c r="L367411" s="472"/>
      <c r="M367411" s="472"/>
    </row>
    <row r="367412" spans="12:13" x14ac:dyDescent="0.25">
      <c r="L367412" s="472"/>
      <c r="M367412" s="472"/>
    </row>
    <row r="367413" spans="12:13" x14ac:dyDescent="0.25">
      <c r="L367413" s="472"/>
      <c r="M367413" s="472"/>
    </row>
    <row r="367485" spans="12:13" x14ac:dyDescent="0.25">
      <c r="L367485" s="472"/>
      <c r="M367485" s="472"/>
    </row>
    <row r="367486" spans="12:13" x14ac:dyDescent="0.25">
      <c r="L367486" s="472"/>
      <c r="M367486" s="472"/>
    </row>
    <row r="367487" spans="12:13" x14ac:dyDescent="0.25">
      <c r="L367487" s="472"/>
      <c r="M367487" s="472"/>
    </row>
    <row r="367559" spans="12:13" x14ac:dyDescent="0.25">
      <c r="L367559" s="472"/>
      <c r="M367559" s="472"/>
    </row>
    <row r="367560" spans="12:13" x14ac:dyDescent="0.25">
      <c r="L367560" s="472"/>
      <c r="M367560" s="472"/>
    </row>
    <row r="367561" spans="12:13" x14ac:dyDescent="0.25">
      <c r="L367561" s="472"/>
      <c r="M367561" s="472"/>
    </row>
    <row r="367633" spans="12:13" x14ac:dyDescent="0.25">
      <c r="L367633" s="472"/>
      <c r="M367633" s="472"/>
    </row>
    <row r="367634" spans="12:13" x14ac:dyDescent="0.25">
      <c r="L367634" s="472"/>
      <c r="M367634" s="472"/>
    </row>
    <row r="367635" spans="12:13" x14ac:dyDescent="0.25">
      <c r="L367635" s="472"/>
      <c r="M367635" s="472"/>
    </row>
    <row r="367707" spans="12:13" x14ac:dyDescent="0.25">
      <c r="L367707" s="472"/>
      <c r="M367707" s="472"/>
    </row>
    <row r="367708" spans="12:13" x14ac:dyDescent="0.25">
      <c r="L367708" s="472"/>
      <c r="M367708" s="472"/>
    </row>
    <row r="367709" spans="12:13" x14ac:dyDescent="0.25">
      <c r="L367709" s="472"/>
      <c r="M367709" s="472"/>
    </row>
    <row r="367781" spans="12:13" x14ac:dyDescent="0.25">
      <c r="L367781" s="472"/>
      <c r="M367781" s="472"/>
    </row>
    <row r="367782" spans="12:13" x14ac:dyDescent="0.25">
      <c r="L367782" s="472"/>
      <c r="M367782" s="472"/>
    </row>
    <row r="367783" spans="12:13" x14ac:dyDescent="0.25">
      <c r="L367783" s="472"/>
      <c r="M367783" s="472"/>
    </row>
    <row r="367855" spans="12:13" x14ac:dyDescent="0.25">
      <c r="L367855" s="472"/>
      <c r="M367855" s="472"/>
    </row>
    <row r="367856" spans="12:13" x14ac:dyDescent="0.25">
      <c r="L367856" s="472"/>
      <c r="M367856" s="472"/>
    </row>
    <row r="367857" spans="12:13" x14ac:dyDescent="0.25">
      <c r="L367857" s="472"/>
      <c r="M367857" s="472"/>
    </row>
    <row r="367929" spans="12:13" x14ac:dyDescent="0.25">
      <c r="L367929" s="472"/>
      <c r="M367929" s="472"/>
    </row>
    <row r="367930" spans="12:13" x14ac:dyDescent="0.25">
      <c r="L367930" s="472"/>
      <c r="M367930" s="472"/>
    </row>
    <row r="367931" spans="12:13" x14ac:dyDescent="0.25">
      <c r="L367931" s="472"/>
      <c r="M367931" s="472"/>
    </row>
    <row r="368003" spans="12:13" x14ac:dyDescent="0.25">
      <c r="L368003" s="472"/>
      <c r="M368003" s="472"/>
    </row>
    <row r="368004" spans="12:13" x14ac:dyDescent="0.25">
      <c r="L368004" s="472"/>
      <c r="M368004" s="472"/>
    </row>
    <row r="368005" spans="12:13" x14ac:dyDescent="0.25">
      <c r="L368005" s="472"/>
      <c r="M368005" s="472"/>
    </row>
    <row r="368077" spans="12:13" x14ac:dyDescent="0.25">
      <c r="L368077" s="472"/>
      <c r="M368077" s="472"/>
    </row>
    <row r="368078" spans="12:13" x14ac:dyDescent="0.25">
      <c r="L368078" s="472"/>
      <c r="M368078" s="472"/>
    </row>
    <row r="368079" spans="12:13" x14ac:dyDescent="0.25">
      <c r="L368079" s="472"/>
      <c r="M368079" s="472"/>
    </row>
    <row r="368151" spans="12:13" x14ac:dyDescent="0.25">
      <c r="L368151" s="472"/>
      <c r="M368151" s="472"/>
    </row>
    <row r="368152" spans="12:13" x14ac:dyDescent="0.25">
      <c r="L368152" s="472"/>
      <c r="M368152" s="472"/>
    </row>
    <row r="368153" spans="12:13" x14ac:dyDescent="0.25">
      <c r="L368153" s="472"/>
      <c r="M368153" s="472"/>
    </row>
    <row r="368225" spans="12:13" x14ac:dyDescent="0.25">
      <c r="L368225" s="472"/>
      <c r="M368225" s="472"/>
    </row>
    <row r="368226" spans="12:13" x14ac:dyDescent="0.25">
      <c r="L368226" s="472"/>
      <c r="M368226" s="472"/>
    </row>
    <row r="368227" spans="12:13" x14ac:dyDescent="0.25">
      <c r="L368227" s="472"/>
      <c r="M368227" s="472"/>
    </row>
    <row r="368299" spans="12:13" x14ac:dyDescent="0.25">
      <c r="L368299" s="472"/>
      <c r="M368299" s="472"/>
    </row>
    <row r="368300" spans="12:13" x14ac:dyDescent="0.25">
      <c r="L368300" s="472"/>
      <c r="M368300" s="472"/>
    </row>
    <row r="368301" spans="12:13" x14ac:dyDescent="0.25">
      <c r="L368301" s="472"/>
      <c r="M368301" s="472"/>
    </row>
    <row r="368373" spans="12:13" x14ac:dyDescent="0.25">
      <c r="L368373" s="472"/>
      <c r="M368373" s="472"/>
    </row>
    <row r="368374" spans="12:13" x14ac:dyDescent="0.25">
      <c r="L368374" s="472"/>
      <c r="M368374" s="472"/>
    </row>
    <row r="368375" spans="12:13" x14ac:dyDescent="0.25">
      <c r="L368375" s="472"/>
      <c r="M368375" s="472"/>
    </row>
    <row r="368447" spans="12:13" x14ac:dyDescent="0.25">
      <c r="L368447" s="472"/>
      <c r="M368447" s="472"/>
    </row>
    <row r="368448" spans="12:13" x14ac:dyDescent="0.25">
      <c r="L368448" s="472"/>
      <c r="M368448" s="472"/>
    </row>
    <row r="368449" spans="12:13" x14ac:dyDescent="0.25">
      <c r="L368449" s="472"/>
      <c r="M368449" s="472"/>
    </row>
    <row r="368521" spans="12:13" x14ac:dyDescent="0.25">
      <c r="L368521" s="472"/>
      <c r="M368521" s="472"/>
    </row>
    <row r="368522" spans="12:13" x14ac:dyDescent="0.25">
      <c r="L368522" s="472"/>
      <c r="M368522" s="472"/>
    </row>
    <row r="368523" spans="12:13" x14ac:dyDescent="0.25">
      <c r="L368523" s="472"/>
      <c r="M368523" s="472"/>
    </row>
    <row r="368595" spans="12:13" x14ac:dyDescent="0.25">
      <c r="L368595" s="472"/>
      <c r="M368595" s="472"/>
    </row>
    <row r="368596" spans="12:13" x14ac:dyDescent="0.25">
      <c r="L368596" s="472"/>
      <c r="M368596" s="472"/>
    </row>
    <row r="368597" spans="12:13" x14ac:dyDescent="0.25">
      <c r="L368597" s="472"/>
      <c r="M368597" s="472"/>
    </row>
    <row r="368669" spans="12:13" x14ac:dyDescent="0.25">
      <c r="L368669" s="472"/>
      <c r="M368669" s="472"/>
    </row>
    <row r="368670" spans="12:13" x14ac:dyDescent="0.25">
      <c r="L368670" s="472"/>
      <c r="M368670" s="472"/>
    </row>
    <row r="368671" spans="12:13" x14ac:dyDescent="0.25">
      <c r="L368671" s="472"/>
      <c r="M368671" s="472"/>
    </row>
    <row r="368743" spans="12:13" x14ac:dyDescent="0.25">
      <c r="L368743" s="472"/>
      <c r="M368743" s="472"/>
    </row>
    <row r="368744" spans="12:13" x14ac:dyDescent="0.25">
      <c r="L368744" s="472"/>
      <c r="M368744" s="472"/>
    </row>
    <row r="368745" spans="12:13" x14ac:dyDescent="0.25">
      <c r="L368745" s="472"/>
      <c r="M368745" s="472"/>
    </row>
    <row r="368817" spans="12:13" x14ac:dyDescent="0.25">
      <c r="L368817" s="472"/>
      <c r="M368817" s="472"/>
    </row>
    <row r="368818" spans="12:13" x14ac:dyDescent="0.25">
      <c r="L368818" s="472"/>
      <c r="M368818" s="472"/>
    </row>
    <row r="368819" spans="12:13" x14ac:dyDescent="0.25">
      <c r="L368819" s="472"/>
      <c r="M368819" s="472"/>
    </row>
    <row r="368891" spans="12:13" x14ac:dyDescent="0.25">
      <c r="L368891" s="472"/>
      <c r="M368891" s="472"/>
    </row>
    <row r="368892" spans="12:13" x14ac:dyDescent="0.25">
      <c r="L368892" s="472"/>
      <c r="M368892" s="472"/>
    </row>
    <row r="368893" spans="12:13" x14ac:dyDescent="0.25">
      <c r="L368893" s="472"/>
      <c r="M368893" s="472"/>
    </row>
    <row r="368965" spans="12:13" x14ac:dyDescent="0.25">
      <c r="L368965" s="472"/>
      <c r="M368965" s="472"/>
    </row>
    <row r="368966" spans="12:13" x14ac:dyDescent="0.25">
      <c r="L368966" s="472"/>
      <c r="M368966" s="472"/>
    </row>
    <row r="368967" spans="12:13" x14ac:dyDescent="0.25">
      <c r="L368967" s="472"/>
      <c r="M368967" s="472"/>
    </row>
    <row r="369039" spans="12:13" x14ac:dyDescent="0.25">
      <c r="L369039" s="472"/>
      <c r="M369039" s="472"/>
    </row>
    <row r="369040" spans="12:13" x14ac:dyDescent="0.25">
      <c r="L369040" s="472"/>
      <c r="M369040" s="472"/>
    </row>
    <row r="369041" spans="12:13" x14ac:dyDescent="0.25">
      <c r="L369041" s="472"/>
      <c r="M369041" s="472"/>
    </row>
    <row r="369113" spans="12:13" x14ac:dyDescent="0.25">
      <c r="L369113" s="472"/>
      <c r="M369113" s="472"/>
    </row>
    <row r="369114" spans="12:13" x14ac:dyDescent="0.25">
      <c r="L369114" s="472"/>
      <c r="M369114" s="472"/>
    </row>
    <row r="369115" spans="12:13" x14ac:dyDescent="0.25">
      <c r="L369115" s="472"/>
      <c r="M369115" s="472"/>
    </row>
    <row r="369187" spans="12:13" x14ac:dyDescent="0.25">
      <c r="L369187" s="472"/>
      <c r="M369187" s="472"/>
    </row>
    <row r="369188" spans="12:13" x14ac:dyDescent="0.25">
      <c r="L369188" s="472"/>
      <c r="M369188" s="472"/>
    </row>
    <row r="369189" spans="12:13" x14ac:dyDescent="0.25">
      <c r="L369189" s="472"/>
      <c r="M369189" s="472"/>
    </row>
    <row r="369261" spans="12:13" x14ac:dyDescent="0.25">
      <c r="L369261" s="472"/>
      <c r="M369261" s="472"/>
    </row>
    <row r="369262" spans="12:13" x14ac:dyDescent="0.25">
      <c r="L369262" s="472"/>
      <c r="M369262" s="472"/>
    </row>
    <row r="369263" spans="12:13" x14ac:dyDescent="0.25">
      <c r="L369263" s="472"/>
      <c r="M369263" s="472"/>
    </row>
    <row r="369335" spans="12:13" x14ac:dyDescent="0.25">
      <c r="L369335" s="472"/>
      <c r="M369335" s="472"/>
    </row>
    <row r="369336" spans="12:13" x14ac:dyDescent="0.25">
      <c r="L369336" s="472"/>
      <c r="M369336" s="472"/>
    </row>
    <row r="369337" spans="12:13" x14ac:dyDescent="0.25">
      <c r="L369337" s="472"/>
      <c r="M369337" s="472"/>
    </row>
    <row r="369409" spans="12:13" x14ac:dyDescent="0.25">
      <c r="L369409" s="472"/>
      <c r="M369409" s="472"/>
    </row>
    <row r="369410" spans="12:13" x14ac:dyDescent="0.25">
      <c r="L369410" s="472"/>
      <c r="M369410" s="472"/>
    </row>
    <row r="369411" spans="12:13" x14ac:dyDescent="0.25">
      <c r="L369411" s="472"/>
      <c r="M369411" s="472"/>
    </row>
    <row r="369483" spans="12:13" x14ac:dyDescent="0.25">
      <c r="L369483" s="472"/>
      <c r="M369483" s="472"/>
    </row>
    <row r="369484" spans="12:13" x14ac:dyDescent="0.25">
      <c r="L369484" s="472"/>
      <c r="M369484" s="472"/>
    </row>
    <row r="369485" spans="12:13" x14ac:dyDescent="0.25">
      <c r="L369485" s="472"/>
      <c r="M369485" s="472"/>
    </row>
    <row r="369557" spans="12:13" x14ac:dyDescent="0.25">
      <c r="L369557" s="472"/>
      <c r="M369557" s="472"/>
    </row>
    <row r="369558" spans="12:13" x14ac:dyDescent="0.25">
      <c r="L369558" s="472"/>
      <c r="M369558" s="472"/>
    </row>
    <row r="369559" spans="12:13" x14ac:dyDescent="0.25">
      <c r="L369559" s="472"/>
      <c r="M369559" s="472"/>
    </row>
    <row r="369631" spans="12:13" x14ac:dyDescent="0.25">
      <c r="L369631" s="472"/>
      <c r="M369631" s="472"/>
    </row>
    <row r="369632" spans="12:13" x14ac:dyDescent="0.25">
      <c r="L369632" s="472"/>
      <c r="M369632" s="472"/>
    </row>
    <row r="369633" spans="12:13" x14ac:dyDescent="0.25">
      <c r="L369633" s="472"/>
      <c r="M369633" s="472"/>
    </row>
    <row r="369705" spans="12:13" x14ac:dyDescent="0.25">
      <c r="L369705" s="472"/>
      <c r="M369705" s="472"/>
    </row>
    <row r="369706" spans="12:13" x14ac:dyDescent="0.25">
      <c r="L369706" s="472"/>
      <c r="M369706" s="472"/>
    </row>
    <row r="369707" spans="12:13" x14ac:dyDescent="0.25">
      <c r="L369707" s="472"/>
      <c r="M369707" s="472"/>
    </row>
    <row r="369779" spans="12:13" x14ac:dyDescent="0.25">
      <c r="L369779" s="472"/>
      <c r="M369779" s="472"/>
    </row>
    <row r="369780" spans="12:13" x14ac:dyDescent="0.25">
      <c r="L369780" s="472"/>
      <c r="M369780" s="472"/>
    </row>
    <row r="369781" spans="12:13" x14ac:dyDescent="0.25">
      <c r="L369781" s="472"/>
      <c r="M369781" s="472"/>
    </row>
    <row r="369853" spans="12:13" x14ac:dyDescent="0.25">
      <c r="L369853" s="472"/>
      <c r="M369853" s="472"/>
    </row>
    <row r="369854" spans="12:13" x14ac:dyDescent="0.25">
      <c r="L369854" s="472"/>
      <c r="M369854" s="472"/>
    </row>
    <row r="369855" spans="12:13" x14ac:dyDescent="0.25">
      <c r="L369855" s="472"/>
      <c r="M369855" s="472"/>
    </row>
    <row r="369927" spans="12:13" x14ac:dyDescent="0.25">
      <c r="L369927" s="472"/>
      <c r="M369927" s="472"/>
    </row>
    <row r="369928" spans="12:13" x14ac:dyDescent="0.25">
      <c r="L369928" s="472"/>
      <c r="M369928" s="472"/>
    </row>
    <row r="369929" spans="12:13" x14ac:dyDescent="0.25">
      <c r="L369929" s="472"/>
      <c r="M369929" s="472"/>
    </row>
    <row r="370001" spans="12:13" x14ac:dyDescent="0.25">
      <c r="L370001" s="472"/>
      <c r="M370001" s="472"/>
    </row>
    <row r="370002" spans="12:13" x14ac:dyDescent="0.25">
      <c r="L370002" s="472"/>
      <c r="M370002" s="472"/>
    </row>
    <row r="370003" spans="12:13" x14ac:dyDescent="0.25">
      <c r="L370003" s="472"/>
      <c r="M370003" s="472"/>
    </row>
    <row r="370075" spans="12:13" x14ac:dyDescent="0.25">
      <c r="L370075" s="472"/>
      <c r="M370075" s="472"/>
    </row>
    <row r="370076" spans="12:13" x14ac:dyDescent="0.25">
      <c r="L370076" s="472"/>
      <c r="M370076" s="472"/>
    </row>
    <row r="370077" spans="12:13" x14ac:dyDescent="0.25">
      <c r="L370077" s="472"/>
      <c r="M370077" s="472"/>
    </row>
    <row r="370149" spans="12:13" x14ac:dyDescent="0.25">
      <c r="L370149" s="472"/>
      <c r="M370149" s="472"/>
    </row>
    <row r="370150" spans="12:13" x14ac:dyDescent="0.25">
      <c r="L370150" s="472"/>
      <c r="M370150" s="472"/>
    </row>
    <row r="370151" spans="12:13" x14ac:dyDescent="0.25">
      <c r="L370151" s="472"/>
      <c r="M370151" s="472"/>
    </row>
    <row r="370223" spans="12:13" x14ac:dyDescent="0.25">
      <c r="L370223" s="472"/>
      <c r="M370223" s="472"/>
    </row>
    <row r="370224" spans="12:13" x14ac:dyDescent="0.25">
      <c r="L370224" s="472"/>
      <c r="M370224" s="472"/>
    </row>
    <row r="370225" spans="12:13" x14ac:dyDescent="0.25">
      <c r="L370225" s="472"/>
      <c r="M370225" s="472"/>
    </row>
    <row r="370297" spans="12:13" x14ac:dyDescent="0.25">
      <c r="L370297" s="472"/>
      <c r="M370297" s="472"/>
    </row>
    <row r="370298" spans="12:13" x14ac:dyDescent="0.25">
      <c r="L370298" s="472"/>
      <c r="M370298" s="472"/>
    </row>
    <row r="370299" spans="12:13" x14ac:dyDescent="0.25">
      <c r="L370299" s="472"/>
      <c r="M370299" s="472"/>
    </row>
    <row r="370371" spans="12:13" x14ac:dyDescent="0.25">
      <c r="L370371" s="472"/>
      <c r="M370371" s="472"/>
    </row>
    <row r="370372" spans="12:13" x14ac:dyDescent="0.25">
      <c r="L370372" s="472"/>
      <c r="M370372" s="472"/>
    </row>
    <row r="370373" spans="12:13" x14ac:dyDescent="0.25">
      <c r="L370373" s="472"/>
      <c r="M370373" s="472"/>
    </row>
    <row r="370445" spans="12:13" x14ac:dyDescent="0.25">
      <c r="L370445" s="472"/>
      <c r="M370445" s="472"/>
    </row>
    <row r="370446" spans="12:13" x14ac:dyDescent="0.25">
      <c r="L370446" s="472"/>
      <c r="M370446" s="472"/>
    </row>
    <row r="370447" spans="12:13" x14ac:dyDescent="0.25">
      <c r="L370447" s="472"/>
      <c r="M370447" s="472"/>
    </row>
    <row r="370519" spans="12:13" x14ac:dyDescent="0.25">
      <c r="L370519" s="472"/>
      <c r="M370519" s="472"/>
    </row>
    <row r="370520" spans="12:13" x14ac:dyDescent="0.25">
      <c r="L370520" s="472"/>
      <c r="M370520" s="472"/>
    </row>
    <row r="370521" spans="12:13" x14ac:dyDescent="0.25">
      <c r="L370521" s="472"/>
      <c r="M370521" s="472"/>
    </row>
    <row r="370593" spans="12:13" x14ac:dyDescent="0.25">
      <c r="L370593" s="472"/>
      <c r="M370593" s="472"/>
    </row>
    <row r="370594" spans="12:13" x14ac:dyDescent="0.25">
      <c r="L370594" s="472"/>
      <c r="M370594" s="472"/>
    </row>
    <row r="370595" spans="12:13" x14ac:dyDescent="0.25">
      <c r="L370595" s="472"/>
      <c r="M370595" s="472"/>
    </row>
    <row r="370667" spans="12:13" x14ac:dyDescent="0.25">
      <c r="L370667" s="472"/>
      <c r="M370667" s="472"/>
    </row>
    <row r="370668" spans="12:13" x14ac:dyDescent="0.25">
      <c r="L370668" s="472"/>
      <c r="M370668" s="472"/>
    </row>
    <row r="370669" spans="12:13" x14ac:dyDescent="0.25">
      <c r="L370669" s="472"/>
      <c r="M370669" s="472"/>
    </row>
    <row r="370741" spans="12:13" x14ac:dyDescent="0.25">
      <c r="L370741" s="472"/>
      <c r="M370741" s="472"/>
    </row>
    <row r="370742" spans="12:13" x14ac:dyDescent="0.25">
      <c r="L370742" s="472"/>
      <c r="M370742" s="472"/>
    </row>
    <row r="370743" spans="12:13" x14ac:dyDescent="0.25">
      <c r="L370743" s="472"/>
      <c r="M370743" s="472"/>
    </row>
    <row r="370815" spans="12:13" x14ac:dyDescent="0.25">
      <c r="L370815" s="472"/>
      <c r="M370815" s="472"/>
    </row>
    <row r="370816" spans="12:13" x14ac:dyDescent="0.25">
      <c r="L370816" s="472"/>
      <c r="M370816" s="472"/>
    </row>
    <row r="370817" spans="12:13" x14ac:dyDescent="0.25">
      <c r="L370817" s="472"/>
      <c r="M370817" s="472"/>
    </row>
    <row r="370889" spans="12:13" x14ac:dyDescent="0.25">
      <c r="L370889" s="472"/>
      <c r="M370889" s="472"/>
    </row>
    <row r="370890" spans="12:13" x14ac:dyDescent="0.25">
      <c r="L370890" s="472"/>
      <c r="M370890" s="472"/>
    </row>
    <row r="370891" spans="12:13" x14ac:dyDescent="0.25">
      <c r="L370891" s="472"/>
      <c r="M370891" s="472"/>
    </row>
    <row r="370963" spans="12:13" x14ac:dyDescent="0.25">
      <c r="L370963" s="472"/>
      <c r="M370963" s="472"/>
    </row>
    <row r="370964" spans="12:13" x14ac:dyDescent="0.25">
      <c r="L370964" s="472"/>
      <c r="M370964" s="472"/>
    </row>
    <row r="370965" spans="12:13" x14ac:dyDescent="0.25">
      <c r="L370965" s="472"/>
      <c r="M370965" s="472"/>
    </row>
    <row r="371037" spans="12:13" x14ac:dyDescent="0.25">
      <c r="L371037" s="472"/>
      <c r="M371037" s="472"/>
    </row>
    <row r="371038" spans="12:13" x14ac:dyDescent="0.25">
      <c r="L371038" s="472"/>
      <c r="M371038" s="472"/>
    </row>
    <row r="371039" spans="12:13" x14ac:dyDescent="0.25">
      <c r="L371039" s="472"/>
      <c r="M371039" s="472"/>
    </row>
    <row r="371111" spans="12:13" x14ac:dyDescent="0.25">
      <c r="L371111" s="472"/>
      <c r="M371111" s="472"/>
    </row>
    <row r="371112" spans="12:13" x14ac:dyDescent="0.25">
      <c r="L371112" s="472"/>
      <c r="M371112" s="472"/>
    </row>
    <row r="371113" spans="12:13" x14ac:dyDescent="0.25">
      <c r="L371113" s="472"/>
      <c r="M371113" s="472"/>
    </row>
    <row r="371185" spans="12:13" x14ac:dyDescent="0.25">
      <c r="L371185" s="472"/>
      <c r="M371185" s="472"/>
    </row>
    <row r="371186" spans="12:13" x14ac:dyDescent="0.25">
      <c r="L371186" s="472"/>
      <c r="M371186" s="472"/>
    </row>
    <row r="371187" spans="12:13" x14ac:dyDescent="0.25">
      <c r="L371187" s="472"/>
      <c r="M371187" s="472"/>
    </row>
    <row r="371259" spans="12:13" x14ac:dyDescent="0.25">
      <c r="L371259" s="472"/>
      <c r="M371259" s="472"/>
    </row>
    <row r="371260" spans="12:13" x14ac:dyDescent="0.25">
      <c r="L371260" s="472"/>
      <c r="M371260" s="472"/>
    </row>
    <row r="371261" spans="12:13" x14ac:dyDescent="0.25">
      <c r="L371261" s="472"/>
      <c r="M371261" s="472"/>
    </row>
    <row r="371333" spans="12:13" x14ac:dyDescent="0.25">
      <c r="L371333" s="472"/>
      <c r="M371333" s="472"/>
    </row>
    <row r="371334" spans="12:13" x14ac:dyDescent="0.25">
      <c r="L371334" s="472"/>
      <c r="M371334" s="472"/>
    </row>
    <row r="371335" spans="12:13" x14ac:dyDescent="0.25">
      <c r="L371335" s="472"/>
      <c r="M371335" s="472"/>
    </row>
    <row r="371407" spans="12:13" x14ac:dyDescent="0.25">
      <c r="L371407" s="472"/>
      <c r="M371407" s="472"/>
    </row>
    <row r="371408" spans="12:13" x14ac:dyDescent="0.25">
      <c r="L371408" s="472"/>
      <c r="M371408" s="472"/>
    </row>
    <row r="371409" spans="12:13" x14ac:dyDescent="0.25">
      <c r="L371409" s="472"/>
      <c r="M371409" s="472"/>
    </row>
    <row r="371481" spans="12:13" x14ac:dyDescent="0.25">
      <c r="L371481" s="472"/>
      <c r="M371481" s="472"/>
    </row>
    <row r="371482" spans="12:13" x14ac:dyDescent="0.25">
      <c r="L371482" s="472"/>
      <c r="M371482" s="472"/>
    </row>
    <row r="371483" spans="12:13" x14ac:dyDescent="0.25">
      <c r="L371483" s="472"/>
      <c r="M371483" s="472"/>
    </row>
    <row r="371555" spans="12:13" x14ac:dyDescent="0.25">
      <c r="L371555" s="472"/>
      <c r="M371555" s="472"/>
    </row>
    <row r="371556" spans="12:13" x14ac:dyDescent="0.25">
      <c r="L371556" s="472"/>
      <c r="M371556" s="472"/>
    </row>
    <row r="371557" spans="12:13" x14ac:dyDescent="0.25">
      <c r="L371557" s="472"/>
      <c r="M371557" s="472"/>
    </row>
    <row r="371629" spans="12:13" x14ac:dyDescent="0.25">
      <c r="L371629" s="472"/>
      <c r="M371629" s="472"/>
    </row>
    <row r="371630" spans="12:13" x14ac:dyDescent="0.25">
      <c r="L371630" s="472"/>
      <c r="M371630" s="472"/>
    </row>
    <row r="371631" spans="12:13" x14ac:dyDescent="0.25">
      <c r="L371631" s="472"/>
      <c r="M371631" s="472"/>
    </row>
    <row r="371703" spans="12:13" x14ac:dyDescent="0.25">
      <c r="L371703" s="472"/>
      <c r="M371703" s="472"/>
    </row>
    <row r="371704" spans="12:13" x14ac:dyDescent="0.25">
      <c r="L371704" s="472"/>
      <c r="M371704" s="472"/>
    </row>
    <row r="371705" spans="12:13" x14ac:dyDescent="0.25">
      <c r="L371705" s="472"/>
      <c r="M371705" s="472"/>
    </row>
    <row r="371777" spans="12:13" x14ac:dyDescent="0.25">
      <c r="L371777" s="472"/>
      <c r="M371777" s="472"/>
    </row>
    <row r="371778" spans="12:13" x14ac:dyDescent="0.25">
      <c r="L371778" s="472"/>
      <c r="M371778" s="472"/>
    </row>
    <row r="371779" spans="12:13" x14ac:dyDescent="0.25">
      <c r="L371779" s="472"/>
      <c r="M371779" s="472"/>
    </row>
    <row r="371851" spans="12:13" x14ac:dyDescent="0.25">
      <c r="L371851" s="472"/>
      <c r="M371851" s="472"/>
    </row>
    <row r="371852" spans="12:13" x14ac:dyDescent="0.25">
      <c r="L371852" s="472"/>
      <c r="M371852" s="472"/>
    </row>
    <row r="371853" spans="12:13" x14ac:dyDescent="0.25">
      <c r="L371853" s="472"/>
      <c r="M371853" s="472"/>
    </row>
    <row r="371925" spans="12:13" x14ac:dyDescent="0.25">
      <c r="L371925" s="472"/>
      <c r="M371925" s="472"/>
    </row>
    <row r="371926" spans="12:13" x14ac:dyDescent="0.25">
      <c r="L371926" s="472"/>
      <c r="M371926" s="472"/>
    </row>
    <row r="371927" spans="12:13" x14ac:dyDescent="0.25">
      <c r="L371927" s="472"/>
      <c r="M371927" s="472"/>
    </row>
    <row r="371999" spans="12:13" x14ac:dyDescent="0.25">
      <c r="L371999" s="472"/>
      <c r="M371999" s="472"/>
    </row>
    <row r="372000" spans="12:13" x14ac:dyDescent="0.25">
      <c r="L372000" s="472"/>
      <c r="M372000" s="472"/>
    </row>
    <row r="372001" spans="12:13" x14ac:dyDescent="0.25">
      <c r="L372001" s="472"/>
      <c r="M372001" s="472"/>
    </row>
    <row r="372073" spans="12:13" x14ac:dyDescent="0.25">
      <c r="L372073" s="472"/>
      <c r="M372073" s="472"/>
    </row>
    <row r="372074" spans="12:13" x14ac:dyDescent="0.25">
      <c r="L372074" s="472"/>
      <c r="M372074" s="472"/>
    </row>
    <row r="372075" spans="12:13" x14ac:dyDescent="0.25">
      <c r="L372075" s="472"/>
      <c r="M372075" s="472"/>
    </row>
    <row r="372147" spans="12:13" x14ac:dyDescent="0.25">
      <c r="L372147" s="472"/>
      <c r="M372147" s="472"/>
    </row>
    <row r="372148" spans="12:13" x14ac:dyDescent="0.25">
      <c r="L372148" s="472"/>
      <c r="M372148" s="472"/>
    </row>
    <row r="372149" spans="12:13" x14ac:dyDescent="0.25">
      <c r="L372149" s="472"/>
      <c r="M372149" s="472"/>
    </row>
    <row r="372221" spans="12:13" x14ac:dyDescent="0.25">
      <c r="L372221" s="472"/>
      <c r="M372221" s="472"/>
    </row>
    <row r="372222" spans="12:13" x14ac:dyDescent="0.25">
      <c r="L372222" s="472"/>
      <c r="M372222" s="472"/>
    </row>
    <row r="372223" spans="12:13" x14ac:dyDescent="0.25">
      <c r="L372223" s="472"/>
      <c r="M372223" s="472"/>
    </row>
    <row r="372295" spans="12:13" x14ac:dyDescent="0.25">
      <c r="L372295" s="472"/>
      <c r="M372295" s="472"/>
    </row>
    <row r="372296" spans="12:13" x14ac:dyDescent="0.25">
      <c r="L372296" s="472"/>
      <c r="M372296" s="472"/>
    </row>
    <row r="372297" spans="12:13" x14ac:dyDescent="0.25">
      <c r="L372297" s="472"/>
      <c r="M372297" s="472"/>
    </row>
    <row r="372369" spans="12:13" x14ac:dyDescent="0.25">
      <c r="L372369" s="472"/>
      <c r="M372369" s="472"/>
    </row>
    <row r="372370" spans="12:13" x14ac:dyDescent="0.25">
      <c r="L372370" s="472"/>
      <c r="M372370" s="472"/>
    </row>
    <row r="372371" spans="12:13" x14ac:dyDescent="0.25">
      <c r="L372371" s="472"/>
      <c r="M372371" s="472"/>
    </row>
    <row r="372443" spans="12:13" x14ac:dyDescent="0.25">
      <c r="L372443" s="472"/>
      <c r="M372443" s="472"/>
    </row>
    <row r="372444" spans="12:13" x14ac:dyDescent="0.25">
      <c r="L372444" s="472"/>
      <c r="M372444" s="472"/>
    </row>
    <row r="372445" spans="12:13" x14ac:dyDescent="0.25">
      <c r="L372445" s="472"/>
      <c r="M372445" s="472"/>
    </row>
    <row r="372517" spans="12:13" x14ac:dyDescent="0.25">
      <c r="L372517" s="472"/>
      <c r="M372517" s="472"/>
    </row>
    <row r="372518" spans="12:13" x14ac:dyDescent="0.25">
      <c r="L372518" s="472"/>
      <c r="M372518" s="472"/>
    </row>
    <row r="372519" spans="12:13" x14ac:dyDescent="0.25">
      <c r="L372519" s="472"/>
      <c r="M372519" s="472"/>
    </row>
    <row r="372591" spans="12:13" x14ac:dyDescent="0.25">
      <c r="L372591" s="472"/>
      <c r="M372591" s="472"/>
    </row>
    <row r="372592" spans="12:13" x14ac:dyDescent="0.25">
      <c r="L372592" s="472"/>
      <c r="M372592" s="472"/>
    </row>
    <row r="372593" spans="12:13" x14ac:dyDescent="0.25">
      <c r="L372593" s="472"/>
      <c r="M372593" s="472"/>
    </row>
    <row r="372665" spans="12:13" x14ac:dyDescent="0.25">
      <c r="L372665" s="472"/>
      <c r="M372665" s="472"/>
    </row>
    <row r="372666" spans="12:13" x14ac:dyDescent="0.25">
      <c r="L372666" s="472"/>
      <c r="M372666" s="472"/>
    </row>
    <row r="372667" spans="12:13" x14ac:dyDescent="0.25">
      <c r="L372667" s="472"/>
      <c r="M372667" s="472"/>
    </row>
    <row r="372739" spans="12:13" x14ac:dyDescent="0.25">
      <c r="L372739" s="472"/>
      <c r="M372739" s="472"/>
    </row>
    <row r="372740" spans="12:13" x14ac:dyDescent="0.25">
      <c r="L372740" s="472"/>
      <c r="M372740" s="472"/>
    </row>
    <row r="372741" spans="12:13" x14ac:dyDescent="0.25">
      <c r="L372741" s="472"/>
      <c r="M372741" s="472"/>
    </row>
    <row r="372813" spans="12:13" x14ac:dyDescent="0.25">
      <c r="L372813" s="472"/>
      <c r="M372813" s="472"/>
    </row>
    <row r="372814" spans="12:13" x14ac:dyDescent="0.25">
      <c r="L372814" s="472"/>
      <c r="M372814" s="472"/>
    </row>
    <row r="372815" spans="12:13" x14ac:dyDescent="0.25">
      <c r="L372815" s="472"/>
      <c r="M372815" s="472"/>
    </row>
    <row r="372887" spans="12:13" x14ac:dyDescent="0.25">
      <c r="L372887" s="472"/>
      <c r="M372887" s="472"/>
    </row>
    <row r="372888" spans="12:13" x14ac:dyDescent="0.25">
      <c r="L372888" s="472"/>
      <c r="M372888" s="472"/>
    </row>
    <row r="372889" spans="12:13" x14ac:dyDescent="0.25">
      <c r="L372889" s="472"/>
      <c r="M372889" s="472"/>
    </row>
    <row r="372961" spans="12:13" x14ac:dyDescent="0.25">
      <c r="L372961" s="472"/>
      <c r="M372961" s="472"/>
    </row>
    <row r="372962" spans="12:13" x14ac:dyDescent="0.25">
      <c r="L372962" s="472"/>
      <c r="M372962" s="472"/>
    </row>
    <row r="372963" spans="12:13" x14ac:dyDescent="0.25">
      <c r="L372963" s="472"/>
      <c r="M372963" s="472"/>
    </row>
    <row r="373035" spans="12:13" x14ac:dyDescent="0.25">
      <c r="L373035" s="472"/>
      <c r="M373035" s="472"/>
    </row>
    <row r="373036" spans="12:13" x14ac:dyDescent="0.25">
      <c r="L373036" s="472"/>
      <c r="M373036" s="472"/>
    </row>
    <row r="373037" spans="12:13" x14ac:dyDescent="0.25">
      <c r="L373037" s="472"/>
      <c r="M373037" s="472"/>
    </row>
    <row r="373109" spans="12:13" x14ac:dyDescent="0.25">
      <c r="L373109" s="472"/>
      <c r="M373109" s="472"/>
    </row>
    <row r="373110" spans="12:13" x14ac:dyDescent="0.25">
      <c r="L373110" s="472"/>
      <c r="M373110" s="472"/>
    </row>
    <row r="373111" spans="12:13" x14ac:dyDescent="0.25">
      <c r="L373111" s="472"/>
      <c r="M373111" s="472"/>
    </row>
    <row r="373183" spans="12:13" x14ac:dyDescent="0.25">
      <c r="L373183" s="472"/>
      <c r="M373183" s="472"/>
    </row>
    <row r="373184" spans="12:13" x14ac:dyDescent="0.25">
      <c r="L373184" s="472"/>
      <c r="M373184" s="472"/>
    </row>
    <row r="373185" spans="12:13" x14ac:dyDescent="0.25">
      <c r="L373185" s="472"/>
      <c r="M373185" s="472"/>
    </row>
    <row r="373257" spans="12:13" x14ac:dyDescent="0.25">
      <c r="L373257" s="472"/>
      <c r="M373257" s="472"/>
    </row>
    <row r="373258" spans="12:13" x14ac:dyDescent="0.25">
      <c r="L373258" s="472"/>
      <c r="M373258" s="472"/>
    </row>
    <row r="373259" spans="12:13" x14ac:dyDescent="0.25">
      <c r="L373259" s="472"/>
      <c r="M373259" s="472"/>
    </row>
    <row r="373331" spans="12:13" x14ac:dyDescent="0.25">
      <c r="L373331" s="472"/>
      <c r="M373331" s="472"/>
    </row>
    <row r="373332" spans="12:13" x14ac:dyDescent="0.25">
      <c r="L373332" s="472"/>
      <c r="M373332" s="472"/>
    </row>
    <row r="373333" spans="12:13" x14ac:dyDescent="0.25">
      <c r="L373333" s="472"/>
      <c r="M373333" s="472"/>
    </row>
    <row r="373405" spans="12:13" x14ac:dyDescent="0.25">
      <c r="L373405" s="472"/>
      <c r="M373405" s="472"/>
    </row>
    <row r="373406" spans="12:13" x14ac:dyDescent="0.25">
      <c r="L373406" s="472"/>
      <c r="M373406" s="472"/>
    </row>
    <row r="373407" spans="12:13" x14ac:dyDescent="0.25">
      <c r="L373407" s="472"/>
      <c r="M373407" s="472"/>
    </row>
    <row r="373479" spans="12:13" x14ac:dyDescent="0.25">
      <c r="L373479" s="472"/>
      <c r="M373479" s="472"/>
    </row>
    <row r="373480" spans="12:13" x14ac:dyDescent="0.25">
      <c r="L373480" s="472"/>
      <c r="M373480" s="472"/>
    </row>
    <row r="373481" spans="12:13" x14ac:dyDescent="0.25">
      <c r="L373481" s="472"/>
      <c r="M373481" s="472"/>
    </row>
    <row r="373553" spans="12:13" x14ac:dyDescent="0.25">
      <c r="L373553" s="472"/>
      <c r="M373553" s="472"/>
    </row>
    <row r="373554" spans="12:13" x14ac:dyDescent="0.25">
      <c r="L373554" s="472"/>
      <c r="M373554" s="472"/>
    </row>
    <row r="373555" spans="12:13" x14ac:dyDescent="0.25">
      <c r="L373555" s="472"/>
      <c r="M373555" s="472"/>
    </row>
    <row r="373627" spans="12:13" x14ac:dyDescent="0.25">
      <c r="L373627" s="472"/>
      <c r="M373627" s="472"/>
    </row>
    <row r="373628" spans="12:13" x14ac:dyDescent="0.25">
      <c r="L373628" s="472"/>
      <c r="M373628" s="472"/>
    </row>
    <row r="373629" spans="12:13" x14ac:dyDescent="0.25">
      <c r="L373629" s="472"/>
      <c r="M373629" s="472"/>
    </row>
    <row r="373701" spans="12:13" x14ac:dyDescent="0.25">
      <c r="L373701" s="472"/>
      <c r="M373701" s="472"/>
    </row>
    <row r="373702" spans="12:13" x14ac:dyDescent="0.25">
      <c r="L373702" s="472"/>
      <c r="M373702" s="472"/>
    </row>
    <row r="373703" spans="12:13" x14ac:dyDescent="0.25">
      <c r="L373703" s="472"/>
      <c r="M373703" s="472"/>
    </row>
    <row r="373775" spans="12:13" x14ac:dyDescent="0.25">
      <c r="L373775" s="472"/>
      <c r="M373775" s="472"/>
    </row>
    <row r="373776" spans="12:13" x14ac:dyDescent="0.25">
      <c r="L373776" s="472"/>
      <c r="M373776" s="472"/>
    </row>
    <row r="373777" spans="12:13" x14ac:dyDescent="0.25">
      <c r="L373777" s="472"/>
      <c r="M373777" s="472"/>
    </row>
    <row r="373849" spans="12:13" x14ac:dyDescent="0.25">
      <c r="L373849" s="472"/>
      <c r="M373849" s="472"/>
    </row>
    <row r="373850" spans="12:13" x14ac:dyDescent="0.25">
      <c r="L373850" s="472"/>
      <c r="M373850" s="472"/>
    </row>
    <row r="373851" spans="12:13" x14ac:dyDescent="0.25">
      <c r="L373851" s="472"/>
      <c r="M373851" s="472"/>
    </row>
    <row r="373923" spans="12:13" x14ac:dyDescent="0.25">
      <c r="L373923" s="472"/>
      <c r="M373923" s="472"/>
    </row>
    <row r="373924" spans="12:13" x14ac:dyDescent="0.25">
      <c r="L373924" s="472"/>
      <c r="M373924" s="472"/>
    </row>
    <row r="373925" spans="12:13" x14ac:dyDescent="0.25">
      <c r="L373925" s="472"/>
      <c r="M373925" s="472"/>
    </row>
    <row r="373997" spans="12:13" x14ac:dyDescent="0.25">
      <c r="L373997" s="472"/>
      <c r="M373997" s="472"/>
    </row>
    <row r="373998" spans="12:13" x14ac:dyDescent="0.25">
      <c r="L373998" s="472"/>
      <c r="M373998" s="472"/>
    </row>
    <row r="373999" spans="12:13" x14ac:dyDescent="0.25">
      <c r="L373999" s="472"/>
      <c r="M373999" s="472"/>
    </row>
    <row r="374071" spans="12:13" x14ac:dyDescent="0.25">
      <c r="L374071" s="472"/>
      <c r="M374071" s="472"/>
    </row>
    <row r="374072" spans="12:13" x14ac:dyDescent="0.25">
      <c r="L374072" s="472"/>
      <c r="M374072" s="472"/>
    </row>
    <row r="374073" spans="12:13" x14ac:dyDescent="0.25">
      <c r="L374073" s="472"/>
      <c r="M374073" s="472"/>
    </row>
    <row r="374145" spans="12:13" x14ac:dyDescent="0.25">
      <c r="L374145" s="472"/>
      <c r="M374145" s="472"/>
    </row>
    <row r="374146" spans="12:13" x14ac:dyDescent="0.25">
      <c r="L374146" s="472"/>
      <c r="M374146" s="472"/>
    </row>
    <row r="374147" spans="12:13" x14ac:dyDescent="0.25">
      <c r="L374147" s="472"/>
      <c r="M374147" s="472"/>
    </row>
    <row r="374219" spans="12:13" x14ac:dyDescent="0.25">
      <c r="L374219" s="472"/>
      <c r="M374219" s="472"/>
    </row>
    <row r="374220" spans="12:13" x14ac:dyDescent="0.25">
      <c r="L374220" s="472"/>
      <c r="M374220" s="472"/>
    </row>
    <row r="374221" spans="12:13" x14ac:dyDescent="0.25">
      <c r="L374221" s="472"/>
      <c r="M374221" s="472"/>
    </row>
    <row r="374293" spans="12:13" x14ac:dyDescent="0.25">
      <c r="L374293" s="472"/>
      <c r="M374293" s="472"/>
    </row>
    <row r="374294" spans="12:13" x14ac:dyDescent="0.25">
      <c r="L374294" s="472"/>
      <c r="M374294" s="472"/>
    </row>
    <row r="374295" spans="12:13" x14ac:dyDescent="0.25">
      <c r="L374295" s="472"/>
      <c r="M374295" s="472"/>
    </row>
    <row r="374367" spans="12:13" x14ac:dyDescent="0.25">
      <c r="L374367" s="472"/>
      <c r="M374367" s="472"/>
    </row>
    <row r="374368" spans="12:13" x14ac:dyDescent="0.25">
      <c r="L374368" s="472"/>
      <c r="M374368" s="472"/>
    </row>
    <row r="374369" spans="12:13" x14ac:dyDescent="0.25">
      <c r="L374369" s="472"/>
      <c r="M374369" s="472"/>
    </row>
    <row r="374441" spans="12:13" x14ac:dyDescent="0.25">
      <c r="L374441" s="472"/>
      <c r="M374441" s="472"/>
    </row>
    <row r="374442" spans="12:13" x14ac:dyDescent="0.25">
      <c r="L374442" s="472"/>
      <c r="M374442" s="472"/>
    </row>
    <row r="374443" spans="12:13" x14ac:dyDescent="0.25">
      <c r="L374443" s="472"/>
      <c r="M374443" s="472"/>
    </row>
    <row r="374515" spans="12:13" x14ac:dyDescent="0.25">
      <c r="L374515" s="472"/>
      <c r="M374515" s="472"/>
    </row>
    <row r="374516" spans="12:13" x14ac:dyDescent="0.25">
      <c r="L374516" s="472"/>
      <c r="M374516" s="472"/>
    </row>
    <row r="374517" spans="12:13" x14ac:dyDescent="0.25">
      <c r="L374517" s="472"/>
      <c r="M374517" s="472"/>
    </row>
    <row r="374589" spans="12:13" x14ac:dyDescent="0.25">
      <c r="L374589" s="472"/>
      <c r="M374589" s="472"/>
    </row>
    <row r="374590" spans="12:13" x14ac:dyDescent="0.25">
      <c r="L374590" s="472"/>
      <c r="M374590" s="472"/>
    </row>
    <row r="374591" spans="12:13" x14ac:dyDescent="0.25">
      <c r="L374591" s="472"/>
      <c r="M374591" s="472"/>
    </row>
    <row r="374663" spans="12:13" x14ac:dyDescent="0.25">
      <c r="L374663" s="472"/>
      <c r="M374663" s="472"/>
    </row>
    <row r="374664" spans="12:13" x14ac:dyDescent="0.25">
      <c r="L374664" s="472"/>
      <c r="M374664" s="472"/>
    </row>
    <row r="374665" spans="12:13" x14ac:dyDescent="0.25">
      <c r="L374665" s="472"/>
      <c r="M374665" s="472"/>
    </row>
    <row r="374737" spans="12:13" x14ac:dyDescent="0.25">
      <c r="L374737" s="472"/>
      <c r="M374737" s="472"/>
    </row>
    <row r="374738" spans="12:13" x14ac:dyDescent="0.25">
      <c r="L374738" s="472"/>
      <c r="M374738" s="472"/>
    </row>
    <row r="374739" spans="12:13" x14ac:dyDescent="0.25">
      <c r="L374739" s="472"/>
      <c r="M374739" s="472"/>
    </row>
    <row r="374811" spans="12:13" x14ac:dyDescent="0.25">
      <c r="L374811" s="472"/>
      <c r="M374811" s="472"/>
    </row>
    <row r="374812" spans="12:13" x14ac:dyDescent="0.25">
      <c r="L374812" s="472"/>
      <c r="M374812" s="472"/>
    </row>
    <row r="374813" spans="12:13" x14ac:dyDescent="0.25">
      <c r="L374813" s="472"/>
      <c r="M374813" s="472"/>
    </row>
    <row r="374885" spans="12:13" x14ac:dyDescent="0.25">
      <c r="L374885" s="472"/>
      <c r="M374885" s="472"/>
    </row>
    <row r="374886" spans="12:13" x14ac:dyDescent="0.25">
      <c r="L374886" s="472"/>
      <c r="M374886" s="472"/>
    </row>
    <row r="374887" spans="12:13" x14ac:dyDescent="0.25">
      <c r="L374887" s="472"/>
      <c r="M374887" s="472"/>
    </row>
    <row r="374959" spans="12:13" x14ac:dyDescent="0.25">
      <c r="L374959" s="472"/>
      <c r="M374959" s="472"/>
    </row>
    <row r="374960" spans="12:13" x14ac:dyDescent="0.25">
      <c r="L374960" s="472"/>
      <c r="M374960" s="472"/>
    </row>
    <row r="374961" spans="12:13" x14ac:dyDescent="0.25">
      <c r="L374961" s="472"/>
      <c r="M374961" s="472"/>
    </row>
    <row r="375033" spans="12:13" x14ac:dyDescent="0.25">
      <c r="L375033" s="472"/>
      <c r="M375033" s="472"/>
    </row>
    <row r="375034" spans="12:13" x14ac:dyDescent="0.25">
      <c r="L375034" s="472"/>
      <c r="M375034" s="472"/>
    </row>
    <row r="375035" spans="12:13" x14ac:dyDescent="0.25">
      <c r="L375035" s="472"/>
      <c r="M375035" s="472"/>
    </row>
    <row r="375107" spans="12:13" x14ac:dyDescent="0.25">
      <c r="L375107" s="472"/>
      <c r="M375107" s="472"/>
    </row>
    <row r="375108" spans="12:13" x14ac:dyDescent="0.25">
      <c r="L375108" s="472"/>
      <c r="M375108" s="472"/>
    </row>
    <row r="375109" spans="12:13" x14ac:dyDescent="0.25">
      <c r="L375109" s="472"/>
      <c r="M375109" s="472"/>
    </row>
    <row r="375181" spans="12:13" x14ac:dyDescent="0.25">
      <c r="L375181" s="472"/>
      <c r="M375181" s="472"/>
    </row>
    <row r="375182" spans="12:13" x14ac:dyDescent="0.25">
      <c r="L375182" s="472"/>
      <c r="M375182" s="472"/>
    </row>
    <row r="375183" spans="12:13" x14ac:dyDescent="0.25">
      <c r="L375183" s="472"/>
      <c r="M375183" s="472"/>
    </row>
    <row r="375255" spans="12:13" x14ac:dyDescent="0.25">
      <c r="L375255" s="472"/>
      <c r="M375255" s="472"/>
    </row>
    <row r="375256" spans="12:13" x14ac:dyDescent="0.25">
      <c r="L375256" s="472"/>
      <c r="M375256" s="472"/>
    </row>
    <row r="375257" spans="12:13" x14ac:dyDescent="0.25">
      <c r="L375257" s="472"/>
      <c r="M375257" s="472"/>
    </row>
    <row r="375329" spans="12:13" x14ac:dyDescent="0.25">
      <c r="L375329" s="472"/>
      <c r="M375329" s="472"/>
    </row>
    <row r="375330" spans="12:13" x14ac:dyDescent="0.25">
      <c r="L375330" s="472"/>
      <c r="M375330" s="472"/>
    </row>
    <row r="375331" spans="12:13" x14ac:dyDescent="0.25">
      <c r="L375331" s="472"/>
      <c r="M375331" s="472"/>
    </row>
    <row r="375403" spans="12:13" x14ac:dyDescent="0.25">
      <c r="L375403" s="472"/>
      <c r="M375403" s="472"/>
    </row>
    <row r="375404" spans="12:13" x14ac:dyDescent="0.25">
      <c r="L375404" s="472"/>
      <c r="M375404" s="472"/>
    </row>
    <row r="375405" spans="12:13" x14ac:dyDescent="0.25">
      <c r="L375405" s="472"/>
      <c r="M375405" s="472"/>
    </row>
    <row r="375477" spans="12:13" x14ac:dyDescent="0.25">
      <c r="L375477" s="472"/>
      <c r="M375477" s="472"/>
    </row>
    <row r="375478" spans="12:13" x14ac:dyDescent="0.25">
      <c r="L375478" s="472"/>
      <c r="M375478" s="472"/>
    </row>
    <row r="375479" spans="12:13" x14ac:dyDescent="0.25">
      <c r="L375479" s="472"/>
      <c r="M375479" s="472"/>
    </row>
    <row r="375551" spans="12:13" x14ac:dyDescent="0.25">
      <c r="L375551" s="472"/>
      <c r="M375551" s="472"/>
    </row>
    <row r="375552" spans="12:13" x14ac:dyDescent="0.25">
      <c r="L375552" s="472"/>
      <c r="M375552" s="472"/>
    </row>
    <row r="375553" spans="12:13" x14ac:dyDescent="0.25">
      <c r="L375553" s="472"/>
      <c r="M375553" s="472"/>
    </row>
    <row r="375625" spans="12:13" x14ac:dyDescent="0.25">
      <c r="L375625" s="472"/>
      <c r="M375625" s="472"/>
    </row>
    <row r="375626" spans="12:13" x14ac:dyDescent="0.25">
      <c r="L375626" s="472"/>
      <c r="M375626" s="472"/>
    </row>
    <row r="375627" spans="12:13" x14ac:dyDescent="0.25">
      <c r="L375627" s="472"/>
      <c r="M375627" s="472"/>
    </row>
    <row r="375699" spans="12:13" x14ac:dyDescent="0.25">
      <c r="L375699" s="472"/>
      <c r="M375699" s="472"/>
    </row>
    <row r="375700" spans="12:13" x14ac:dyDescent="0.25">
      <c r="L375700" s="472"/>
      <c r="M375700" s="472"/>
    </row>
    <row r="375701" spans="12:13" x14ac:dyDescent="0.25">
      <c r="L375701" s="472"/>
      <c r="M375701" s="472"/>
    </row>
    <row r="375773" spans="12:13" x14ac:dyDescent="0.25">
      <c r="L375773" s="472"/>
      <c r="M375773" s="472"/>
    </row>
    <row r="375774" spans="12:13" x14ac:dyDescent="0.25">
      <c r="L375774" s="472"/>
      <c r="M375774" s="472"/>
    </row>
    <row r="375775" spans="12:13" x14ac:dyDescent="0.25">
      <c r="L375775" s="472"/>
      <c r="M375775" s="472"/>
    </row>
    <row r="375847" spans="12:13" x14ac:dyDescent="0.25">
      <c r="L375847" s="472"/>
      <c r="M375847" s="472"/>
    </row>
    <row r="375848" spans="12:13" x14ac:dyDescent="0.25">
      <c r="L375848" s="472"/>
      <c r="M375848" s="472"/>
    </row>
    <row r="375849" spans="12:13" x14ac:dyDescent="0.25">
      <c r="L375849" s="472"/>
      <c r="M375849" s="472"/>
    </row>
    <row r="375921" spans="12:13" x14ac:dyDescent="0.25">
      <c r="L375921" s="472"/>
      <c r="M375921" s="472"/>
    </row>
    <row r="375922" spans="12:13" x14ac:dyDescent="0.25">
      <c r="L375922" s="472"/>
      <c r="M375922" s="472"/>
    </row>
    <row r="375923" spans="12:13" x14ac:dyDescent="0.25">
      <c r="L375923" s="472"/>
      <c r="M375923" s="472"/>
    </row>
    <row r="375995" spans="12:13" x14ac:dyDescent="0.25">
      <c r="L375995" s="472"/>
      <c r="M375995" s="472"/>
    </row>
    <row r="375996" spans="12:13" x14ac:dyDescent="0.25">
      <c r="L375996" s="472"/>
      <c r="M375996" s="472"/>
    </row>
    <row r="375997" spans="12:13" x14ac:dyDescent="0.25">
      <c r="L375997" s="472"/>
      <c r="M375997" s="472"/>
    </row>
    <row r="376069" spans="12:13" x14ac:dyDescent="0.25">
      <c r="L376069" s="472"/>
      <c r="M376069" s="472"/>
    </row>
    <row r="376070" spans="12:13" x14ac:dyDescent="0.25">
      <c r="L376070" s="472"/>
      <c r="M376070" s="472"/>
    </row>
    <row r="376071" spans="12:13" x14ac:dyDescent="0.25">
      <c r="L376071" s="472"/>
      <c r="M376071" s="472"/>
    </row>
    <row r="376143" spans="12:13" x14ac:dyDescent="0.25">
      <c r="L376143" s="472"/>
      <c r="M376143" s="472"/>
    </row>
    <row r="376144" spans="12:13" x14ac:dyDescent="0.25">
      <c r="L376144" s="472"/>
      <c r="M376144" s="472"/>
    </row>
    <row r="376145" spans="12:13" x14ac:dyDescent="0.25">
      <c r="L376145" s="472"/>
      <c r="M376145" s="472"/>
    </row>
    <row r="376217" spans="12:13" x14ac:dyDescent="0.25">
      <c r="L376217" s="472"/>
      <c r="M376217" s="472"/>
    </row>
    <row r="376218" spans="12:13" x14ac:dyDescent="0.25">
      <c r="L376218" s="472"/>
      <c r="M376218" s="472"/>
    </row>
    <row r="376219" spans="12:13" x14ac:dyDescent="0.25">
      <c r="L376219" s="472"/>
      <c r="M376219" s="472"/>
    </row>
    <row r="376291" spans="12:13" x14ac:dyDescent="0.25">
      <c r="L376291" s="472"/>
      <c r="M376291" s="472"/>
    </row>
    <row r="376292" spans="12:13" x14ac:dyDescent="0.25">
      <c r="L376292" s="472"/>
      <c r="M376292" s="472"/>
    </row>
    <row r="376293" spans="12:13" x14ac:dyDescent="0.25">
      <c r="L376293" s="472"/>
      <c r="M376293" s="472"/>
    </row>
    <row r="376365" spans="12:13" x14ac:dyDescent="0.25">
      <c r="L376365" s="472"/>
      <c r="M376365" s="472"/>
    </row>
    <row r="376366" spans="12:13" x14ac:dyDescent="0.25">
      <c r="L376366" s="472"/>
      <c r="M376366" s="472"/>
    </row>
    <row r="376367" spans="12:13" x14ac:dyDescent="0.25">
      <c r="L376367" s="472"/>
      <c r="M376367" s="472"/>
    </row>
    <row r="376439" spans="12:13" x14ac:dyDescent="0.25">
      <c r="L376439" s="472"/>
      <c r="M376439" s="472"/>
    </row>
    <row r="376440" spans="12:13" x14ac:dyDescent="0.25">
      <c r="L376440" s="472"/>
      <c r="M376440" s="472"/>
    </row>
    <row r="376441" spans="12:13" x14ac:dyDescent="0.25">
      <c r="L376441" s="472"/>
      <c r="M376441" s="472"/>
    </row>
    <row r="376513" spans="12:13" x14ac:dyDescent="0.25">
      <c r="L376513" s="472"/>
      <c r="M376513" s="472"/>
    </row>
    <row r="376514" spans="12:13" x14ac:dyDescent="0.25">
      <c r="L376514" s="472"/>
      <c r="M376514" s="472"/>
    </row>
    <row r="376515" spans="12:13" x14ac:dyDescent="0.25">
      <c r="L376515" s="472"/>
      <c r="M376515" s="472"/>
    </row>
    <row r="376587" spans="12:13" x14ac:dyDescent="0.25">
      <c r="L376587" s="472"/>
      <c r="M376587" s="472"/>
    </row>
    <row r="376588" spans="12:13" x14ac:dyDescent="0.25">
      <c r="L376588" s="472"/>
      <c r="M376588" s="472"/>
    </row>
    <row r="376589" spans="12:13" x14ac:dyDescent="0.25">
      <c r="L376589" s="472"/>
      <c r="M376589" s="472"/>
    </row>
    <row r="376661" spans="12:13" x14ac:dyDescent="0.25">
      <c r="L376661" s="472"/>
      <c r="M376661" s="472"/>
    </row>
    <row r="376662" spans="12:13" x14ac:dyDescent="0.25">
      <c r="L376662" s="472"/>
      <c r="M376662" s="472"/>
    </row>
    <row r="376663" spans="12:13" x14ac:dyDescent="0.25">
      <c r="L376663" s="472"/>
      <c r="M376663" s="472"/>
    </row>
    <row r="376735" spans="12:13" x14ac:dyDescent="0.25">
      <c r="L376735" s="472"/>
      <c r="M376735" s="472"/>
    </row>
    <row r="376736" spans="12:13" x14ac:dyDescent="0.25">
      <c r="L376736" s="472"/>
      <c r="M376736" s="472"/>
    </row>
    <row r="376737" spans="12:13" x14ac:dyDescent="0.25">
      <c r="L376737" s="472"/>
      <c r="M376737" s="472"/>
    </row>
    <row r="376809" spans="12:13" x14ac:dyDescent="0.25">
      <c r="L376809" s="472"/>
      <c r="M376809" s="472"/>
    </row>
    <row r="376810" spans="12:13" x14ac:dyDescent="0.25">
      <c r="L376810" s="472"/>
      <c r="M376810" s="472"/>
    </row>
    <row r="376811" spans="12:13" x14ac:dyDescent="0.25">
      <c r="L376811" s="472"/>
      <c r="M376811" s="472"/>
    </row>
    <row r="376883" spans="12:13" x14ac:dyDescent="0.25">
      <c r="L376883" s="472"/>
      <c r="M376883" s="472"/>
    </row>
    <row r="376884" spans="12:13" x14ac:dyDescent="0.25">
      <c r="L376884" s="472"/>
      <c r="M376884" s="472"/>
    </row>
    <row r="376885" spans="12:13" x14ac:dyDescent="0.25">
      <c r="L376885" s="472"/>
      <c r="M376885" s="472"/>
    </row>
    <row r="376957" spans="12:13" x14ac:dyDescent="0.25">
      <c r="L376957" s="472"/>
      <c r="M376957" s="472"/>
    </row>
    <row r="376958" spans="12:13" x14ac:dyDescent="0.25">
      <c r="L376958" s="472"/>
      <c r="M376958" s="472"/>
    </row>
    <row r="376959" spans="12:13" x14ac:dyDescent="0.25">
      <c r="L376959" s="472"/>
      <c r="M376959" s="472"/>
    </row>
    <row r="377031" spans="12:13" x14ac:dyDescent="0.25">
      <c r="L377031" s="472"/>
      <c r="M377031" s="472"/>
    </row>
    <row r="377032" spans="12:13" x14ac:dyDescent="0.25">
      <c r="L377032" s="472"/>
      <c r="M377032" s="472"/>
    </row>
    <row r="377033" spans="12:13" x14ac:dyDescent="0.25">
      <c r="L377033" s="472"/>
      <c r="M377033" s="472"/>
    </row>
    <row r="377105" spans="12:13" x14ac:dyDescent="0.25">
      <c r="L377105" s="472"/>
      <c r="M377105" s="472"/>
    </row>
    <row r="377106" spans="12:13" x14ac:dyDescent="0.25">
      <c r="L377106" s="472"/>
      <c r="M377106" s="472"/>
    </row>
    <row r="377107" spans="12:13" x14ac:dyDescent="0.25">
      <c r="L377107" s="472"/>
      <c r="M377107" s="472"/>
    </row>
    <row r="377179" spans="12:13" x14ac:dyDescent="0.25">
      <c r="L377179" s="472"/>
      <c r="M377179" s="472"/>
    </row>
    <row r="377180" spans="12:13" x14ac:dyDescent="0.25">
      <c r="L377180" s="472"/>
      <c r="M377180" s="472"/>
    </row>
    <row r="377181" spans="12:13" x14ac:dyDescent="0.25">
      <c r="L377181" s="472"/>
      <c r="M377181" s="472"/>
    </row>
    <row r="377253" spans="12:13" x14ac:dyDescent="0.25">
      <c r="L377253" s="472"/>
      <c r="M377253" s="472"/>
    </row>
    <row r="377254" spans="12:13" x14ac:dyDescent="0.25">
      <c r="L377254" s="472"/>
      <c r="M377254" s="472"/>
    </row>
    <row r="377255" spans="12:13" x14ac:dyDescent="0.25">
      <c r="L377255" s="472"/>
      <c r="M377255" s="472"/>
    </row>
    <row r="377327" spans="12:13" x14ac:dyDescent="0.25">
      <c r="L377327" s="472"/>
      <c r="M377327" s="472"/>
    </row>
    <row r="377328" spans="12:13" x14ac:dyDescent="0.25">
      <c r="L377328" s="472"/>
      <c r="M377328" s="472"/>
    </row>
    <row r="377329" spans="12:13" x14ac:dyDescent="0.25">
      <c r="L377329" s="472"/>
      <c r="M377329" s="472"/>
    </row>
    <row r="377401" spans="12:13" x14ac:dyDescent="0.25">
      <c r="L377401" s="472"/>
      <c r="M377401" s="472"/>
    </row>
    <row r="377402" spans="12:13" x14ac:dyDescent="0.25">
      <c r="L377402" s="472"/>
      <c r="M377402" s="472"/>
    </row>
    <row r="377403" spans="12:13" x14ac:dyDescent="0.25">
      <c r="L377403" s="472"/>
      <c r="M377403" s="472"/>
    </row>
    <row r="377475" spans="12:13" x14ac:dyDescent="0.25">
      <c r="L377475" s="472"/>
      <c r="M377475" s="472"/>
    </row>
    <row r="377476" spans="12:13" x14ac:dyDescent="0.25">
      <c r="L377476" s="472"/>
      <c r="M377476" s="472"/>
    </row>
    <row r="377477" spans="12:13" x14ac:dyDescent="0.25">
      <c r="L377477" s="472"/>
      <c r="M377477" s="472"/>
    </row>
    <row r="377549" spans="12:13" x14ac:dyDescent="0.25">
      <c r="L377549" s="472"/>
      <c r="M377549" s="472"/>
    </row>
    <row r="377550" spans="12:13" x14ac:dyDescent="0.25">
      <c r="L377550" s="472"/>
      <c r="M377550" s="472"/>
    </row>
    <row r="377551" spans="12:13" x14ac:dyDescent="0.25">
      <c r="L377551" s="472"/>
      <c r="M377551" s="472"/>
    </row>
    <row r="377623" spans="12:13" x14ac:dyDescent="0.25">
      <c r="L377623" s="472"/>
      <c r="M377623" s="472"/>
    </row>
    <row r="377624" spans="12:13" x14ac:dyDescent="0.25">
      <c r="L377624" s="472"/>
      <c r="M377624" s="472"/>
    </row>
    <row r="377625" spans="12:13" x14ac:dyDescent="0.25">
      <c r="L377625" s="472"/>
      <c r="M377625" s="472"/>
    </row>
    <row r="377697" spans="12:13" x14ac:dyDescent="0.25">
      <c r="L377697" s="472"/>
      <c r="M377697" s="472"/>
    </row>
    <row r="377698" spans="12:13" x14ac:dyDescent="0.25">
      <c r="L377698" s="472"/>
      <c r="M377698" s="472"/>
    </row>
    <row r="377699" spans="12:13" x14ac:dyDescent="0.25">
      <c r="L377699" s="472"/>
      <c r="M377699" s="472"/>
    </row>
    <row r="377771" spans="12:13" x14ac:dyDescent="0.25">
      <c r="L377771" s="472"/>
      <c r="M377771" s="472"/>
    </row>
    <row r="377772" spans="12:13" x14ac:dyDescent="0.25">
      <c r="L377772" s="472"/>
      <c r="M377772" s="472"/>
    </row>
    <row r="377773" spans="12:13" x14ac:dyDescent="0.25">
      <c r="L377773" s="472"/>
      <c r="M377773" s="472"/>
    </row>
    <row r="377845" spans="12:13" x14ac:dyDescent="0.25">
      <c r="L377845" s="472"/>
      <c r="M377845" s="472"/>
    </row>
    <row r="377846" spans="12:13" x14ac:dyDescent="0.25">
      <c r="L377846" s="472"/>
      <c r="M377846" s="472"/>
    </row>
    <row r="377847" spans="12:13" x14ac:dyDescent="0.25">
      <c r="L377847" s="472"/>
      <c r="M377847" s="472"/>
    </row>
    <row r="377919" spans="12:13" x14ac:dyDescent="0.25">
      <c r="L377919" s="472"/>
      <c r="M377919" s="472"/>
    </row>
    <row r="377920" spans="12:13" x14ac:dyDescent="0.25">
      <c r="L377920" s="472"/>
      <c r="M377920" s="472"/>
    </row>
    <row r="377921" spans="12:13" x14ac:dyDescent="0.25">
      <c r="L377921" s="472"/>
      <c r="M377921" s="472"/>
    </row>
    <row r="377993" spans="12:13" x14ac:dyDescent="0.25">
      <c r="L377993" s="472"/>
      <c r="M377993" s="472"/>
    </row>
    <row r="377994" spans="12:13" x14ac:dyDescent="0.25">
      <c r="L377994" s="472"/>
      <c r="M377994" s="472"/>
    </row>
    <row r="377995" spans="12:13" x14ac:dyDescent="0.25">
      <c r="L377995" s="472"/>
      <c r="M377995" s="472"/>
    </row>
    <row r="378067" spans="12:13" x14ac:dyDescent="0.25">
      <c r="L378067" s="472"/>
      <c r="M378067" s="472"/>
    </row>
    <row r="378068" spans="12:13" x14ac:dyDescent="0.25">
      <c r="L378068" s="472"/>
      <c r="M378068" s="472"/>
    </row>
    <row r="378069" spans="12:13" x14ac:dyDescent="0.25">
      <c r="L378069" s="472"/>
      <c r="M378069" s="472"/>
    </row>
    <row r="378141" spans="12:13" x14ac:dyDescent="0.25">
      <c r="L378141" s="472"/>
      <c r="M378141" s="472"/>
    </row>
    <row r="378142" spans="12:13" x14ac:dyDescent="0.25">
      <c r="L378142" s="472"/>
      <c r="M378142" s="472"/>
    </row>
    <row r="378143" spans="12:13" x14ac:dyDescent="0.25">
      <c r="L378143" s="472"/>
      <c r="M378143" s="472"/>
    </row>
    <row r="378215" spans="12:13" x14ac:dyDescent="0.25">
      <c r="L378215" s="472"/>
      <c r="M378215" s="472"/>
    </row>
    <row r="378216" spans="12:13" x14ac:dyDescent="0.25">
      <c r="L378216" s="472"/>
      <c r="M378216" s="472"/>
    </row>
    <row r="378217" spans="12:13" x14ac:dyDescent="0.25">
      <c r="L378217" s="472"/>
      <c r="M378217" s="472"/>
    </row>
    <row r="378289" spans="12:13" x14ac:dyDescent="0.25">
      <c r="L378289" s="472"/>
      <c r="M378289" s="472"/>
    </row>
    <row r="378290" spans="12:13" x14ac:dyDescent="0.25">
      <c r="L378290" s="472"/>
      <c r="M378290" s="472"/>
    </row>
    <row r="378291" spans="12:13" x14ac:dyDescent="0.25">
      <c r="L378291" s="472"/>
      <c r="M378291" s="472"/>
    </row>
    <row r="378363" spans="12:13" x14ac:dyDescent="0.25">
      <c r="L378363" s="472"/>
      <c r="M378363" s="472"/>
    </row>
    <row r="378364" spans="12:13" x14ac:dyDescent="0.25">
      <c r="L378364" s="472"/>
      <c r="M378364" s="472"/>
    </row>
    <row r="378365" spans="12:13" x14ac:dyDescent="0.25">
      <c r="L378365" s="472"/>
      <c r="M378365" s="472"/>
    </row>
    <row r="378437" spans="12:13" x14ac:dyDescent="0.25">
      <c r="L378437" s="472"/>
      <c r="M378437" s="472"/>
    </row>
    <row r="378438" spans="12:13" x14ac:dyDescent="0.25">
      <c r="L378438" s="472"/>
      <c r="M378438" s="472"/>
    </row>
    <row r="378439" spans="12:13" x14ac:dyDescent="0.25">
      <c r="L378439" s="472"/>
      <c r="M378439" s="472"/>
    </row>
    <row r="378511" spans="12:13" x14ac:dyDescent="0.25">
      <c r="L378511" s="472"/>
      <c r="M378511" s="472"/>
    </row>
    <row r="378512" spans="12:13" x14ac:dyDescent="0.25">
      <c r="L378512" s="472"/>
      <c r="M378512" s="472"/>
    </row>
    <row r="378513" spans="12:13" x14ac:dyDescent="0.25">
      <c r="L378513" s="472"/>
      <c r="M378513" s="472"/>
    </row>
    <row r="378585" spans="12:13" x14ac:dyDescent="0.25">
      <c r="L378585" s="472"/>
      <c r="M378585" s="472"/>
    </row>
    <row r="378586" spans="12:13" x14ac:dyDescent="0.25">
      <c r="L378586" s="472"/>
      <c r="M378586" s="472"/>
    </row>
    <row r="378587" spans="12:13" x14ac:dyDescent="0.25">
      <c r="L378587" s="472"/>
      <c r="M378587" s="472"/>
    </row>
    <row r="378659" spans="12:13" x14ac:dyDescent="0.25">
      <c r="L378659" s="472"/>
      <c r="M378659" s="472"/>
    </row>
    <row r="378660" spans="12:13" x14ac:dyDescent="0.25">
      <c r="L378660" s="472"/>
      <c r="M378660" s="472"/>
    </row>
    <row r="378661" spans="12:13" x14ac:dyDescent="0.25">
      <c r="L378661" s="472"/>
      <c r="M378661" s="472"/>
    </row>
    <row r="378733" spans="12:13" x14ac:dyDescent="0.25">
      <c r="L378733" s="472"/>
      <c r="M378733" s="472"/>
    </row>
    <row r="378734" spans="12:13" x14ac:dyDescent="0.25">
      <c r="L378734" s="472"/>
      <c r="M378734" s="472"/>
    </row>
    <row r="378735" spans="12:13" x14ac:dyDescent="0.25">
      <c r="L378735" s="472"/>
      <c r="M378735" s="472"/>
    </row>
    <row r="378807" spans="12:13" x14ac:dyDescent="0.25">
      <c r="L378807" s="472"/>
      <c r="M378807" s="472"/>
    </row>
    <row r="378808" spans="12:13" x14ac:dyDescent="0.25">
      <c r="L378808" s="472"/>
      <c r="M378808" s="472"/>
    </row>
    <row r="378809" spans="12:13" x14ac:dyDescent="0.25">
      <c r="L378809" s="472"/>
      <c r="M378809" s="472"/>
    </row>
    <row r="378881" spans="12:13" x14ac:dyDescent="0.25">
      <c r="L378881" s="472"/>
      <c r="M378881" s="472"/>
    </row>
    <row r="378882" spans="12:13" x14ac:dyDescent="0.25">
      <c r="L378882" s="472"/>
      <c r="M378882" s="472"/>
    </row>
    <row r="378883" spans="12:13" x14ac:dyDescent="0.25">
      <c r="L378883" s="472"/>
      <c r="M378883" s="472"/>
    </row>
    <row r="378955" spans="12:13" x14ac:dyDescent="0.25">
      <c r="L378955" s="472"/>
      <c r="M378955" s="472"/>
    </row>
    <row r="378956" spans="12:13" x14ac:dyDescent="0.25">
      <c r="L378956" s="472"/>
      <c r="M378956" s="472"/>
    </row>
    <row r="378957" spans="12:13" x14ac:dyDescent="0.25">
      <c r="L378957" s="472"/>
      <c r="M378957" s="472"/>
    </row>
    <row r="379029" spans="12:13" x14ac:dyDescent="0.25">
      <c r="L379029" s="472"/>
      <c r="M379029" s="472"/>
    </row>
    <row r="379030" spans="12:13" x14ac:dyDescent="0.25">
      <c r="L379030" s="472"/>
      <c r="M379030" s="472"/>
    </row>
    <row r="379031" spans="12:13" x14ac:dyDescent="0.25">
      <c r="L379031" s="472"/>
      <c r="M379031" s="472"/>
    </row>
    <row r="379103" spans="12:13" x14ac:dyDescent="0.25">
      <c r="L379103" s="472"/>
      <c r="M379103" s="472"/>
    </row>
    <row r="379104" spans="12:13" x14ac:dyDescent="0.25">
      <c r="L379104" s="472"/>
      <c r="M379104" s="472"/>
    </row>
    <row r="379105" spans="12:13" x14ac:dyDescent="0.25">
      <c r="L379105" s="472"/>
      <c r="M379105" s="472"/>
    </row>
    <row r="379177" spans="12:13" x14ac:dyDescent="0.25">
      <c r="L379177" s="472"/>
      <c r="M379177" s="472"/>
    </row>
    <row r="379178" spans="12:13" x14ac:dyDescent="0.25">
      <c r="L379178" s="472"/>
      <c r="M379178" s="472"/>
    </row>
    <row r="379179" spans="12:13" x14ac:dyDescent="0.25">
      <c r="L379179" s="472"/>
      <c r="M379179" s="472"/>
    </row>
    <row r="379251" spans="12:13" x14ac:dyDescent="0.25">
      <c r="L379251" s="472"/>
      <c r="M379251" s="472"/>
    </row>
    <row r="379252" spans="12:13" x14ac:dyDescent="0.25">
      <c r="L379252" s="472"/>
      <c r="M379252" s="472"/>
    </row>
    <row r="379253" spans="12:13" x14ac:dyDescent="0.25">
      <c r="L379253" s="472"/>
      <c r="M379253" s="472"/>
    </row>
    <row r="379325" spans="12:13" x14ac:dyDescent="0.25">
      <c r="L379325" s="472"/>
      <c r="M379325" s="472"/>
    </row>
    <row r="379326" spans="12:13" x14ac:dyDescent="0.25">
      <c r="L379326" s="472"/>
      <c r="M379326" s="472"/>
    </row>
    <row r="379327" spans="12:13" x14ac:dyDescent="0.25">
      <c r="L379327" s="472"/>
      <c r="M379327" s="472"/>
    </row>
    <row r="379399" spans="12:13" x14ac:dyDescent="0.25">
      <c r="L379399" s="472"/>
      <c r="M379399" s="472"/>
    </row>
    <row r="379400" spans="12:13" x14ac:dyDescent="0.25">
      <c r="L379400" s="472"/>
      <c r="M379400" s="472"/>
    </row>
    <row r="379401" spans="12:13" x14ac:dyDescent="0.25">
      <c r="L379401" s="472"/>
      <c r="M379401" s="472"/>
    </row>
    <row r="379473" spans="12:13" x14ac:dyDescent="0.25">
      <c r="L379473" s="472"/>
      <c r="M379473" s="472"/>
    </row>
    <row r="379474" spans="12:13" x14ac:dyDescent="0.25">
      <c r="L379474" s="472"/>
      <c r="M379474" s="472"/>
    </row>
    <row r="379475" spans="12:13" x14ac:dyDescent="0.25">
      <c r="L379475" s="472"/>
      <c r="M379475" s="472"/>
    </row>
    <row r="379547" spans="12:13" x14ac:dyDescent="0.25">
      <c r="L379547" s="472"/>
      <c r="M379547" s="472"/>
    </row>
    <row r="379548" spans="12:13" x14ac:dyDescent="0.25">
      <c r="L379548" s="472"/>
      <c r="M379548" s="472"/>
    </row>
    <row r="379549" spans="12:13" x14ac:dyDescent="0.25">
      <c r="L379549" s="472"/>
      <c r="M379549" s="472"/>
    </row>
    <row r="379621" spans="12:13" x14ac:dyDescent="0.25">
      <c r="L379621" s="472"/>
      <c r="M379621" s="472"/>
    </row>
    <row r="379622" spans="12:13" x14ac:dyDescent="0.25">
      <c r="L379622" s="472"/>
      <c r="M379622" s="472"/>
    </row>
    <row r="379623" spans="12:13" x14ac:dyDescent="0.25">
      <c r="L379623" s="472"/>
      <c r="M379623" s="472"/>
    </row>
    <row r="379695" spans="12:13" x14ac:dyDescent="0.25">
      <c r="L379695" s="472"/>
      <c r="M379695" s="472"/>
    </row>
    <row r="379696" spans="12:13" x14ac:dyDescent="0.25">
      <c r="L379696" s="472"/>
      <c r="M379696" s="472"/>
    </row>
    <row r="379697" spans="12:13" x14ac:dyDescent="0.25">
      <c r="L379697" s="472"/>
      <c r="M379697" s="472"/>
    </row>
    <row r="379769" spans="12:13" x14ac:dyDescent="0.25">
      <c r="L379769" s="472"/>
      <c r="M379769" s="472"/>
    </row>
    <row r="379770" spans="12:13" x14ac:dyDescent="0.25">
      <c r="L379770" s="472"/>
      <c r="M379770" s="472"/>
    </row>
    <row r="379771" spans="12:13" x14ac:dyDescent="0.25">
      <c r="L379771" s="472"/>
      <c r="M379771" s="472"/>
    </row>
    <row r="379843" spans="12:13" x14ac:dyDescent="0.25">
      <c r="L379843" s="472"/>
      <c r="M379843" s="472"/>
    </row>
    <row r="379844" spans="12:13" x14ac:dyDescent="0.25">
      <c r="L379844" s="472"/>
      <c r="M379844" s="472"/>
    </row>
    <row r="379845" spans="12:13" x14ac:dyDescent="0.25">
      <c r="L379845" s="472"/>
      <c r="M379845" s="472"/>
    </row>
    <row r="379917" spans="12:13" x14ac:dyDescent="0.25">
      <c r="L379917" s="472"/>
      <c r="M379917" s="472"/>
    </row>
    <row r="379918" spans="12:13" x14ac:dyDescent="0.25">
      <c r="L379918" s="472"/>
      <c r="M379918" s="472"/>
    </row>
    <row r="379919" spans="12:13" x14ac:dyDescent="0.25">
      <c r="L379919" s="472"/>
      <c r="M379919" s="472"/>
    </row>
    <row r="379991" spans="12:13" x14ac:dyDescent="0.25">
      <c r="L379991" s="472"/>
      <c r="M379991" s="472"/>
    </row>
    <row r="379992" spans="12:13" x14ac:dyDescent="0.25">
      <c r="L379992" s="472"/>
      <c r="M379992" s="472"/>
    </row>
    <row r="379993" spans="12:13" x14ac:dyDescent="0.25">
      <c r="L379993" s="472"/>
      <c r="M379993" s="472"/>
    </row>
    <row r="380065" spans="12:13" x14ac:dyDescent="0.25">
      <c r="L380065" s="472"/>
      <c r="M380065" s="472"/>
    </row>
    <row r="380066" spans="12:13" x14ac:dyDescent="0.25">
      <c r="L380066" s="472"/>
      <c r="M380066" s="472"/>
    </row>
    <row r="380067" spans="12:13" x14ac:dyDescent="0.25">
      <c r="L380067" s="472"/>
      <c r="M380067" s="472"/>
    </row>
    <row r="380139" spans="12:13" x14ac:dyDescent="0.25">
      <c r="L380139" s="472"/>
      <c r="M380139" s="472"/>
    </row>
    <row r="380140" spans="12:13" x14ac:dyDescent="0.25">
      <c r="L380140" s="472"/>
      <c r="M380140" s="472"/>
    </row>
    <row r="380141" spans="12:13" x14ac:dyDescent="0.25">
      <c r="L380141" s="472"/>
      <c r="M380141" s="472"/>
    </row>
    <row r="380213" spans="12:13" x14ac:dyDescent="0.25">
      <c r="L380213" s="472"/>
      <c r="M380213" s="472"/>
    </row>
    <row r="380214" spans="12:13" x14ac:dyDescent="0.25">
      <c r="L380214" s="472"/>
      <c r="M380214" s="472"/>
    </row>
    <row r="380215" spans="12:13" x14ac:dyDescent="0.25">
      <c r="L380215" s="472"/>
      <c r="M380215" s="472"/>
    </row>
    <row r="380287" spans="12:13" x14ac:dyDescent="0.25">
      <c r="L380287" s="472"/>
      <c r="M380287" s="472"/>
    </row>
    <row r="380288" spans="12:13" x14ac:dyDescent="0.25">
      <c r="L380288" s="472"/>
      <c r="M380288" s="472"/>
    </row>
    <row r="380289" spans="12:13" x14ac:dyDescent="0.25">
      <c r="L380289" s="472"/>
      <c r="M380289" s="472"/>
    </row>
    <row r="380361" spans="12:13" x14ac:dyDescent="0.25">
      <c r="L380361" s="472"/>
      <c r="M380361" s="472"/>
    </row>
    <row r="380362" spans="12:13" x14ac:dyDescent="0.25">
      <c r="L380362" s="472"/>
      <c r="M380362" s="472"/>
    </row>
    <row r="380363" spans="12:13" x14ac:dyDescent="0.25">
      <c r="L380363" s="472"/>
      <c r="M380363" s="472"/>
    </row>
    <row r="380435" spans="12:13" x14ac:dyDescent="0.25">
      <c r="L380435" s="472"/>
      <c r="M380435" s="472"/>
    </row>
    <row r="380436" spans="12:13" x14ac:dyDescent="0.25">
      <c r="L380436" s="472"/>
      <c r="M380436" s="472"/>
    </row>
    <row r="380437" spans="12:13" x14ac:dyDescent="0.25">
      <c r="L380437" s="472"/>
      <c r="M380437" s="472"/>
    </row>
    <row r="380509" spans="12:13" x14ac:dyDescent="0.25">
      <c r="L380509" s="472"/>
      <c r="M380509" s="472"/>
    </row>
    <row r="380510" spans="12:13" x14ac:dyDescent="0.25">
      <c r="L380510" s="472"/>
      <c r="M380510" s="472"/>
    </row>
    <row r="380511" spans="12:13" x14ac:dyDescent="0.25">
      <c r="L380511" s="472"/>
      <c r="M380511" s="472"/>
    </row>
    <row r="380583" spans="12:13" x14ac:dyDescent="0.25">
      <c r="L380583" s="472"/>
      <c r="M380583" s="472"/>
    </row>
    <row r="380584" spans="12:13" x14ac:dyDescent="0.25">
      <c r="L380584" s="472"/>
      <c r="M380584" s="472"/>
    </row>
    <row r="380585" spans="12:13" x14ac:dyDescent="0.25">
      <c r="L380585" s="472"/>
      <c r="M380585" s="472"/>
    </row>
    <row r="380657" spans="12:13" x14ac:dyDescent="0.25">
      <c r="L380657" s="472"/>
      <c r="M380657" s="472"/>
    </row>
    <row r="380658" spans="12:13" x14ac:dyDescent="0.25">
      <c r="L380658" s="472"/>
      <c r="M380658" s="472"/>
    </row>
    <row r="380659" spans="12:13" x14ac:dyDescent="0.25">
      <c r="L380659" s="472"/>
      <c r="M380659" s="472"/>
    </row>
    <row r="380731" spans="12:13" x14ac:dyDescent="0.25">
      <c r="L380731" s="472"/>
      <c r="M380731" s="472"/>
    </row>
    <row r="380732" spans="12:13" x14ac:dyDescent="0.25">
      <c r="L380732" s="472"/>
      <c r="M380732" s="472"/>
    </row>
    <row r="380733" spans="12:13" x14ac:dyDescent="0.25">
      <c r="L380733" s="472"/>
      <c r="M380733" s="472"/>
    </row>
    <row r="380805" spans="12:13" x14ac:dyDescent="0.25">
      <c r="L380805" s="472"/>
      <c r="M380805" s="472"/>
    </row>
    <row r="380806" spans="12:13" x14ac:dyDescent="0.25">
      <c r="L380806" s="472"/>
      <c r="M380806" s="472"/>
    </row>
    <row r="380807" spans="12:13" x14ac:dyDescent="0.25">
      <c r="L380807" s="472"/>
      <c r="M380807" s="472"/>
    </row>
    <row r="380879" spans="12:13" x14ac:dyDescent="0.25">
      <c r="L380879" s="472"/>
      <c r="M380879" s="472"/>
    </row>
    <row r="380880" spans="12:13" x14ac:dyDescent="0.25">
      <c r="L380880" s="472"/>
      <c r="M380880" s="472"/>
    </row>
    <row r="380881" spans="12:13" x14ac:dyDescent="0.25">
      <c r="L380881" s="472"/>
      <c r="M380881" s="472"/>
    </row>
    <row r="380953" spans="12:13" x14ac:dyDescent="0.25">
      <c r="L380953" s="472"/>
      <c r="M380953" s="472"/>
    </row>
    <row r="380954" spans="12:13" x14ac:dyDescent="0.25">
      <c r="L380954" s="472"/>
      <c r="M380954" s="472"/>
    </row>
    <row r="380955" spans="12:13" x14ac:dyDescent="0.25">
      <c r="L380955" s="472"/>
      <c r="M380955" s="472"/>
    </row>
    <row r="381027" spans="12:13" x14ac:dyDescent="0.25">
      <c r="L381027" s="472"/>
      <c r="M381027" s="472"/>
    </row>
    <row r="381028" spans="12:13" x14ac:dyDescent="0.25">
      <c r="L381028" s="472"/>
      <c r="M381028" s="472"/>
    </row>
    <row r="381029" spans="12:13" x14ac:dyDescent="0.25">
      <c r="L381029" s="472"/>
      <c r="M381029" s="472"/>
    </row>
    <row r="381101" spans="12:13" x14ac:dyDescent="0.25">
      <c r="L381101" s="472"/>
      <c r="M381101" s="472"/>
    </row>
    <row r="381102" spans="12:13" x14ac:dyDescent="0.25">
      <c r="L381102" s="472"/>
      <c r="M381102" s="472"/>
    </row>
    <row r="381103" spans="12:13" x14ac:dyDescent="0.25">
      <c r="L381103" s="472"/>
      <c r="M381103" s="472"/>
    </row>
    <row r="381175" spans="12:13" x14ac:dyDescent="0.25">
      <c r="L381175" s="472"/>
      <c r="M381175" s="472"/>
    </row>
    <row r="381176" spans="12:13" x14ac:dyDescent="0.25">
      <c r="L381176" s="472"/>
      <c r="M381176" s="472"/>
    </row>
    <row r="381177" spans="12:13" x14ac:dyDescent="0.25">
      <c r="L381177" s="472"/>
      <c r="M381177" s="472"/>
    </row>
    <row r="381249" spans="12:13" x14ac:dyDescent="0.25">
      <c r="L381249" s="472"/>
      <c r="M381249" s="472"/>
    </row>
    <row r="381250" spans="12:13" x14ac:dyDescent="0.25">
      <c r="L381250" s="472"/>
      <c r="M381250" s="472"/>
    </row>
    <row r="381251" spans="12:13" x14ac:dyDescent="0.25">
      <c r="L381251" s="472"/>
      <c r="M381251" s="472"/>
    </row>
    <row r="381323" spans="12:13" x14ac:dyDescent="0.25">
      <c r="L381323" s="472"/>
      <c r="M381323" s="472"/>
    </row>
    <row r="381324" spans="12:13" x14ac:dyDescent="0.25">
      <c r="L381324" s="472"/>
      <c r="M381324" s="472"/>
    </row>
    <row r="381325" spans="12:13" x14ac:dyDescent="0.25">
      <c r="L381325" s="472"/>
      <c r="M381325" s="472"/>
    </row>
    <row r="381397" spans="12:13" x14ac:dyDescent="0.25">
      <c r="L381397" s="472"/>
      <c r="M381397" s="472"/>
    </row>
    <row r="381398" spans="12:13" x14ac:dyDescent="0.25">
      <c r="L381398" s="472"/>
      <c r="M381398" s="472"/>
    </row>
    <row r="381399" spans="12:13" x14ac:dyDescent="0.25">
      <c r="L381399" s="472"/>
      <c r="M381399" s="472"/>
    </row>
    <row r="381471" spans="12:13" x14ac:dyDescent="0.25">
      <c r="L381471" s="472"/>
      <c r="M381471" s="472"/>
    </row>
    <row r="381472" spans="12:13" x14ac:dyDescent="0.25">
      <c r="L381472" s="472"/>
      <c r="M381472" s="472"/>
    </row>
    <row r="381473" spans="12:13" x14ac:dyDescent="0.25">
      <c r="L381473" s="472"/>
      <c r="M381473" s="472"/>
    </row>
    <row r="381545" spans="12:13" x14ac:dyDescent="0.25">
      <c r="L381545" s="472"/>
      <c r="M381545" s="472"/>
    </row>
    <row r="381546" spans="12:13" x14ac:dyDescent="0.25">
      <c r="L381546" s="472"/>
      <c r="M381546" s="472"/>
    </row>
    <row r="381547" spans="12:13" x14ac:dyDescent="0.25">
      <c r="L381547" s="472"/>
      <c r="M381547" s="472"/>
    </row>
    <row r="381619" spans="12:13" x14ac:dyDescent="0.25">
      <c r="L381619" s="472"/>
      <c r="M381619" s="472"/>
    </row>
    <row r="381620" spans="12:13" x14ac:dyDescent="0.25">
      <c r="L381620" s="472"/>
      <c r="M381620" s="472"/>
    </row>
    <row r="381621" spans="12:13" x14ac:dyDescent="0.25">
      <c r="L381621" s="472"/>
      <c r="M381621" s="472"/>
    </row>
    <row r="381693" spans="12:13" x14ac:dyDescent="0.25">
      <c r="L381693" s="472"/>
      <c r="M381693" s="472"/>
    </row>
    <row r="381694" spans="12:13" x14ac:dyDescent="0.25">
      <c r="L381694" s="472"/>
      <c r="M381694" s="472"/>
    </row>
    <row r="381695" spans="12:13" x14ac:dyDescent="0.25">
      <c r="L381695" s="472"/>
      <c r="M381695" s="472"/>
    </row>
    <row r="381767" spans="12:13" x14ac:dyDescent="0.25">
      <c r="L381767" s="472"/>
      <c r="M381767" s="472"/>
    </row>
    <row r="381768" spans="12:13" x14ac:dyDescent="0.25">
      <c r="L381768" s="472"/>
      <c r="M381768" s="472"/>
    </row>
    <row r="381769" spans="12:13" x14ac:dyDescent="0.25">
      <c r="L381769" s="472"/>
      <c r="M381769" s="472"/>
    </row>
    <row r="381841" spans="12:13" x14ac:dyDescent="0.25">
      <c r="L381841" s="472"/>
      <c r="M381841" s="472"/>
    </row>
    <row r="381842" spans="12:13" x14ac:dyDescent="0.25">
      <c r="L381842" s="472"/>
      <c r="M381842" s="472"/>
    </row>
    <row r="381843" spans="12:13" x14ac:dyDescent="0.25">
      <c r="L381843" s="472"/>
      <c r="M381843" s="472"/>
    </row>
    <row r="381915" spans="12:13" x14ac:dyDescent="0.25">
      <c r="L381915" s="472"/>
      <c r="M381915" s="472"/>
    </row>
    <row r="381916" spans="12:13" x14ac:dyDescent="0.25">
      <c r="L381916" s="472"/>
      <c r="M381916" s="472"/>
    </row>
    <row r="381917" spans="12:13" x14ac:dyDescent="0.25">
      <c r="L381917" s="472"/>
      <c r="M381917" s="472"/>
    </row>
    <row r="381989" spans="12:13" x14ac:dyDescent="0.25">
      <c r="L381989" s="472"/>
      <c r="M381989" s="472"/>
    </row>
    <row r="381990" spans="12:13" x14ac:dyDescent="0.25">
      <c r="L381990" s="472"/>
      <c r="M381990" s="472"/>
    </row>
    <row r="381991" spans="12:13" x14ac:dyDescent="0.25">
      <c r="L381991" s="472"/>
      <c r="M381991" s="472"/>
    </row>
    <row r="382063" spans="12:13" x14ac:dyDescent="0.25">
      <c r="L382063" s="472"/>
      <c r="M382063" s="472"/>
    </row>
    <row r="382064" spans="12:13" x14ac:dyDescent="0.25">
      <c r="L382064" s="472"/>
      <c r="M382064" s="472"/>
    </row>
    <row r="382065" spans="12:13" x14ac:dyDescent="0.25">
      <c r="L382065" s="472"/>
      <c r="M382065" s="472"/>
    </row>
    <row r="382137" spans="12:13" x14ac:dyDescent="0.25">
      <c r="L382137" s="472"/>
      <c r="M382137" s="472"/>
    </row>
    <row r="382138" spans="12:13" x14ac:dyDescent="0.25">
      <c r="L382138" s="472"/>
      <c r="M382138" s="472"/>
    </row>
    <row r="382139" spans="12:13" x14ac:dyDescent="0.25">
      <c r="L382139" s="472"/>
      <c r="M382139" s="472"/>
    </row>
    <row r="382211" spans="12:13" x14ac:dyDescent="0.25">
      <c r="L382211" s="472"/>
      <c r="M382211" s="472"/>
    </row>
    <row r="382212" spans="12:13" x14ac:dyDescent="0.25">
      <c r="L382212" s="472"/>
      <c r="M382212" s="472"/>
    </row>
    <row r="382213" spans="12:13" x14ac:dyDescent="0.25">
      <c r="L382213" s="472"/>
      <c r="M382213" s="472"/>
    </row>
    <row r="382285" spans="12:13" x14ac:dyDescent="0.25">
      <c r="L382285" s="472"/>
      <c r="M382285" s="472"/>
    </row>
    <row r="382286" spans="12:13" x14ac:dyDescent="0.25">
      <c r="L382286" s="472"/>
      <c r="M382286" s="472"/>
    </row>
    <row r="382287" spans="12:13" x14ac:dyDescent="0.25">
      <c r="L382287" s="472"/>
      <c r="M382287" s="472"/>
    </row>
    <row r="382359" spans="12:13" x14ac:dyDescent="0.25">
      <c r="L382359" s="472"/>
      <c r="M382359" s="472"/>
    </row>
    <row r="382360" spans="12:13" x14ac:dyDescent="0.25">
      <c r="L382360" s="472"/>
      <c r="M382360" s="472"/>
    </row>
    <row r="382361" spans="12:13" x14ac:dyDescent="0.25">
      <c r="L382361" s="472"/>
      <c r="M382361" s="472"/>
    </row>
    <row r="382433" spans="12:13" x14ac:dyDescent="0.25">
      <c r="L382433" s="472"/>
      <c r="M382433" s="472"/>
    </row>
    <row r="382434" spans="12:13" x14ac:dyDescent="0.25">
      <c r="L382434" s="472"/>
      <c r="M382434" s="472"/>
    </row>
    <row r="382435" spans="12:13" x14ac:dyDescent="0.25">
      <c r="L382435" s="472"/>
      <c r="M382435" s="472"/>
    </row>
    <row r="382507" spans="12:13" x14ac:dyDescent="0.25">
      <c r="L382507" s="472"/>
      <c r="M382507" s="472"/>
    </row>
    <row r="382508" spans="12:13" x14ac:dyDescent="0.25">
      <c r="L382508" s="472"/>
      <c r="M382508" s="472"/>
    </row>
    <row r="382509" spans="12:13" x14ac:dyDescent="0.25">
      <c r="L382509" s="472"/>
      <c r="M382509" s="472"/>
    </row>
    <row r="382581" spans="12:13" x14ac:dyDescent="0.25">
      <c r="L382581" s="472"/>
      <c r="M382581" s="472"/>
    </row>
    <row r="382582" spans="12:13" x14ac:dyDescent="0.25">
      <c r="L382582" s="472"/>
      <c r="M382582" s="472"/>
    </row>
    <row r="382583" spans="12:13" x14ac:dyDescent="0.25">
      <c r="L382583" s="472"/>
      <c r="M382583" s="472"/>
    </row>
    <row r="382655" spans="12:13" x14ac:dyDescent="0.25">
      <c r="L382655" s="472"/>
      <c r="M382655" s="472"/>
    </row>
    <row r="382656" spans="12:13" x14ac:dyDescent="0.25">
      <c r="L382656" s="472"/>
      <c r="M382656" s="472"/>
    </row>
    <row r="382657" spans="12:13" x14ac:dyDescent="0.25">
      <c r="L382657" s="472"/>
      <c r="M382657" s="472"/>
    </row>
    <row r="382729" spans="12:13" x14ac:dyDescent="0.25">
      <c r="L382729" s="472"/>
      <c r="M382729" s="472"/>
    </row>
    <row r="382730" spans="12:13" x14ac:dyDescent="0.25">
      <c r="L382730" s="472"/>
      <c r="M382730" s="472"/>
    </row>
    <row r="382731" spans="12:13" x14ac:dyDescent="0.25">
      <c r="L382731" s="472"/>
      <c r="M382731" s="472"/>
    </row>
    <row r="382803" spans="12:13" x14ac:dyDescent="0.25">
      <c r="L382803" s="472"/>
      <c r="M382803" s="472"/>
    </row>
    <row r="382804" spans="12:13" x14ac:dyDescent="0.25">
      <c r="L382804" s="472"/>
      <c r="M382804" s="472"/>
    </row>
    <row r="382805" spans="12:13" x14ac:dyDescent="0.25">
      <c r="L382805" s="472"/>
      <c r="M382805" s="472"/>
    </row>
    <row r="382877" spans="12:13" x14ac:dyDescent="0.25">
      <c r="L382877" s="472"/>
      <c r="M382877" s="472"/>
    </row>
    <row r="382878" spans="12:13" x14ac:dyDescent="0.25">
      <c r="L382878" s="472"/>
      <c r="M382878" s="472"/>
    </row>
    <row r="382879" spans="12:13" x14ac:dyDescent="0.25">
      <c r="L382879" s="472"/>
      <c r="M382879" s="472"/>
    </row>
    <row r="382951" spans="12:13" x14ac:dyDescent="0.25">
      <c r="L382951" s="472"/>
      <c r="M382951" s="472"/>
    </row>
    <row r="382952" spans="12:13" x14ac:dyDescent="0.25">
      <c r="L382952" s="472"/>
      <c r="M382952" s="472"/>
    </row>
    <row r="382953" spans="12:13" x14ac:dyDescent="0.25">
      <c r="L382953" s="472"/>
      <c r="M382953" s="472"/>
    </row>
    <row r="383025" spans="12:13" x14ac:dyDescent="0.25">
      <c r="L383025" s="472"/>
      <c r="M383025" s="472"/>
    </row>
    <row r="383026" spans="12:13" x14ac:dyDescent="0.25">
      <c r="L383026" s="472"/>
      <c r="M383026" s="472"/>
    </row>
    <row r="383027" spans="12:13" x14ac:dyDescent="0.25">
      <c r="L383027" s="472"/>
      <c r="M383027" s="472"/>
    </row>
    <row r="383099" spans="12:13" x14ac:dyDescent="0.25">
      <c r="L383099" s="472"/>
      <c r="M383099" s="472"/>
    </row>
    <row r="383100" spans="12:13" x14ac:dyDescent="0.25">
      <c r="L383100" s="472"/>
      <c r="M383100" s="472"/>
    </row>
    <row r="383101" spans="12:13" x14ac:dyDescent="0.25">
      <c r="L383101" s="472"/>
      <c r="M383101" s="472"/>
    </row>
    <row r="383173" spans="12:13" x14ac:dyDescent="0.25">
      <c r="L383173" s="472"/>
      <c r="M383173" s="472"/>
    </row>
    <row r="383174" spans="12:13" x14ac:dyDescent="0.25">
      <c r="L383174" s="472"/>
      <c r="M383174" s="472"/>
    </row>
    <row r="383175" spans="12:13" x14ac:dyDescent="0.25">
      <c r="L383175" s="472"/>
      <c r="M383175" s="472"/>
    </row>
    <row r="383247" spans="12:13" x14ac:dyDescent="0.25">
      <c r="L383247" s="472"/>
      <c r="M383247" s="472"/>
    </row>
    <row r="383248" spans="12:13" x14ac:dyDescent="0.25">
      <c r="L383248" s="472"/>
      <c r="M383248" s="472"/>
    </row>
    <row r="383249" spans="12:13" x14ac:dyDescent="0.25">
      <c r="L383249" s="472"/>
      <c r="M383249" s="472"/>
    </row>
    <row r="383321" spans="12:13" x14ac:dyDescent="0.25">
      <c r="L383321" s="472"/>
      <c r="M383321" s="472"/>
    </row>
    <row r="383322" spans="12:13" x14ac:dyDescent="0.25">
      <c r="L383322" s="472"/>
      <c r="M383322" s="472"/>
    </row>
    <row r="383323" spans="12:13" x14ac:dyDescent="0.25">
      <c r="L383323" s="472"/>
      <c r="M383323" s="472"/>
    </row>
    <row r="383395" spans="12:13" x14ac:dyDescent="0.25">
      <c r="L383395" s="472"/>
      <c r="M383395" s="472"/>
    </row>
    <row r="383396" spans="12:13" x14ac:dyDescent="0.25">
      <c r="L383396" s="472"/>
      <c r="M383396" s="472"/>
    </row>
    <row r="383397" spans="12:13" x14ac:dyDescent="0.25">
      <c r="L383397" s="472"/>
      <c r="M383397" s="472"/>
    </row>
    <row r="383469" spans="12:13" x14ac:dyDescent="0.25">
      <c r="L383469" s="472"/>
      <c r="M383469" s="472"/>
    </row>
    <row r="383470" spans="12:13" x14ac:dyDescent="0.25">
      <c r="L383470" s="472"/>
      <c r="M383470" s="472"/>
    </row>
    <row r="383471" spans="12:13" x14ac:dyDescent="0.25">
      <c r="L383471" s="472"/>
      <c r="M383471" s="472"/>
    </row>
    <row r="383543" spans="12:13" x14ac:dyDescent="0.25">
      <c r="L383543" s="472"/>
      <c r="M383543" s="472"/>
    </row>
    <row r="383544" spans="12:13" x14ac:dyDescent="0.25">
      <c r="L383544" s="472"/>
      <c r="M383544" s="472"/>
    </row>
    <row r="383545" spans="12:13" x14ac:dyDescent="0.25">
      <c r="L383545" s="472"/>
      <c r="M383545" s="472"/>
    </row>
    <row r="383617" spans="12:13" x14ac:dyDescent="0.25">
      <c r="L383617" s="472"/>
      <c r="M383617" s="472"/>
    </row>
    <row r="383618" spans="12:13" x14ac:dyDescent="0.25">
      <c r="L383618" s="472"/>
      <c r="M383618" s="472"/>
    </row>
    <row r="383619" spans="12:13" x14ac:dyDescent="0.25">
      <c r="L383619" s="472"/>
      <c r="M383619" s="472"/>
    </row>
    <row r="383691" spans="12:13" x14ac:dyDescent="0.25">
      <c r="L383691" s="472"/>
      <c r="M383691" s="472"/>
    </row>
    <row r="383692" spans="12:13" x14ac:dyDescent="0.25">
      <c r="L383692" s="472"/>
      <c r="M383692" s="472"/>
    </row>
    <row r="383693" spans="12:13" x14ac:dyDescent="0.25">
      <c r="L383693" s="472"/>
      <c r="M383693" s="472"/>
    </row>
    <row r="383765" spans="12:13" x14ac:dyDescent="0.25">
      <c r="L383765" s="472"/>
      <c r="M383765" s="472"/>
    </row>
    <row r="383766" spans="12:13" x14ac:dyDescent="0.25">
      <c r="L383766" s="472"/>
      <c r="M383766" s="472"/>
    </row>
    <row r="383767" spans="12:13" x14ac:dyDescent="0.25">
      <c r="L383767" s="472"/>
      <c r="M383767" s="472"/>
    </row>
    <row r="383839" spans="12:13" x14ac:dyDescent="0.25">
      <c r="L383839" s="472"/>
      <c r="M383839" s="472"/>
    </row>
    <row r="383840" spans="12:13" x14ac:dyDescent="0.25">
      <c r="L383840" s="472"/>
      <c r="M383840" s="472"/>
    </row>
    <row r="383841" spans="12:13" x14ac:dyDescent="0.25">
      <c r="L383841" s="472"/>
      <c r="M383841" s="472"/>
    </row>
    <row r="383913" spans="12:13" x14ac:dyDescent="0.25">
      <c r="L383913" s="472"/>
      <c r="M383913" s="472"/>
    </row>
    <row r="383914" spans="12:13" x14ac:dyDescent="0.25">
      <c r="L383914" s="472"/>
      <c r="M383914" s="472"/>
    </row>
    <row r="383915" spans="12:13" x14ac:dyDescent="0.25">
      <c r="L383915" s="472"/>
      <c r="M383915" s="472"/>
    </row>
    <row r="383987" spans="12:13" x14ac:dyDescent="0.25">
      <c r="L383987" s="472"/>
      <c r="M383987" s="472"/>
    </row>
    <row r="383988" spans="12:13" x14ac:dyDescent="0.25">
      <c r="L383988" s="472"/>
      <c r="M383988" s="472"/>
    </row>
    <row r="383989" spans="12:13" x14ac:dyDescent="0.25">
      <c r="L383989" s="472"/>
      <c r="M383989" s="472"/>
    </row>
    <row r="384061" spans="12:13" x14ac:dyDescent="0.25">
      <c r="L384061" s="472"/>
      <c r="M384061" s="472"/>
    </row>
    <row r="384062" spans="12:13" x14ac:dyDescent="0.25">
      <c r="L384062" s="472"/>
      <c r="M384062" s="472"/>
    </row>
    <row r="384063" spans="12:13" x14ac:dyDescent="0.25">
      <c r="L384063" s="472"/>
      <c r="M384063" s="472"/>
    </row>
    <row r="384135" spans="12:13" x14ac:dyDescent="0.25">
      <c r="L384135" s="472"/>
      <c r="M384135" s="472"/>
    </row>
    <row r="384136" spans="12:13" x14ac:dyDescent="0.25">
      <c r="L384136" s="472"/>
      <c r="M384136" s="472"/>
    </row>
    <row r="384137" spans="12:13" x14ac:dyDescent="0.25">
      <c r="L384137" s="472"/>
      <c r="M384137" s="472"/>
    </row>
    <row r="384209" spans="12:13" x14ac:dyDescent="0.25">
      <c r="L384209" s="472"/>
      <c r="M384209" s="472"/>
    </row>
    <row r="384210" spans="12:13" x14ac:dyDescent="0.25">
      <c r="L384210" s="472"/>
      <c r="M384210" s="472"/>
    </row>
    <row r="384211" spans="12:13" x14ac:dyDescent="0.25">
      <c r="L384211" s="472"/>
      <c r="M384211" s="472"/>
    </row>
    <row r="384283" spans="12:13" x14ac:dyDescent="0.25">
      <c r="L384283" s="472"/>
      <c r="M384283" s="472"/>
    </row>
    <row r="384284" spans="12:13" x14ac:dyDescent="0.25">
      <c r="L384284" s="472"/>
      <c r="M384284" s="472"/>
    </row>
    <row r="384285" spans="12:13" x14ac:dyDescent="0.25">
      <c r="L384285" s="472"/>
      <c r="M384285" s="472"/>
    </row>
    <row r="384357" spans="12:13" x14ac:dyDescent="0.25">
      <c r="L384357" s="472"/>
      <c r="M384357" s="472"/>
    </row>
    <row r="384358" spans="12:13" x14ac:dyDescent="0.25">
      <c r="L384358" s="472"/>
      <c r="M384358" s="472"/>
    </row>
    <row r="384359" spans="12:13" x14ac:dyDescent="0.25">
      <c r="L384359" s="472"/>
      <c r="M384359" s="472"/>
    </row>
    <row r="384431" spans="12:13" x14ac:dyDescent="0.25">
      <c r="L384431" s="472"/>
      <c r="M384431" s="472"/>
    </row>
    <row r="384432" spans="12:13" x14ac:dyDescent="0.25">
      <c r="L384432" s="472"/>
      <c r="M384432" s="472"/>
    </row>
    <row r="384433" spans="12:13" x14ac:dyDescent="0.25">
      <c r="L384433" s="472"/>
      <c r="M384433" s="472"/>
    </row>
    <row r="384505" spans="12:13" x14ac:dyDescent="0.25">
      <c r="L384505" s="472"/>
      <c r="M384505" s="472"/>
    </row>
    <row r="384506" spans="12:13" x14ac:dyDescent="0.25">
      <c r="L384506" s="472"/>
      <c r="M384506" s="472"/>
    </row>
    <row r="384507" spans="12:13" x14ac:dyDescent="0.25">
      <c r="L384507" s="472"/>
      <c r="M384507" s="472"/>
    </row>
    <row r="384579" spans="12:13" x14ac:dyDescent="0.25">
      <c r="L384579" s="472"/>
      <c r="M384579" s="472"/>
    </row>
    <row r="384580" spans="12:13" x14ac:dyDescent="0.25">
      <c r="L384580" s="472"/>
      <c r="M384580" s="472"/>
    </row>
    <row r="384581" spans="12:13" x14ac:dyDescent="0.25">
      <c r="L384581" s="472"/>
      <c r="M384581" s="472"/>
    </row>
    <row r="384653" spans="12:13" x14ac:dyDescent="0.25">
      <c r="L384653" s="472"/>
      <c r="M384653" s="472"/>
    </row>
    <row r="384654" spans="12:13" x14ac:dyDescent="0.25">
      <c r="L384654" s="472"/>
      <c r="M384654" s="472"/>
    </row>
    <row r="384655" spans="12:13" x14ac:dyDescent="0.25">
      <c r="L384655" s="472"/>
      <c r="M384655" s="472"/>
    </row>
    <row r="384727" spans="12:13" x14ac:dyDescent="0.25">
      <c r="L384727" s="472"/>
      <c r="M384727" s="472"/>
    </row>
    <row r="384728" spans="12:13" x14ac:dyDescent="0.25">
      <c r="L384728" s="472"/>
      <c r="M384728" s="472"/>
    </row>
    <row r="384729" spans="12:13" x14ac:dyDescent="0.25">
      <c r="L384729" s="472"/>
      <c r="M384729" s="472"/>
    </row>
    <row r="384801" spans="12:13" x14ac:dyDescent="0.25">
      <c r="L384801" s="472"/>
      <c r="M384801" s="472"/>
    </row>
    <row r="384802" spans="12:13" x14ac:dyDescent="0.25">
      <c r="L384802" s="472"/>
      <c r="M384802" s="472"/>
    </row>
    <row r="384803" spans="12:13" x14ac:dyDescent="0.25">
      <c r="L384803" s="472"/>
      <c r="M384803" s="472"/>
    </row>
    <row r="384875" spans="12:13" x14ac:dyDescent="0.25">
      <c r="L384875" s="472"/>
      <c r="M384875" s="472"/>
    </row>
    <row r="384876" spans="12:13" x14ac:dyDescent="0.25">
      <c r="L384876" s="472"/>
      <c r="M384876" s="472"/>
    </row>
    <row r="384877" spans="12:13" x14ac:dyDescent="0.25">
      <c r="L384877" s="472"/>
      <c r="M384877" s="472"/>
    </row>
    <row r="384949" spans="12:13" x14ac:dyDescent="0.25">
      <c r="L384949" s="472"/>
      <c r="M384949" s="472"/>
    </row>
    <row r="384950" spans="12:13" x14ac:dyDescent="0.25">
      <c r="L384950" s="472"/>
      <c r="M384950" s="472"/>
    </row>
    <row r="384951" spans="12:13" x14ac:dyDescent="0.25">
      <c r="L384951" s="472"/>
      <c r="M384951" s="472"/>
    </row>
    <row r="385023" spans="12:13" x14ac:dyDescent="0.25">
      <c r="L385023" s="472"/>
      <c r="M385023" s="472"/>
    </row>
    <row r="385024" spans="12:13" x14ac:dyDescent="0.25">
      <c r="L385024" s="472"/>
      <c r="M385024" s="472"/>
    </row>
    <row r="385025" spans="12:13" x14ac:dyDescent="0.25">
      <c r="L385025" s="472"/>
      <c r="M385025" s="472"/>
    </row>
    <row r="385097" spans="12:13" x14ac:dyDescent="0.25">
      <c r="L385097" s="472"/>
      <c r="M385097" s="472"/>
    </row>
    <row r="385098" spans="12:13" x14ac:dyDescent="0.25">
      <c r="L385098" s="472"/>
      <c r="M385098" s="472"/>
    </row>
    <row r="385099" spans="12:13" x14ac:dyDescent="0.25">
      <c r="L385099" s="472"/>
      <c r="M385099" s="472"/>
    </row>
    <row r="385171" spans="12:13" x14ac:dyDescent="0.25">
      <c r="L385171" s="472"/>
      <c r="M385171" s="472"/>
    </row>
    <row r="385172" spans="12:13" x14ac:dyDescent="0.25">
      <c r="L385172" s="472"/>
      <c r="M385172" s="472"/>
    </row>
    <row r="385173" spans="12:13" x14ac:dyDescent="0.25">
      <c r="L385173" s="472"/>
      <c r="M385173" s="472"/>
    </row>
    <row r="385245" spans="12:13" x14ac:dyDescent="0.25">
      <c r="L385245" s="472"/>
      <c r="M385245" s="472"/>
    </row>
    <row r="385246" spans="12:13" x14ac:dyDescent="0.25">
      <c r="L385246" s="472"/>
      <c r="M385246" s="472"/>
    </row>
    <row r="385247" spans="12:13" x14ac:dyDescent="0.25">
      <c r="L385247" s="472"/>
      <c r="M385247" s="472"/>
    </row>
    <row r="385319" spans="12:13" x14ac:dyDescent="0.25">
      <c r="L385319" s="472"/>
      <c r="M385319" s="472"/>
    </row>
    <row r="385320" spans="12:13" x14ac:dyDescent="0.25">
      <c r="L385320" s="472"/>
      <c r="M385320" s="472"/>
    </row>
    <row r="385321" spans="12:13" x14ac:dyDescent="0.25">
      <c r="L385321" s="472"/>
      <c r="M385321" s="472"/>
    </row>
    <row r="385393" spans="12:13" x14ac:dyDescent="0.25">
      <c r="L385393" s="472"/>
      <c r="M385393" s="472"/>
    </row>
    <row r="385394" spans="12:13" x14ac:dyDescent="0.25">
      <c r="L385394" s="472"/>
      <c r="M385394" s="472"/>
    </row>
    <row r="385395" spans="12:13" x14ac:dyDescent="0.25">
      <c r="L385395" s="472"/>
      <c r="M385395" s="472"/>
    </row>
    <row r="385467" spans="12:13" x14ac:dyDescent="0.25">
      <c r="L385467" s="472"/>
      <c r="M385467" s="472"/>
    </row>
    <row r="385468" spans="12:13" x14ac:dyDescent="0.25">
      <c r="L385468" s="472"/>
      <c r="M385468" s="472"/>
    </row>
    <row r="385469" spans="12:13" x14ac:dyDescent="0.25">
      <c r="L385469" s="472"/>
      <c r="M385469" s="472"/>
    </row>
    <row r="385541" spans="12:13" x14ac:dyDescent="0.25">
      <c r="L385541" s="472"/>
      <c r="M385541" s="472"/>
    </row>
    <row r="385542" spans="12:13" x14ac:dyDescent="0.25">
      <c r="L385542" s="472"/>
      <c r="M385542" s="472"/>
    </row>
    <row r="385543" spans="12:13" x14ac:dyDescent="0.25">
      <c r="L385543" s="472"/>
      <c r="M385543" s="472"/>
    </row>
    <row r="385615" spans="12:13" x14ac:dyDescent="0.25">
      <c r="L385615" s="472"/>
      <c r="M385615" s="472"/>
    </row>
    <row r="385616" spans="12:13" x14ac:dyDescent="0.25">
      <c r="L385616" s="472"/>
      <c r="M385616" s="472"/>
    </row>
    <row r="385617" spans="12:13" x14ac:dyDescent="0.25">
      <c r="L385617" s="472"/>
      <c r="M385617" s="472"/>
    </row>
    <row r="385689" spans="12:13" x14ac:dyDescent="0.25">
      <c r="L385689" s="472"/>
      <c r="M385689" s="472"/>
    </row>
    <row r="385690" spans="12:13" x14ac:dyDescent="0.25">
      <c r="L385690" s="472"/>
      <c r="M385690" s="472"/>
    </row>
    <row r="385691" spans="12:13" x14ac:dyDescent="0.25">
      <c r="L385691" s="472"/>
      <c r="M385691" s="472"/>
    </row>
    <row r="385763" spans="12:13" x14ac:dyDescent="0.25">
      <c r="L385763" s="472"/>
      <c r="M385763" s="472"/>
    </row>
    <row r="385764" spans="12:13" x14ac:dyDescent="0.25">
      <c r="L385764" s="472"/>
      <c r="M385764" s="472"/>
    </row>
    <row r="385765" spans="12:13" x14ac:dyDescent="0.25">
      <c r="L385765" s="472"/>
      <c r="M385765" s="472"/>
    </row>
    <row r="385837" spans="12:13" x14ac:dyDescent="0.25">
      <c r="L385837" s="472"/>
      <c r="M385837" s="472"/>
    </row>
    <row r="385838" spans="12:13" x14ac:dyDescent="0.25">
      <c r="L385838" s="472"/>
      <c r="M385838" s="472"/>
    </row>
    <row r="385839" spans="12:13" x14ac:dyDescent="0.25">
      <c r="L385839" s="472"/>
      <c r="M385839" s="472"/>
    </row>
    <row r="385911" spans="12:13" x14ac:dyDescent="0.25">
      <c r="L385911" s="472"/>
      <c r="M385911" s="472"/>
    </row>
    <row r="385912" spans="12:13" x14ac:dyDescent="0.25">
      <c r="L385912" s="472"/>
      <c r="M385912" s="472"/>
    </row>
    <row r="385913" spans="12:13" x14ac:dyDescent="0.25">
      <c r="L385913" s="472"/>
      <c r="M385913" s="472"/>
    </row>
    <row r="385985" spans="12:13" x14ac:dyDescent="0.25">
      <c r="L385985" s="472"/>
      <c r="M385985" s="472"/>
    </row>
    <row r="385986" spans="12:13" x14ac:dyDescent="0.25">
      <c r="L385986" s="472"/>
      <c r="M385986" s="472"/>
    </row>
    <row r="385987" spans="12:13" x14ac:dyDescent="0.25">
      <c r="L385987" s="472"/>
      <c r="M385987" s="472"/>
    </row>
    <row r="386059" spans="12:13" x14ac:dyDescent="0.25">
      <c r="L386059" s="472"/>
      <c r="M386059" s="472"/>
    </row>
    <row r="386060" spans="12:13" x14ac:dyDescent="0.25">
      <c r="L386060" s="472"/>
      <c r="M386060" s="472"/>
    </row>
    <row r="386061" spans="12:13" x14ac:dyDescent="0.25">
      <c r="L386061" s="472"/>
      <c r="M386061" s="472"/>
    </row>
    <row r="386133" spans="12:13" x14ac:dyDescent="0.25">
      <c r="L386133" s="472"/>
      <c r="M386133" s="472"/>
    </row>
    <row r="386134" spans="12:13" x14ac:dyDescent="0.25">
      <c r="L386134" s="472"/>
      <c r="M386134" s="472"/>
    </row>
    <row r="386135" spans="12:13" x14ac:dyDescent="0.25">
      <c r="L386135" s="472"/>
      <c r="M386135" s="472"/>
    </row>
    <row r="386207" spans="12:13" x14ac:dyDescent="0.25">
      <c r="L386207" s="472"/>
      <c r="M386207" s="472"/>
    </row>
    <row r="386208" spans="12:13" x14ac:dyDescent="0.25">
      <c r="L386208" s="472"/>
      <c r="M386208" s="472"/>
    </row>
    <row r="386209" spans="12:13" x14ac:dyDescent="0.25">
      <c r="L386209" s="472"/>
      <c r="M386209" s="472"/>
    </row>
    <row r="386281" spans="12:13" x14ac:dyDescent="0.25">
      <c r="L386281" s="472"/>
      <c r="M386281" s="472"/>
    </row>
    <row r="386282" spans="12:13" x14ac:dyDescent="0.25">
      <c r="L386282" s="472"/>
      <c r="M386282" s="472"/>
    </row>
    <row r="386283" spans="12:13" x14ac:dyDescent="0.25">
      <c r="L386283" s="472"/>
      <c r="M386283" s="472"/>
    </row>
    <row r="386355" spans="12:13" x14ac:dyDescent="0.25">
      <c r="L386355" s="472"/>
      <c r="M386355" s="472"/>
    </row>
    <row r="386356" spans="12:13" x14ac:dyDescent="0.25">
      <c r="L386356" s="472"/>
      <c r="M386356" s="472"/>
    </row>
    <row r="386357" spans="12:13" x14ac:dyDescent="0.25">
      <c r="L386357" s="472"/>
      <c r="M386357" s="472"/>
    </row>
    <row r="386429" spans="12:13" x14ac:dyDescent="0.25">
      <c r="L386429" s="472"/>
      <c r="M386429" s="472"/>
    </row>
    <row r="386430" spans="12:13" x14ac:dyDescent="0.25">
      <c r="L386430" s="472"/>
      <c r="M386430" s="472"/>
    </row>
    <row r="386431" spans="12:13" x14ac:dyDescent="0.25">
      <c r="L386431" s="472"/>
      <c r="M386431" s="472"/>
    </row>
    <row r="386503" spans="12:13" x14ac:dyDescent="0.25">
      <c r="L386503" s="472"/>
      <c r="M386503" s="472"/>
    </row>
    <row r="386504" spans="12:13" x14ac:dyDescent="0.25">
      <c r="L386504" s="472"/>
      <c r="M386504" s="472"/>
    </row>
    <row r="386505" spans="12:13" x14ac:dyDescent="0.25">
      <c r="L386505" s="472"/>
      <c r="M386505" s="472"/>
    </row>
    <row r="386577" spans="12:13" x14ac:dyDescent="0.25">
      <c r="L386577" s="472"/>
      <c r="M386577" s="472"/>
    </row>
    <row r="386578" spans="12:13" x14ac:dyDescent="0.25">
      <c r="L386578" s="472"/>
      <c r="M386578" s="472"/>
    </row>
    <row r="386579" spans="12:13" x14ac:dyDescent="0.25">
      <c r="L386579" s="472"/>
      <c r="M386579" s="472"/>
    </row>
    <row r="386651" spans="12:13" x14ac:dyDescent="0.25">
      <c r="L386651" s="472"/>
      <c r="M386651" s="472"/>
    </row>
    <row r="386652" spans="12:13" x14ac:dyDescent="0.25">
      <c r="L386652" s="472"/>
      <c r="M386652" s="472"/>
    </row>
    <row r="386653" spans="12:13" x14ac:dyDescent="0.25">
      <c r="L386653" s="472"/>
      <c r="M386653" s="472"/>
    </row>
    <row r="386725" spans="12:13" x14ac:dyDescent="0.25">
      <c r="L386725" s="472"/>
      <c r="M386725" s="472"/>
    </row>
    <row r="386726" spans="12:13" x14ac:dyDescent="0.25">
      <c r="L386726" s="472"/>
      <c r="M386726" s="472"/>
    </row>
    <row r="386727" spans="12:13" x14ac:dyDescent="0.25">
      <c r="L386727" s="472"/>
      <c r="M386727" s="472"/>
    </row>
    <row r="386799" spans="12:13" x14ac:dyDescent="0.25">
      <c r="L386799" s="472"/>
      <c r="M386799" s="472"/>
    </row>
    <row r="386800" spans="12:13" x14ac:dyDescent="0.25">
      <c r="L386800" s="472"/>
      <c r="M386800" s="472"/>
    </row>
    <row r="386801" spans="12:13" x14ac:dyDescent="0.25">
      <c r="L386801" s="472"/>
      <c r="M386801" s="472"/>
    </row>
    <row r="386873" spans="12:13" x14ac:dyDescent="0.25">
      <c r="L386873" s="472"/>
      <c r="M386873" s="472"/>
    </row>
    <row r="386874" spans="12:13" x14ac:dyDescent="0.25">
      <c r="L386874" s="472"/>
      <c r="M386874" s="472"/>
    </row>
    <row r="386875" spans="12:13" x14ac:dyDescent="0.25">
      <c r="L386875" s="472"/>
      <c r="M386875" s="472"/>
    </row>
    <row r="386947" spans="12:13" x14ac:dyDescent="0.25">
      <c r="L386947" s="472"/>
      <c r="M386947" s="472"/>
    </row>
    <row r="386948" spans="12:13" x14ac:dyDescent="0.25">
      <c r="L386948" s="472"/>
      <c r="M386948" s="472"/>
    </row>
    <row r="386949" spans="12:13" x14ac:dyDescent="0.25">
      <c r="L386949" s="472"/>
      <c r="M386949" s="472"/>
    </row>
    <row r="387021" spans="12:13" x14ac:dyDescent="0.25">
      <c r="L387021" s="472"/>
      <c r="M387021" s="472"/>
    </row>
    <row r="387022" spans="12:13" x14ac:dyDescent="0.25">
      <c r="L387022" s="472"/>
      <c r="M387022" s="472"/>
    </row>
    <row r="387023" spans="12:13" x14ac:dyDescent="0.25">
      <c r="L387023" s="472"/>
      <c r="M387023" s="472"/>
    </row>
    <row r="387095" spans="12:13" x14ac:dyDescent="0.25">
      <c r="L387095" s="472"/>
      <c r="M387095" s="472"/>
    </row>
    <row r="387096" spans="12:13" x14ac:dyDescent="0.25">
      <c r="L387096" s="472"/>
      <c r="M387096" s="472"/>
    </row>
    <row r="387097" spans="12:13" x14ac:dyDescent="0.25">
      <c r="L387097" s="472"/>
      <c r="M387097" s="472"/>
    </row>
    <row r="387169" spans="12:13" x14ac:dyDescent="0.25">
      <c r="L387169" s="472"/>
      <c r="M387169" s="472"/>
    </row>
    <row r="387170" spans="12:13" x14ac:dyDescent="0.25">
      <c r="L387170" s="472"/>
      <c r="M387170" s="472"/>
    </row>
    <row r="387171" spans="12:13" x14ac:dyDescent="0.25">
      <c r="L387171" s="472"/>
      <c r="M387171" s="472"/>
    </row>
    <row r="387243" spans="12:13" x14ac:dyDescent="0.25">
      <c r="L387243" s="472"/>
      <c r="M387243" s="472"/>
    </row>
    <row r="387244" spans="12:13" x14ac:dyDescent="0.25">
      <c r="L387244" s="472"/>
      <c r="M387244" s="472"/>
    </row>
    <row r="387245" spans="12:13" x14ac:dyDescent="0.25">
      <c r="L387245" s="472"/>
      <c r="M387245" s="472"/>
    </row>
    <row r="387317" spans="12:13" x14ac:dyDescent="0.25">
      <c r="L387317" s="472"/>
      <c r="M387317" s="472"/>
    </row>
    <row r="387318" spans="12:13" x14ac:dyDescent="0.25">
      <c r="L387318" s="472"/>
      <c r="M387318" s="472"/>
    </row>
    <row r="387319" spans="12:13" x14ac:dyDescent="0.25">
      <c r="L387319" s="472"/>
      <c r="M387319" s="472"/>
    </row>
    <row r="387391" spans="12:13" x14ac:dyDescent="0.25">
      <c r="L387391" s="472"/>
      <c r="M387391" s="472"/>
    </row>
    <row r="387392" spans="12:13" x14ac:dyDescent="0.25">
      <c r="L387392" s="472"/>
      <c r="M387392" s="472"/>
    </row>
    <row r="387393" spans="12:13" x14ac:dyDescent="0.25">
      <c r="L387393" s="472"/>
      <c r="M387393" s="472"/>
    </row>
    <row r="387465" spans="12:13" x14ac:dyDescent="0.25">
      <c r="L387465" s="472"/>
      <c r="M387465" s="472"/>
    </row>
    <row r="387466" spans="12:13" x14ac:dyDescent="0.25">
      <c r="L387466" s="472"/>
      <c r="M387466" s="472"/>
    </row>
    <row r="387467" spans="12:13" x14ac:dyDescent="0.25">
      <c r="L387467" s="472"/>
      <c r="M387467" s="472"/>
    </row>
    <row r="387539" spans="12:13" x14ac:dyDescent="0.25">
      <c r="L387539" s="472"/>
      <c r="M387539" s="472"/>
    </row>
    <row r="387540" spans="12:13" x14ac:dyDescent="0.25">
      <c r="L387540" s="472"/>
      <c r="M387540" s="472"/>
    </row>
    <row r="387541" spans="12:13" x14ac:dyDescent="0.25">
      <c r="L387541" s="472"/>
      <c r="M387541" s="472"/>
    </row>
    <row r="387613" spans="12:13" x14ac:dyDescent="0.25">
      <c r="L387613" s="472"/>
      <c r="M387613" s="472"/>
    </row>
    <row r="387614" spans="12:13" x14ac:dyDescent="0.25">
      <c r="L387614" s="472"/>
      <c r="M387614" s="472"/>
    </row>
    <row r="387615" spans="12:13" x14ac:dyDescent="0.25">
      <c r="L387615" s="472"/>
      <c r="M387615" s="472"/>
    </row>
    <row r="387687" spans="12:13" x14ac:dyDescent="0.25">
      <c r="L387687" s="472"/>
      <c r="M387687" s="472"/>
    </row>
    <row r="387688" spans="12:13" x14ac:dyDescent="0.25">
      <c r="L387688" s="472"/>
      <c r="M387688" s="472"/>
    </row>
    <row r="387689" spans="12:13" x14ac:dyDescent="0.25">
      <c r="L387689" s="472"/>
      <c r="M387689" s="472"/>
    </row>
    <row r="387761" spans="12:13" x14ac:dyDescent="0.25">
      <c r="L387761" s="472"/>
      <c r="M387761" s="472"/>
    </row>
    <row r="387762" spans="12:13" x14ac:dyDescent="0.25">
      <c r="L387762" s="472"/>
      <c r="M387762" s="472"/>
    </row>
    <row r="387763" spans="12:13" x14ac:dyDescent="0.25">
      <c r="L387763" s="472"/>
      <c r="M387763" s="472"/>
    </row>
    <row r="387835" spans="12:13" x14ac:dyDescent="0.25">
      <c r="L387835" s="472"/>
      <c r="M387835" s="472"/>
    </row>
    <row r="387836" spans="12:13" x14ac:dyDescent="0.25">
      <c r="L387836" s="472"/>
      <c r="M387836" s="472"/>
    </row>
    <row r="387837" spans="12:13" x14ac:dyDescent="0.25">
      <c r="L387837" s="472"/>
      <c r="M387837" s="472"/>
    </row>
    <row r="387909" spans="12:13" x14ac:dyDescent="0.25">
      <c r="L387909" s="472"/>
      <c r="M387909" s="472"/>
    </row>
    <row r="387910" spans="12:13" x14ac:dyDescent="0.25">
      <c r="L387910" s="472"/>
      <c r="M387910" s="472"/>
    </row>
    <row r="387911" spans="12:13" x14ac:dyDescent="0.25">
      <c r="L387911" s="472"/>
      <c r="M387911" s="472"/>
    </row>
    <row r="387983" spans="12:13" x14ac:dyDescent="0.25">
      <c r="L387983" s="472"/>
      <c r="M387983" s="472"/>
    </row>
    <row r="387984" spans="12:13" x14ac:dyDescent="0.25">
      <c r="L387984" s="472"/>
      <c r="M387984" s="472"/>
    </row>
    <row r="387985" spans="12:13" x14ac:dyDescent="0.25">
      <c r="L387985" s="472"/>
      <c r="M387985" s="472"/>
    </row>
    <row r="388057" spans="12:13" x14ac:dyDescent="0.25">
      <c r="L388057" s="472"/>
      <c r="M388057" s="472"/>
    </row>
    <row r="388058" spans="12:13" x14ac:dyDescent="0.25">
      <c r="L388058" s="472"/>
      <c r="M388058" s="472"/>
    </row>
    <row r="388059" spans="12:13" x14ac:dyDescent="0.25">
      <c r="L388059" s="472"/>
      <c r="M388059" s="472"/>
    </row>
    <row r="388131" spans="12:13" x14ac:dyDescent="0.25">
      <c r="L388131" s="472"/>
      <c r="M388131" s="472"/>
    </row>
    <row r="388132" spans="12:13" x14ac:dyDescent="0.25">
      <c r="L388132" s="472"/>
      <c r="M388132" s="472"/>
    </row>
    <row r="388133" spans="12:13" x14ac:dyDescent="0.25">
      <c r="L388133" s="472"/>
      <c r="M388133" s="472"/>
    </row>
    <row r="388205" spans="12:13" x14ac:dyDescent="0.25">
      <c r="L388205" s="472"/>
      <c r="M388205" s="472"/>
    </row>
    <row r="388206" spans="12:13" x14ac:dyDescent="0.25">
      <c r="L388206" s="472"/>
      <c r="M388206" s="472"/>
    </row>
    <row r="388207" spans="12:13" x14ac:dyDescent="0.25">
      <c r="L388207" s="472"/>
      <c r="M388207" s="472"/>
    </row>
    <row r="388279" spans="12:13" x14ac:dyDescent="0.25">
      <c r="L388279" s="472"/>
      <c r="M388279" s="472"/>
    </row>
    <row r="388280" spans="12:13" x14ac:dyDescent="0.25">
      <c r="L388280" s="472"/>
      <c r="M388280" s="472"/>
    </row>
    <row r="388281" spans="12:13" x14ac:dyDescent="0.25">
      <c r="L388281" s="472"/>
      <c r="M388281" s="472"/>
    </row>
    <row r="388353" spans="12:13" x14ac:dyDescent="0.25">
      <c r="L388353" s="472"/>
      <c r="M388353" s="472"/>
    </row>
    <row r="388354" spans="12:13" x14ac:dyDescent="0.25">
      <c r="L388354" s="472"/>
      <c r="M388354" s="472"/>
    </row>
    <row r="388355" spans="12:13" x14ac:dyDescent="0.25">
      <c r="L388355" s="472"/>
      <c r="M388355" s="472"/>
    </row>
    <row r="388427" spans="12:13" x14ac:dyDescent="0.25">
      <c r="L388427" s="472"/>
      <c r="M388427" s="472"/>
    </row>
    <row r="388428" spans="12:13" x14ac:dyDescent="0.25">
      <c r="L388428" s="472"/>
      <c r="M388428" s="472"/>
    </row>
    <row r="388429" spans="12:13" x14ac:dyDescent="0.25">
      <c r="L388429" s="472"/>
      <c r="M388429" s="472"/>
    </row>
    <row r="388501" spans="12:13" x14ac:dyDescent="0.25">
      <c r="L388501" s="472"/>
      <c r="M388501" s="472"/>
    </row>
    <row r="388502" spans="12:13" x14ac:dyDescent="0.25">
      <c r="L388502" s="472"/>
      <c r="M388502" s="472"/>
    </row>
    <row r="388503" spans="12:13" x14ac:dyDescent="0.25">
      <c r="L388503" s="472"/>
      <c r="M388503" s="472"/>
    </row>
    <row r="388575" spans="12:13" x14ac:dyDescent="0.25">
      <c r="L388575" s="472"/>
      <c r="M388575" s="472"/>
    </row>
    <row r="388576" spans="12:13" x14ac:dyDescent="0.25">
      <c r="L388576" s="472"/>
      <c r="M388576" s="472"/>
    </row>
    <row r="388577" spans="12:13" x14ac:dyDescent="0.25">
      <c r="L388577" s="472"/>
      <c r="M388577" s="472"/>
    </row>
    <row r="388649" spans="12:13" x14ac:dyDescent="0.25">
      <c r="L388649" s="472"/>
      <c r="M388649" s="472"/>
    </row>
    <row r="388650" spans="12:13" x14ac:dyDescent="0.25">
      <c r="L388650" s="472"/>
      <c r="M388650" s="472"/>
    </row>
    <row r="388651" spans="12:13" x14ac:dyDescent="0.25">
      <c r="L388651" s="472"/>
      <c r="M388651" s="472"/>
    </row>
    <row r="388723" spans="12:13" x14ac:dyDescent="0.25">
      <c r="L388723" s="472"/>
      <c r="M388723" s="472"/>
    </row>
    <row r="388724" spans="12:13" x14ac:dyDescent="0.25">
      <c r="L388724" s="472"/>
      <c r="M388724" s="472"/>
    </row>
    <row r="388725" spans="12:13" x14ac:dyDescent="0.25">
      <c r="L388725" s="472"/>
      <c r="M388725" s="472"/>
    </row>
    <row r="388797" spans="12:13" x14ac:dyDescent="0.25">
      <c r="L388797" s="472"/>
      <c r="M388797" s="472"/>
    </row>
    <row r="388798" spans="12:13" x14ac:dyDescent="0.25">
      <c r="L388798" s="472"/>
      <c r="M388798" s="472"/>
    </row>
    <row r="388799" spans="12:13" x14ac:dyDescent="0.25">
      <c r="L388799" s="472"/>
      <c r="M388799" s="472"/>
    </row>
    <row r="388871" spans="12:13" x14ac:dyDescent="0.25">
      <c r="L388871" s="472"/>
      <c r="M388871" s="472"/>
    </row>
    <row r="388872" spans="12:13" x14ac:dyDescent="0.25">
      <c r="L388872" s="472"/>
      <c r="M388872" s="472"/>
    </row>
    <row r="388873" spans="12:13" x14ac:dyDescent="0.25">
      <c r="L388873" s="472"/>
      <c r="M388873" s="472"/>
    </row>
    <row r="388945" spans="12:13" x14ac:dyDescent="0.25">
      <c r="L388945" s="472"/>
      <c r="M388945" s="472"/>
    </row>
    <row r="388946" spans="12:13" x14ac:dyDescent="0.25">
      <c r="L388946" s="472"/>
      <c r="M388946" s="472"/>
    </row>
    <row r="388947" spans="12:13" x14ac:dyDescent="0.25">
      <c r="L388947" s="472"/>
      <c r="M388947" s="472"/>
    </row>
    <row r="389019" spans="12:13" x14ac:dyDescent="0.25">
      <c r="L389019" s="472"/>
      <c r="M389019" s="472"/>
    </row>
    <row r="389020" spans="12:13" x14ac:dyDescent="0.25">
      <c r="L389020" s="472"/>
      <c r="M389020" s="472"/>
    </row>
    <row r="389021" spans="12:13" x14ac:dyDescent="0.25">
      <c r="L389021" s="472"/>
      <c r="M389021" s="472"/>
    </row>
    <row r="389093" spans="12:13" x14ac:dyDescent="0.25">
      <c r="L389093" s="472"/>
      <c r="M389093" s="472"/>
    </row>
    <row r="389094" spans="12:13" x14ac:dyDescent="0.25">
      <c r="L389094" s="472"/>
      <c r="M389094" s="472"/>
    </row>
    <row r="389095" spans="12:13" x14ac:dyDescent="0.25">
      <c r="L389095" s="472"/>
      <c r="M389095" s="472"/>
    </row>
    <row r="389167" spans="12:13" x14ac:dyDescent="0.25">
      <c r="L389167" s="472"/>
      <c r="M389167" s="472"/>
    </row>
    <row r="389168" spans="12:13" x14ac:dyDescent="0.25">
      <c r="L389168" s="472"/>
      <c r="M389168" s="472"/>
    </row>
    <row r="389169" spans="12:13" x14ac:dyDescent="0.25">
      <c r="L389169" s="472"/>
      <c r="M389169" s="472"/>
    </row>
    <row r="389241" spans="12:13" x14ac:dyDescent="0.25">
      <c r="L389241" s="472"/>
      <c r="M389241" s="472"/>
    </row>
    <row r="389242" spans="12:13" x14ac:dyDescent="0.25">
      <c r="L389242" s="472"/>
      <c r="M389242" s="472"/>
    </row>
    <row r="389243" spans="12:13" x14ac:dyDescent="0.25">
      <c r="L389243" s="472"/>
      <c r="M389243" s="472"/>
    </row>
    <row r="389315" spans="12:13" x14ac:dyDescent="0.25">
      <c r="L389315" s="472"/>
      <c r="M389315" s="472"/>
    </row>
    <row r="389316" spans="12:13" x14ac:dyDescent="0.25">
      <c r="L389316" s="472"/>
      <c r="M389316" s="472"/>
    </row>
    <row r="389317" spans="12:13" x14ac:dyDescent="0.25">
      <c r="L389317" s="472"/>
      <c r="M389317" s="472"/>
    </row>
    <row r="389389" spans="12:13" x14ac:dyDescent="0.25">
      <c r="L389389" s="472"/>
      <c r="M389389" s="472"/>
    </row>
    <row r="389390" spans="12:13" x14ac:dyDescent="0.25">
      <c r="L389390" s="472"/>
      <c r="M389390" s="472"/>
    </row>
    <row r="389391" spans="12:13" x14ac:dyDescent="0.25">
      <c r="L389391" s="472"/>
      <c r="M389391" s="472"/>
    </row>
    <row r="389463" spans="12:13" x14ac:dyDescent="0.25">
      <c r="L389463" s="472"/>
      <c r="M389463" s="472"/>
    </row>
    <row r="389464" spans="12:13" x14ac:dyDescent="0.25">
      <c r="L389464" s="472"/>
      <c r="M389464" s="472"/>
    </row>
    <row r="389465" spans="12:13" x14ac:dyDescent="0.25">
      <c r="L389465" s="472"/>
      <c r="M389465" s="472"/>
    </row>
    <row r="389537" spans="12:13" x14ac:dyDescent="0.25">
      <c r="L389537" s="472"/>
      <c r="M389537" s="472"/>
    </row>
    <row r="389538" spans="12:13" x14ac:dyDescent="0.25">
      <c r="L389538" s="472"/>
      <c r="M389538" s="472"/>
    </row>
    <row r="389539" spans="12:13" x14ac:dyDescent="0.25">
      <c r="L389539" s="472"/>
      <c r="M389539" s="472"/>
    </row>
    <row r="389611" spans="12:13" x14ac:dyDescent="0.25">
      <c r="L389611" s="472"/>
      <c r="M389611" s="472"/>
    </row>
    <row r="389612" spans="12:13" x14ac:dyDescent="0.25">
      <c r="L389612" s="472"/>
      <c r="M389612" s="472"/>
    </row>
    <row r="389613" spans="12:13" x14ac:dyDescent="0.25">
      <c r="L389613" s="472"/>
      <c r="M389613" s="472"/>
    </row>
    <row r="389685" spans="12:13" x14ac:dyDescent="0.25">
      <c r="L389685" s="472"/>
      <c r="M389685" s="472"/>
    </row>
    <row r="389686" spans="12:13" x14ac:dyDescent="0.25">
      <c r="L389686" s="472"/>
      <c r="M389686" s="472"/>
    </row>
    <row r="389687" spans="12:13" x14ac:dyDescent="0.25">
      <c r="L389687" s="472"/>
      <c r="M389687" s="472"/>
    </row>
    <row r="389759" spans="12:13" x14ac:dyDescent="0.25">
      <c r="L389759" s="472"/>
      <c r="M389759" s="472"/>
    </row>
    <row r="389760" spans="12:13" x14ac:dyDescent="0.25">
      <c r="L389760" s="472"/>
      <c r="M389760" s="472"/>
    </row>
    <row r="389761" spans="12:13" x14ac:dyDescent="0.25">
      <c r="L389761" s="472"/>
      <c r="M389761" s="472"/>
    </row>
    <row r="389833" spans="12:13" x14ac:dyDescent="0.25">
      <c r="L389833" s="472"/>
      <c r="M389833" s="472"/>
    </row>
    <row r="389834" spans="12:13" x14ac:dyDescent="0.25">
      <c r="L389834" s="472"/>
      <c r="M389834" s="472"/>
    </row>
    <row r="389835" spans="12:13" x14ac:dyDescent="0.25">
      <c r="L389835" s="472"/>
      <c r="M389835" s="472"/>
    </row>
    <row r="389907" spans="12:13" x14ac:dyDescent="0.25">
      <c r="L389907" s="472"/>
      <c r="M389907" s="472"/>
    </row>
    <row r="389908" spans="12:13" x14ac:dyDescent="0.25">
      <c r="L389908" s="472"/>
      <c r="M389908" s="472"/>
    </row>
    <row r="389909" spans="12:13" x14ac:dyDescent="0.25">
      <c r="L389909" s="472"/>
      <c r="M389909" s="472"/>
    </row>
    <row r="389981" spans="12:13" x14ac:dyDescent="0.25">
      <c r="L389981" s="472"/>
      <c r="M389981" s="472"/>
    </row>
    <row r="389982" spans="12:13" x14ac:dyDescent="0.25">
      <c r="L389982" s="472"/>
      <c r="M389982" s="472"/>
    </row>
    <row r="389983" spans="12:13" x14ac:dyDescent="0.25">
      <c r="L389983" s="472"/>
      <c r="M389983" s="472"/>
    </row>
    <row r="390055" spans="12:13" x14ac:dyDescent="0.25">
      <c r="L390055" s="472"/>
      <c r="M390055" s="472"/>
    </row>
    <row r="390056" spans="12:13" x14ac:dyDescent="0.25">
      <c r="L390056" s="472"/>
      <c r="M390056" s="472"/>
    </row>
    <row r="390057" spans="12:13" x14ac:dyDescent="0.25">
      <c r="L390057" s="472"/>
      <c r="M390057" s="472"/>
    </row>
    <row r="390129" spans="12:13" x14ac:dyDescent="0.25">
      <c r="L390129" s="472"/>
      <c r="M390129" s="472"/>
    </row>
    <row r="390130" spans="12:13" x14ac:dyDescent="0.25">
      <c r="L390130" s="472"/>
      <c r="M390130" s="472"/>
    </row>
    <row r="390131" spans="12:13" x14ac:dyDescent="0.25">
      <c r="L390131" s="472"/>
      <c r="M390131" s="472"/>
    </row>
    <row r="390203" spans="12:13" x14ac:dyDescent="0.25">
      <c r="L390203" s="472"/>
      <c r="M390203" s="472"/>
    </row>
    <row r="390204" spans="12:13" x14ac:dyDescent="0.25">
      <c r="L390204" s="472"/>
      <c r="M390204" s="472"/>
    </row>
    <row r="390205" spans="12:13" x14ac:dyDescent="0.25">
      <c r="L390205" s="472"/>
      <c r="M390205" s="472"/>
    </row>
    <row r="390277" spans="12:13" x14ac:dyDescent="0.25">
      <c r="L390277" s="472"/>
      <c r="M390277" s="472"/>
    </row>
    <row r="390278" spans="12:13" x14ac:dyDescent="0.25">
      <c r="L390278" s="472"/>
      <c r="M390278" s="472"/>
    </row>
    <row r="390279" spans="12:13" x14ac:dyDescent="0.25">
      <c r="L390279" s="472"/>
      <c r="M390279" s="472"/>
    </row>
    <row r="390351" spans="12:13" x14ac:dyDescent="0.25">
      <c r="L390351" s="472"/>
      <c r="M390351" s="472"/>
    </row>
    <row r="390352" spans="12:13" x14ac:dyDescent="0.25">
      <c r="L390352" s="472"/>
      <c r="M390352" s="472"/>
    </row>
    <row r="390353" spans="12:13" x14ac:dyDescent="0.25">
      <c r="L390353" s="472"/>
      <c r="M390353" s="472"/>
    </row>
    <row r="390425" spans="12:13" x14ac:dyDescent="0.25">
      <c r="L390425" s="472"/>
      <c r="M390425" s="472"/>
    </row>
    <row r="390426" spans="12:13" x14ac:dyDescent="0.25">
      <c r="L390426" s="472"/>
      <c r="M390426" s="472"/>
    </row>
    <row r="390427" spans="12:13" x14ac:dyDescent="0.25">
      <c r="L390427" s="472"/>
      <c r="M390427" s="472"/>
    </row>
    <row r="390499" spans="12:13" x14ac:dyDescent="0.25">
      <c r="L390499" s="472"/>
      <c r="M390499" s="472"/>
    </row>
    <row r="390500" spans="12:13" x14ac:dyDescent="0.25">
      <c r="L390500" s="472"/>
      <c r="M390500" s="472"/>
    </row>
    <row r="390501" spans="12:13" x14ac:dyDescent="0.25">
      <c r="L390501" s="472"/>
      <c r="M390501" s="472"/>
    </row>
    <row r="390573" spans="12:13" x14ac:dyDescent="0.25">
      <c r="L390573" s="472"/>
      <c r="M390573" s="472"/>
    </row>
    <row r="390574" spans="12:13" x14ac:dyDescent="0.25">
      <c r="L390574" s="472"/>
      <c r="M390574" s="472"/>
    </row>
    <row r="390575" spans="12:13" x14ac:dyDescent="0.25">
      <c r="L390575" s="472"/>
      <c r="M390575" s="472"/>
    </row>
    <row r="390647" spans="12:13" x14ac:dyDescent="0.25">
      <c r="L390647" s="472"/>
      <c r="M390647" s="472"/>
    </row>
    <row r="390648" spans="12:13" x14ac:dyDescent="0.25">
      <c r="L390648" s="472"/>
      <c r="M390648" s="472"/>
    </row>
    <row r="390649" spans="12:13" x14ac:dyDescent="0.25">
      <c r="L390649" s="472"/>
      <c r="M390649" s="472"/>
    </row>
    <row r="390721" spans="12:13" x14ac:dyDescent="0.25">
      <c r="L390721" s="472"/>
      <c r="M390721" s="472"/>
    </row>
    <row r="390722" spans="12:13" x14ac:dyDescent="0.25">
      <c r="L390722" s="472"/>
      <c r="M390722" s="472"/>
    </row>
    <row r="390723" spans="12:13" x14ac:dyDescent="0.25">
      <c r="L390723" s="472"/>
      <c r="M390723" s="472"/>
    </row>
    <row r="390795" spans="12:13" x14ac:dyDescent="0.25">
      <c r="L390795" s="472"/>
      <c r="M390795" s="472"/>
    </row>
    <row r="390796" spans="12:13" x14ac:dyDescent="0.25">
      <c r="L390796" s="472"/>
      <c r="M390796" s="472"/>
    </row>
    <row r="390797" spans="12:13" x14ac:dyDescent="0.25">
      <c r="L390797" s="472"/>
      <c r="M390797" s="472"/>
    </row>
    <row r="390869" spans="12:13" x14ac:dyDescent="0.25">
      <c r="L390869" s="472"/>
      <c r="M390869" s="472"/>
    </row>
    <row r="390870" spans="12:13" x14ac:dyDescent="0.25">
      <c r="L390870" s="472"/>
      <c r="M390870" s="472"/>
    </row>
    <row r="390871" spans="12:13" x14ac:dyDescent="0.25">
      <c r="L390871" s="472"/>
      <c r="M390871" s="472"/>
    </row>
    <row r="390943" spans="12:13" x14ac:dyDescent="0.25">
      <c r="L390943" s="472"/>
      <c r="M390943" s="472"/>
    </row>
    <row r="390944" spans="12:13" x14ac:dyDescent="0.25">
      <c r="L390944" s="472"/>
      <c r="M390944" s="472"/>
    </row>
    <row r="390945" spans="12:13" x14ac:dyDescent="0.25">
      <c r="L390945" s="472"/>
      <c r="M390945" s="472"/>
    </row>
    <row r="391017" spans="12:13" x14ac:dyDescent="0.25">
      <c r="L391017" s="472"/>
      <c r="M391017" s="472"/>
    </row>
    <row r="391018" spans="12:13" x14ac:dyDescent="0.25">
      <c r="L391018" s="472"/>
      <c r="M391018" s="472"/>
    </row>
    <row r="391019" spans="12:13" x14ac:dyDescent="0.25">
      <c r="L391019" s="472"/>
      <c r="M391019" s="472"/>
    </row>
    <row r="391091" spans="12:13" x14ac:dyDescent="0.25">
      <c r="L391091" s="472"/>
      <c r="M391091" s="472"/>
    </row>
    <row r="391092" spans="12:13" x14ac:dyDescent="0.25">
      <c r="L391092" s="472"/>
      <c r="M391092" s="472"/>
    </row>
    <row r="391093" spans="12:13" x14ac:dyDescent="0.25">
      <c r="L391093" s="472"/>
      <c r="M391093" s="472"/>
    </row>
    <row r="391165" spans="12:13" x14ac:dyDescent="0.25">
      <c r="L391165" s="472"/>
      <c r="M391165" s="472"/>
    </row>
    <row r="391166" spans="12:13" x14ac:dyDescent="0.25">
      <c r="L391166" s="472"/>
      <c r="M391166" s="472"/>
    </row>
    <row r="391167" spans="12:13" x14ac:dyDescent="0.25">
      <c r="L391167" s="472"/>
      <c r="M391167" s="472"/>
    </row>
    <row r="391239" spans="12:13" x14ac:dyDescent="0.25">
      <c r="L391239" s="472"/>
      <c r="M391239" s="472"/>
    </row>
    <row r="391240" spans="12:13" x14ac:dyDescent="0.25">
      <c r="L391240" s="472"/>
      <c r="M391240" s="472"/>
    </row>
    <row r="391241" spans="12:13" x14ac:dyDescent="0.25">
      <c r="L391241" s="472"/>
      <c r="M391241" s="472"/>
    </row>
    <row r="391313" spans="12:13" x14ac:dyDescent="0.25">
      <c r="L391313" s="472"/>
      <c r="M391313" s="472"/>
    </row>
    <row r="391314" spans="12:13" x14ac:dyDescent="0.25">
      <c r="L391314" s="472"/>
      <c r="M391314" s="472"/>
    </row>
    <row r="391315" spans="12:13" x14ac:dyDescent="0.25">
      <c r="L391315" s="472"/>
      <c r="M391315" s="472"/>
    </row>
    <row r="391387" spans="12:13" x14ac:dyDescent="0.25">
      <c r="L391387" s="472"/>
      <c r="M391387" s="472"/>
    </row>
    <row r="391388" spans="12:13" x14ac:dyDescent="0.25">
      <c r="L391388" s="472"/>
      <c r="M391388" s="472"/>
    </row>
    <row r="391389" spans="12:13" x14ac:dyDescent="0.25">
      <c r="L391389" s="472"/>
      <c r="M391389" s="472"/>
    </row>
    <row r="391461" spans="12:13" x14ac:dyDescent="0.25">
      <c r="L391461" s="472"/>
      <c r="M391461" s="472"/>
    </row>
    <row r="391462" spans="12:13" x14ac:dyDescent="0.25">
      <c r="L391462" s="472"/>
      <c r="M391462" s="472"/>
    </row>
    <row r="391463" spans="12:13" x14ac:dyDescent="0.25">
      <c r="L391463" s="472"/>
      <c r="M391463" s="472"/>
    </row>
    <row r="391535" spans="12:13" x14ac:dyDescent="0.25">
      <c r="L391535" s="472"/>
      <c r="M391535" s="472"/>
    </row>
    <row r="391536" spans="12:13" x14ac:dyDescent="0.25">
      <c r="L391536" s="472"/>
      <c r="M391536" s="472"/>
    </row>
    <row r="391537" spans="12:13" x14ac:dyDescent="0.25">
      <c r="L391537" s="472"/>
      <c r="M391537" s="472"/>
    </row>
    <row r="391609" spans="12:13" x14ac:dyDescent="0.25">
      <c r="L391609" s="472"/>
      <c r="M391609" s="472"/>
    </row>
    <row r="391610" spans="12:13" x14ac:dyDescent="0.25">
      <c r="L391610" s="472"/>
      <c r="M391610" s="472"/>
    </row>
    <row r="391611" spans="12:13" x14ac:dyDescent="0.25">
      <c r="L391611" s="472"/>
      <c r="M391611" s="472"/>
    </row>
    <row r="391683" spans="12:13" x14ac:dyDescent="0.25">
      <c r="L391683" s="472"/>
      <c r="M391683" s="472"/>
    </row>
    <row r="391684" spans="12:13" x14ac:dyDescent="0.25">
      <c r="L391684" s="472"/>
      <c r="M391684" s="472"/>
    </row>
    <row r="391685" spans="12:13" x14ac:dyDescent="0.25">
      <c r="L391685" s="472"/>
      <c r="M391685" s="472"/>
    </row>
    <row r="391757" spans="12:13" x14ac:dyDescent="0.25">
      <c r="L391757" s="472"/>
      <c r="M391757" s="472"/>
    </row>
    <row r="391758" spans="12:13" x14ac:dyDescent="0.25">
      <c r="L391758" s="472"/>
      <c r="M391758" s="472"/>
    </row>
    <row r="391759" spans="12:13" x14ac:dyDescent="0.25">
      <c r="L391759" s="472"/>
      <c r="M391759" s="472"/>
    </row>
    <row r="391831" spans="12:13" x14ac:dyDescent="0.25">
      <c r="L391831" s="472"/>
      <c r="M391831" s="472"/>
    </row>
    <row r="391832" spans="12:13" x14ac:dyDescent="0.25">
      <c r="L391832" s="472"/>
      <c r="M391832" s="472"/>
    </row>
    <row r="391833" spans="12:13" x14ac:dyDescent="0.25">
      <c r="L391833" s="472"/>
      <c r="M391833" s="472"/>
    </row>
    <row r="391905" spans="12:13" x14ac:dyDescent="0.25">
      <c r="L391905" s="472"/>
      <c r="M391905" s="472"/>
    </row>
    <row r="391906" spans="12:13" x14ac:dyDescent="0.25">
      <c r="L391906" s="472"/>
      <c r="M391906" s="472"/>
    </row>
    <row r="391907" spans="12:13" x14ac:dyDescent="0.25">
      <c r="L391907" s="472"/>
      <c r="M391907" s="472"/>
    </row>
    <row r="391979" spans="12:13" x14ac:dyDescent="0.25">
      <c r="L391979" s="472"/>
      <c r="M391979" s="472"/>
    </row>
    <row r="391980" spans="12:13" x14ac:dyDescent="0.25">
      <c r="L391980" s="472"/>
      <c r="M391980" s="472"/>
    </row>
    <row r="391981" spans="12:13" x14ac:dyDescent="0.25">
      <c r="L391981" s="472"/>
      <c r="M391981" s="472"/>
    </row>
    <row r="392053" spans="12:13" x14ac:dyDescent="0.25">
      <c r="L392053" s="472"/>
      <c r="M392053" s="472"/>
    </row>
    <row r="392054" spans="12:13" x14ac:dyDescent="0.25">
      <c r="L392054" s="472"/>
      <c r="M392054" s="472"/>
    </row>
    <row r="392055" spans="12:13" x14ac:dyDescent="0.25">
      <c r="L392055" s="472"/>
      <c r="M392055" s="472"/>
    </row>
    <row r="392127" spans="12:13" x14ac:dyDescent="0.25">
      <c r="L392127" s="472"/>
      <c r="M392127" s="472"/>
    </row>
    <row r="392128" spans="12:13" x14ac:dyDescent="0.25">
      <c r="L392128" s="472"/>
      <c r="M392128" s="472"/>
    </row>
    <row r="392129" spans="12:13" x14ac:dyDescent="0.25">
      <c r="L392129" s="472"/>
      <c r="M392129" s="472"/>
    </row>
    <row r="392201" spans="12:13" x14ac:dyDescent="0.25">
      <c r="L392201" s="472"/>
      <c r="M392201" s="472"/>
    </row>
    <row r="392202" spans="12:13" x14ac:dyDescent="0.25">
      <c r="L392202" s="472"/>
      <c r="M392202" s="472"/>
    </row>
    <row r="392203" spans="12:13" x14ac:dyDescent="0.25">
      <c r="L392203" s="472"/>
      <c r="M392203" s="472"/>
    </row>
    <row r="392275" spans="12:13" x14ac:dyDescent="0.25">
      <c r="L392275" s="472"/>
      <c r="M392275" s="472"/>
    </row>
    <row r="392276" spans="12:13" x14ac:dyDescent="0.25">
      <c r="L392276" s="472"/>
      <c r="M392276" s="472"/>
    </row>
    <row r="392277" spans="12:13" x14ac:dyDescent="0.25">
      <c r="L392277" s="472"/>
      <c r="M392277" s="472"/>
    </row>
    <row r="392349" spans="12:13" x14ac:dyDescent="0.25">
      <c r="L392349" s="472"/>
      <c r="M392349" s="472"/>
    </row>
    <row r="392350" spans="12:13" x14ac:dyDescent="0.25">
      <c r="L392350" s="472"/>
      <c r="M392350" s="472"/>
    </row>
    <row r="392351" spans="12:13" x14ac:dyDescent="0.25">
      <c r="L392351" s="472"/>
      <c r="M392351" s="472"/>
    </row>
    <row r="392423" spans="12:13" x14ac:dyDescent="0.25">
      <c r="L392423" s="472"/>
      <c r="M392423" s="472"/>
    </row>
    <row r="392424" spans="12:13" x14ac:dyDescent="0.25">
      <c r="L392424" s="472"/>
      <c r="M392424" s="472"/>
    </row>
    <row r="392425" spans="12:13" x14ac:dyDescent="0.25">
      <c r="L392425" s="472"/>
      <c r="M392425" s="472"/>
    </row>
    <row r="392497" spans="12:13" x14ac:dyDescent="0.25">
      <c r="L392497" s="472"/>
      <c r="M392497" s="472"/>
    </row>
    <row r="392498" spans="12:13" x14ac:dyDescent="0.25">
      <c r="L392498" s="472"/>
      <c r="M392498" s="472"/>
    </row>
    <row r="392499" spans="12:13" x14ac:dyDescent="0.25">
      <c r="L392499" s="472"/>
      <c r="M392499" s="472"/>
    </row>
    <row r="392571" spans="12:13" x14ac:dyDescent="0.25">
      <c r="L392571" s="472"/>
      <c r="M392571" s="472"/>
    </row>
    <row r="392572" spans="12:13" x14ac:dyDescent="0.25">
      <c r="L392572" s="472"/>
      <c r="M392572" s="472"/>
    </row>
    <row r="392573" spans="12:13" x14ac:dyDescent="0.25">
      <c r="L392573" s="472"/>
      <c r="M392573" s="472"/>
    </row>
    <row r="392645" spans="12:13" x14ac:dyDescent="0.25">
      <c r="L392645" s="472"/>
      <c r="M392645" s="472"/>
    </row>
    <row r="392646" spans="12:13" x14ac:dyDescent="0.25">
      <c r="L392646" s="472"/>
      <c r="M392646" s="472"/>
    </row>
    <row r="392647" spans="12:13" x14ac:dyDescent="0.25">
      <c r="L392647" s="472"/>
      <c r="M392647" s="472"/>
    </row>
    <row r="392719" spans="12:13" x14ac:dyDescent="0.25">
      <c r="L392719" s="472"/>
      <c r="M392719" s="472"/>
    </row>
    <row r="392720" spans="12:13" x14ac:dyDescent="0.25">
      <c r="L392720" s="472"/>
      <c r="M392720" s="472"/>
    </row>
    <row r="392721" spans="12:13" x14ac:dyDescent="0.25">
      <c r="L392721" s="472"/>
      <c r="M392721" s="472"/>
    </row>
    <row r="392793" spans="12:13" x14ac:dyDescent="0.25">
      <c r="L392793" s="472"/>
      <c r="M392793" s="472"/>
    </row>
    <row r="392794" spans="12:13" x14ac:dyDescent="0.25">
      <c r="L392794" s="472"/>
      <c r="M392794" s="472"/>
    </row>
    <row r="392795" spans="12:13" x14ac:dyDescent="0.25">
      <c r="L392795" s="472"/>
      <c r="M392795" s="472"/>
    </row>
    <row r="392867" spans="12:13" x14ac:dyDescent="0.25">
      <c r="L392867" s="472"/>
      <c r="M392867" s="472"/>
    </row>
    <row r="392868" spans="12:13" x14ac:dyDescent="0.25">
      <c r="L392868" s="472"/>
      <c r="M392868" s="472"/>
    </row>
    <row r="392869" spans="12:13" x14ac:dyDescent="0.25">
      <c r="L392869" s="472"/>
      <c r="M392869" s="472"/>
    </row>
    <row r="392941" spans="12:13" x14ac:dyDescent="0.25">
      <c r="L392941" s="472"/>
      <c r="M392941" s="472"/>
    </row>
    <row r="392942" spans="12:13" x14ac:dyDescent="0.25">
      <c r="L392942" s="472"/>
      <c r="M392942" s="472"/>
    </row>
    <row r="392943" spans="12:13" x14ac:dyDescent="0.25">
      <c r="L392943" s="472"/>
      <c r="M392943" s="472"/>
    </row>
    <row r="393015" spans="12:13" x14ac:dyDescent="0.25">
      <c r="L393015" s="472"/>
      <c r="M393015" s="472"/>
    </row>
    <row r="393016" spans="12:13" x14ac:dyDescent="0.25">
      <c r="L393016" s="472"/>
      <c r="M393016" s="472"/>
    </row>
    <row r="393017" spans="12:13" x14ac:dyDescent="0.25">
      <c r="L393017" s="472"/>
      <c r="M393017" s="472"/>
    </row>
    <row r="393089" spans="12:13" x14ac:dyDescent="0.25">
      <c r="L393089" s="472"/>
      <c r="M393089" s="472"/>
    </row>
    <row r="393090" spans="12:13" x14ac:dyDescent="0.25">
      <c r="L393090" s="472"/>
      <c r="M393090" s="472"/>
    </row>
    <row r="393091" spans="12:13" x14ac:dyDescent="0.25">
      <c r="L393091" s="472"/>
      <c r="M393091" s="472"/>
    </row>
    <row r="393163" spans="12:13" x14ac:dyDescent="0.25">
      <c r="L393163" s="472"/>
      <c r="M393163" s="472"/>
    </row>
    <row r="393164" spans="12:13" x14ac:dyDescent="0.25">
      <c r="L393164" s="472"/>
      <c r="M393164" s="472"/>
    </row>
    <row r="393165" spans="12:13" x14ac:dyDescent="0.25">
      <c r="L393165" s="472"/>
      <c r="M393165" s="472"/>
    </row>
    <row r="393237" spans="12:13" x14ac:dyDescent="0.25">
      <c r="L393237" s="472"/>
      <c r="M393237" s="472"/>
    </row>
    <row r="393238" spans="12:13" x14ac:dyDescent="0.25">
      <c r="L393238" s="472"/>
      <c r="M393238" s="472"/>
    </row>
    <row r="393239" spans="12:13" x14ac:dyDescent="0.25">
      <c r="L393239" s="472"/>
      <c r="M393239" s="472"/>
    </row>
    <row r="393311" spans="12:13" x14ac:dyDescent="0.25">
      <c r="L393311" s="472"/>
      <c r="M393311" s="472"/>
    </row>
    <row r="393312" spans="12:13" x14ac:dyDescent="0.25">
      <c r="L393312" s="472"/>
      <c r="M393312" s="472"/>
    </row>
    <row r="393313" spans="12:13" x14ac:dyDescent="0.25">
      <c r="L393313" s="472"/>
      <c r="M393313" s="472"/>
    </row>
    <row r="393385" spans="12:13" x14ac:dyDescent="0.25">
      <c r="L393385" s="472"/>
      <c r="M393385" s="472"/>
    </row>
    <row r="393386" spans="12:13" x14ac:dyDescent="0.25">
      <c r="L393386" s="472"/>
      <c r="M393386" s="472"/>
    </row>
    <row r="393387" spans="12:13" x14ac:dyDescent="0.25">
      <c r="L393387" s="472"/>
      <c r="M393387" s="472"/>
    </row>
    <row r="393459" spans="12:13" x14ac:dyDescent="0.25">
      <c r="L393459" s="472"/>
      <c r="M393459" s="472"/>
    </row>
    <row r="393460" spans="12:13" x14ac:dyDescent="0.25">
      <c r="L393460" s="472"/>
      <c r="M393460" s="472"/>
    </row>
    <row r="393461" spans="12:13" x14ac:dyDescent="0.25">
      <c r="L393461" s="472"/>
      <c r="M393461" s="472"/>
    </row>
    <row r="393533" spans="12:13" x14ac:dyDescent="0.25">
      <c r="L393533" s="472"/>
      <c r="M393533" s="472"/>
    </row>
    <row r="393534" spans="12:13" x14ac:dyDescent="0.25">
      <c r="L393534" s="472"/>
      <c r="M393534" s="472"/>
    </row>
    <row r="393535" spans="12:13" x14ac:dyDescent="0.25">
      <c r="L393535" s="472"/>
      <c r="M393535" s="472"/>
    </row>
    <row r="393607" spans="12:13" x14ac:dyDescent="0.25">
      <c r="L393607" s="472"/>
      <c r="M393607" s="472"/>
    </row>
    <row r="393608" spans="12:13" x14ac:dyDescent="0.25">
      <c r="L393608" s="472"/>
      <c r="M393608" s="472"/>
    </row>
    <row r="393609" spans="12:13" x14ac:dyDescent="0.25">
      <c r="L393609" s="472"/>
      <c r="M393609" s="472"/>
    </row>
    <row r="393681" spans="12:13" x14ac:dyDescent="0.25">
      <c r="L393681" s="472"/>
      <c r="M393681" s="472"/>
    </row>
    <row r="393682" spans="12:13" x14ac:dyDescent="0.25">
      <c r="L393682" s="472"/>
      <c r="M393682" s="472"/>
    </row>
    <row r="393683" spans="12:13" x14ac:dyDescent="0.25">
      <c r="L393683" s="472"/>
      <c r="M393683" s="472"/>
    </row>
    <row r="393755" spans="12:13" x14ac:dyDescent="0.25">
      <c r="L393755" s="472"/>
      <c r="M393755" s="472"/>
    </row>
    <row r="393756" spans="12:13" x14ac:dyDescent="0.25">
      <c r="L393756" s="472"/>
      <c r="M393756" s="472"/>
    </row>
    <row r="393757" spans="12:13" x14ac:dyDescent="0.25">
      <c r="L393757" s="472"/>
      <c r="M393757" s="472"/>
    </row>
    <row r="393829" spans="12:13" x14ac:dyDescent="0.25">
      <c r="L393829" s="472"/>
      <c r="M393829" s="472"/>
    </row>
    <row r="393830" spans="12:13" x14ac:dyDescent="0.25">
      <c r="L393830" s="472"/>
      <c r="M393830" s="472"/>
    </row>
    <row r="393831" spans="12:13" x14ac:dyDescent="0.25">
      <c r="L393831" s="472"/>
      <c r="M393831" s="472"/>
    </row>
    <row r="393903" spans="12:13" x14ac:dyDescent="0.25">
      <c r="L393903" s="472"/>
      <c r="M393903" s="472"/>
    </row>
    <row r="393904" spans="12:13" x14ac:dyDescent="0.25">
      <c r="L393904" s="472"/>
      <c r="M393904" s="472"/>
    </row>
    <row r="393905" spans="12:13" x14ac:dyDescent="0.25">
      <c r="L393905" s="472"/>
      <c r="M393905" s="472"/>
    </row>
    <row r="393977" spans="12:13" x14ac:dyDescent="0.25">
      <c r="L393977" s="472"/>
      <c r="M393977" s="472"/>
    </row>
    <row r="393978" spans="12:13" x14ac:dyDescent="0.25">
      <c r="L393978" s="472"/>
      <c r="M393978" s="472"/>
    </row>
    <row r="393979" spans="12:13" x14ac:dyDescent="0.25">
      <c r="L393979" s="472"/>
      <c r="M393979" s="472"/>
    </row>
    <row r="394051" spans="12:13" x14ac:dyDescent="0.25">
      <c r="L394051" s="472"/>
      <c r="M394051" s="472"/>
    </row>
    <row r="394052" spans="12:13" x14ac:dyDescent="0.25">
      <c r="L394052" s="472"/>
      <c r="M394052" s="472"/>
    </row>
    <row r="394053" spans="12:13" x14ac:dyDescent="0.25">
      <c r="L394053" s="472"/>
      <c r="M394053" s="472"/>
    </row>
    <row r="394125" spans="12:13" x14ac:dyDescent="0.25">
      <c r="L394125" s="472"/>
      <c r="M394125" s="472"/>
    </row>
    <row r="394126" spans="12:13" x14ac:dyDescent="0.25">
      <c r="L394126" s="472"/>
      <c r="M394126" s="472"/>
    </row>
    <row r="394127" spans="12:13" x14ac:dyDescent="0.25">
      <c r="L394127" s="472"/>
      <c r="M394127" s="472"/>
    </row>
    <row r="394199" spans="12:13" x14ac:dyDescent="0.25">
      <c r="L394199" s="472"/>
      <c r="M394199" s="472"/>
    </row>
    <row r="394200" spans="12:13" x14ac:dyDescent="0.25">
      <c r="L394200" s="472"/>
      <c r="M394200" s="472"/>
    </row>
    <row r="394201" spans="12:13" x14ac:dyDescent="0.25">
      <c r="L394201" s="472"/>
      <c r="M394201" s="472"/>
    </row>
    <row r="394273" spans="12:13" x14ac:dyDescent="0.25">
      <c r="L394273" s="472"/>
      <c r="M394273" s="472"/>
    </row>
    <row r="394274" spans="12:13" x14ac:dyDescent="0.25">
      <c r="L394274" s="472"/>
      <c r="M394274" s="472"/>
    </row>
    <row r="394275" spans="12:13" x14ac:dyDescent="0.25">
      <c r="L394275" s="472"/>
      <c r="M394275" s="472"/>
    </row>
    <row r="394347" spans="12:13" x14ac:dyDescent="0.25">
      <c r="L394347" s="472"/>
      <c r="M394347" s="472"/>
    </row>
    <row r="394348" spans="12:13" x14ac:dyDescent="0.25">
      <c r="L394348" s="472"/>
      <c r="M394348" s="472"/>
    </row>
    <row r="394349" spans="12:13" x14ac:dyDescent="0.25">
      <c r="L394349" s="472"/>
      <c r="M394349" s="472"/>
    </row>
    <row r="394421" spans="12:13" x14ac:dyDescent="0.25">
      <c r="L394421" s="472"/>
      <c r="M394421" s="472"/>
    </row>
    <row r="394422" spans="12:13" x14ac:dyDescent="0.25">
      <c r="L394422" s="472"/>
      <c r="M394422" s="472"/>
    </row>
    <row r="394423" spans="12:13" x14ac:dyDescent="0.25">
      <c r="L394423" s="472"/>
      <c r="M394423" s="472"/>
    </row>
    <row r="394495" spans="12:13" x14ac:dyDescent="0.25">
      <c r="L394495" s="472"/>
      <c r="M394495" s="472"/>
    </row>
    <row r="394496" spans="12:13" x14ac:dyDescent="0.25">
      <c r="L394496" s="472"/>
      <c r="M394496" s="472"/>
    </row>
    <row r="394497" spans="12:13" x14ac:dyDescent="0.25">
      <c r="L394497" s="472"/>
      <c r="M394497" s="472"/>
    </row>
    <row r="394569" spans="12:13" x14ac:dyDescent="0.25">
      <c r="L394569" s="472"/>
      <c r="M394569" s="472"/>
    </row>
    <row r="394570" spans="12:13" x14ac:dyDescent="0.25">
      <c r="L394570" s="472"/>
      <c r="M394570" s="472"/>
    </row>
    <row r="394571" spans="12:13" x14ac:dyDescent="0.25">
      <c r="L394571" s="472"/>
      <c r="M394571" s="472"/>
    </row>
    <row r="394643" spans="12:13" x14ac:dyDescent="0.25">
      <c r="L394643" s="472"/>
      <c r="M394643" s="472"/>
    </row>
    <row r="394644" spans="12:13" x14ac:dyDescent="0.25">
      <c r="L394644" s="472"/>
      <c r="M394644" s="472"/>
    </row>
    <row r="394645" spans="12:13" x14ac:dyDescent="0.25">
      <c r="L394645" s="472"/>
      <c r="M394645" s="472"/>
    </row>
    <row r="394717" spans="12:13" x14ac:dyDescent="0.25">
      <c r="L394717" s="472"/>
      <c r="M394717" s="472"/>
    </row>
    <row r="394718" spans="12:13" x14ac:dyDescent="0.25">
      <c r="L394718" s="472"/>
      <c r="M394718" s="472"/>
    </row>
    <row r="394719" spans="12:13" x14ac:dyDescent="0.25">
      <c r="L394719" s="472"/>
      <c r="M394719" s="472"/>
    </row>
    <row r="394791" spans="12:13" x14ac:dyDescent="0.25">
      <c r="L394791" s="472"/>
      <c r="M394791" s="472"/>
    </row>
    <row r="394792" spans="12:13" x14ac:dyDescent="0.25">
      <c r="L394792" s="472"/>
      <c r="M394792" s="472"/>
    </row>
    <row r="394793" spans="12:13" x14ac:dyDescent="0.25">
      <c r="L394793" s="472"/>
      <c r="M394793" s="472"/>
    </row>
    <row r="394865" spans="12:13" x14ac:dyDescent="0.25">
      <c r="L394865" s="472"/>
      <c r="M394865" s="472"/>
    </row>
    <row r="394866" spans="12:13" x14ac:dyDescent="0.25">
      <c r="L394866" s="472"/>
      <c r="M394866" s="472"/>
    </row>
    <row r="394867" spans="12:13" x14ac:dyDescent="0.25">
      <c r="L394867" s="472"/>
      <c r="M394867" s="472"/>
    </row>
    <row r="394939" spans="12:13" x14ac:dyDescent="0.25">
      <c r="L394939" s="472"/>
      <c r="M394939" s="472"/>
    </row>
    <row r="394940" spans="12:13" x14ac:dyDescent="0.25">
      <c r="L394940" s="472"/>
      <c r="M394940" s="472"/>
    </row>
    <row r="394941" spans="12:13" x14ac:dyDescent="0.25">
      <c r="L394941" s="472"/>
      <c r="M394941" s="472"/>
    </row>
    <row r="395013" spans="12:13" x14ac:dyDescent="0.25">
      <c r="L395013" s="472"/>
      <c r="M395013" s="472"/>
    </row>
    <row r="395014" spans="12:13" x14ac:dyDescent="0.25">
      <c r="L395014" s="472"/>
      <c r="M395014" s="472"/>
    </row>
    <row r="395015" spans="12:13" x14ac:dyDescent="0.25">
      <c r="L395015" s="472"/>
      <c r="M395015" s="472"/>
    </row>
    <row r="395087" spans="12:13" x14ac:dyDescent="0.25">
      <c r="L395087" s="472"/>
      <c r="M395087" s="472"/>
    </row>
    <row r="395088" spans="12:13" x14ac:dyDescent="0.25">
      <c r="L395088" s="472"/>
      <c r="M395088" s="472"/>
    </row>
    <row r="395089" spans="12:13" x14ac:dyDescent="0.25">
      <c r="L395089" s="472"/>
      <c r="M395089" s="472"/>
    </row>
    <row r="395161" spans="12:13" x14ac:dyDescent="0.25">
      <c r="L395161" s="472"/>
      <c r="M395161" s="472"/>
    </row>
    <row r="395162" spans="12:13" x14ac:dyDescent="0.25">
      <c r="L395162" s="472"/>
      <c r="M395162" s="472"/>
    </row>
    <row r="395163" spans="12:13" x14ac:dyDescent="0.25">
      <c r="L395163" s="472"/>
      <c r="M395163" s="472"/>
    </row>
    <row r="395235" spans="12:13" x14ac:dyDescent="0.25">
      <c r="L395235" s="472"/>
      <c r="M395235" s="472"/>
    </row>
    <row r="395236" spans="12:13" x14ac:dyDescent="0.25">
      <c r="L395236" s="472"/>
      <c r="M395236" s="472"/>
    </row>
    <row r="395237" spans="12:13" x14ac:dyDescent="0.25">
      <c r="L395237" s="472"/>
      <c r="M395237" s="472"/>
    </row>
    <row r="395309" spans="12:13" x14ac:dyDescent="0.25">
      <c r="L395309" s="472"/>
      <c r="M395309" s="472"/>
    </row>
    <row r="395310" spans="12:13" x14ac:dyDescent="0.25">
      <c r="L395310" s="472"/>
      <c r="M395310" s="472"/>
    </row>
    <row r="395311" spans="12:13" x14ac:dyDescent="0.25">
      <c r="L395311" s="472"/>
      <c r="M395311" s="472"/>
    </row>
    <row r="395383" spans="12:13" x14ac:dyDescent="0.25">
      <c r="L395383" s="472"/>
      <c r="M395383" s="472"/>
    </row>
    <row r="395384" spans="12:13" x14ac:dyDescent="0.25">
      <c r="L395384" s="472"/>
      <c r="M395384" s="472"/>
    </row>
    <row r="395385" spans="12:13" x14ac:dyDescent="0.25">
      <c r="L395385" s="472"/>
      <c r="M395385" s="472"/>
    </row>
    <row r="395457" spans="12:13" x14ac:dyDescent="0.25">
      <c r="L395457" s="472"/>
      <c r="M395457" s="472"/>
    </row>
    <row r="395458" spans="12:13" x14ac:dyDescent="0.25">
      <c r="L395458" s="472"/>
      <c r="M395458" s="472"/>
    </row>
    <row r="395459" spans="12:13" x14ac:dyDescent="0.25">
      <c r="L395459" s="472"/>
      <c r="M395459" s="472"/>
    </row>
    <row r="395531" spans="12:13" x14ac:dyDescent="0.25">
      <c r="L395531" s="472"/>
      <c r="M395531" s="472"/>
    </row>
    <row r="395532" spans="12:13" x14ac:dyDescent="0.25">
      <c r="L395532" s="472"/>
      <c r="M395532" s="472"/>
    </row>
    <row r="395533" spans="12:13" x14ac:dyDescent="0.25">
      <c r="L395533" s="472"/>
      <c r="M395533" s="472"/>
    </row>
    <row r="395605" spans="12:13" x14ac:dyDescent="0.25">
      <c r="L395605" s="472"/>
      <c r="M395605" s="472"/>
    </row>
    <row r="395606" spans="12:13" x14ac:dyDescent="0.25">
      <c r="L395606" s="472"/>
      <c r="M395606" s="472"/>
    </row>
    <row r="395607" spans="12:13" x14ac:dyDescent="0.25">
      <c r="L395607" s="472"/>
      <c r="M395607" s="472"/>
    </row>
    <row r="395679" spans="12:13" x14ac:dyDescent="0.25">
      <c r="L395679" s="472"/>
      <c r="M395679" s="472"/>
    </row>
    <row r="395680" spans="12:13" x14ac:dyDescent="0.25">
      <c r="L395680" s="472"/>
      <c r="M395680" s="472"/>
    </row>
    <row r="395681" spans="12:13" x14ac:dyDescent="0.25">
      <c r="L395681" s="472"/>
      <c r="M395681" s="472"/>
    </row>
    <row r="395753" spans="12:13" x14ac:dyDescent="0.25">
      <c r="L395753" s="472"/>
      <c r="M395753" s="472"/>
    </row>
    <row r="395754" spans="12:13" x14ac:dyDescent="0.25">
      <c r="L395754" s="472"/>
      <c r="M395754" s="472"/>
    </row>
    <row r="395755" spans="12:13" x14ac:dyDescent="0.25">
      <c r="L395755" s="472"/>
      <c r="M395755" s="472"/>
    </row>
    <row r="395827" spans="12:13" x14ac:dyDescent="0.25">
      <c r="L395827" s="472"/>
      <c r="M395827" s="472"/>
    </row>
    <row r="395828" spans="12:13" x14ac:dyDescent="0.25">
      <c r="L395828" s="472"/>
      <c r="M395828" s="472"/>
    </row>
    <row r="395829" spans="12:13" x14ac:dyDescent="0.25">
      <c r="L395829" s="472"/>
      <c r="M395829" s="472"/>
    </row>
    <row r="395901" spans="12:13" x14ac:dyDescent="0.25">
      <c r="L395901" s="472"/>
      <c r="M395901" s="472"/>
    </row>
    <row r="395902" spans="12:13" x14ac:dyDescent="0.25">
      <c r="L395902" s="472"/>
      <c r="M395902" s="472"/>
    </row>
    <row r="395903" spans="12:13" x14ac:dyDescent="0.25">
      <c r="L395903" s="472"/>
      <c r="M395903" s="472"/>
    </row>
    <row r="395975" spans="12:13" x14ac:dyDescent="0.25">
      <c r="L395975" s="472"/>
      <c r="M395975" s="472"/>
    </row>
    <row r="395976" spans="12:13" x14ac:dyDescent="0.25">
      <c r="L395976" s="472"/>
      <c r="M395976" s="472"/>
    </row>
    <row r="395977" spans="12:13" x14ac:dyDescent="0.25">
      <c r="L395977" s="472"/>
      <c r="M395977" s="472"/>
    </row>
    <row r="396049" spans="12:13" x14ac:dyDescent="0.25">
      <c r="L396049" s="472"/>
      <c r="M396049" s="472"/>
    </row>
    <row r="396050" spans="12:13" x14ac:dyDescent="0.25">
      <c r="L396050" s="472"/>
      <c r="M396050" s="472"/>
    </row>
    <row r="396051" spans="12:13" x14ac:dyDescent="0.25">
      <c r="L396051" s="472"/>
      <c r="M396051" s="472"/>
    </row>
    <row r="396123" spans="12:13" x14ac:dyDescent="0.25">
      <c r="L396123" s="472"/>
      <c r="M396123" s="472"/>
    </row>
    <row r="396124" spans="12:13" x14ac:dyDescent="0.25">
      <c r="L396124" s="472"/>
      <c r="M396124" s="472"/>
    </row>
    <row r="396125" spans="12:13" x14ac:dyDescent="0.25">
      <c r="L396125" s="472"/>
      <c r="M396125" s="472"/>
    </row>
    <row r="396197" spans="12:13" x14ac:dyDescent="0.25">
      <c r="L396197" s="472"/>
      <c r="M396197" s="472"/>
    </row>
    <row r="396198" spans="12:13" x14ac:dyDescent="0.25">
      <c r="L396198" s="472"/>
      <c r="M396198" s="472"/>
    </row>
    <row r="396199" spans="12:13" x14ac:dyDescent="0.25">
      <c r="L396199" s="472"/>
      <c r="M396199" s="472"/>
    </row>
    <row r="396271" spans="12:13" x14ac:dyDescent="0.25">
      <c r="L396271" s="472"/>
      <c r="M396271" s="472"/>
    </row>
    <row r="396272" spans="12:13" x14ac:dyDescent="0.25">
      <c r="L396272" s="472"/>
      <c r="M396272" s="472"/>
    </row>
    <row r="396273" spans="12:13" x14ac:dyDescent="0.25">
      <c r="L396273" s="472"/>
      <c r="M396273" s="472"/>
    </row>
    <row r="396345" spans="12:13" x14ac:dyDescent="0.25">
      <c r="L396345" s="472"/>
      <c r="M396345" s="472"/>
    </row>
    <row r="396346" spans="12:13" x14ac:dyDescent="0.25">
      <c r="L396346" s="472"/>
      <c r="M396346" s="472"/>
    </row>
    <row r="396347" spans="12:13" x14ac:dyDescent="0.25">
      <c r="L396347" s="472"/>
      <c r="M396347" s="472"/>
    </row>
    <row r="396419" spans="12:13" x14ac:dyDescent="0.25">
      <c r="L396419" s="472"/>
      <c r="M396419" s="472"/>
    </row>
    <row r="396420" spans="12:13" x14ac:dyDescent="0.25">
      <c r="L396420" s="472"/>
      <c r="M396420" s="472"/>
    </row>
    <row r="396421" spans="12:13" x14ac:dyDescent="0.25">
      <c r="L396421" s="472"/>
      <c r="M396421" s="472"/>
    </row>
    <row r="396493" spans="12:13" x14ac:dyDescent="0.25">
      <c r="L396493" s="472"/>
      <c r="M396493" s="472"/>
    </row>
    <row r="396494" spans="12:13" x14ac:dyDescent="0.25">
      <c r="L396494" s="472"/>
      <c r="M396494" s="472"/>
    </row>
    <row r="396495" spans="12:13" x14ac:dyDescent="0.25">
      <c r="L396495" s="472"/>
      <c r="M396495" s="472"/>
    </row>
    <row r="396567" spans="12:13" x14ac:dyDescent="0.25">
      <c r="L396567" s="472"/>
      <c r="M396567" s="472"/>
    </row>
    <row r="396568" spans="12:13" x14ac:dyDescent="0.25">
      <c r="L396568" s="472"/>
      <c r="M396568" s="472"/>
    </row>
    <row r="396569" spans="12:13" x14ac:dyDescent="0.25">
      <c r="L396569" s="472"/>
      <c r="M396569" s="472"/>
    </row>
    <row r="396641" spans="12:13" x14ac:dyDescent="0.25">
      <c r="L396641" s="472"/>
      <c r="M396641" s="472"/>
    </row>
    <row r="396642" spans="12:13" x14ac:dyDescent="0.25">
      <c r="L396642" s="472"/>
      <c r="M396642" s="472"/>
    </row>
    <row r="396643" spans="12:13" x14ac:dyDescent="0.25">
      <c r="L396643" s="472"/>
      <c r="M396643" s="472"/>
    </row>
    <row r="396715" spans="12:13" x14ac:dyDescent="0.25">
      <c r="L396715" s="472"/>
      <c r="M396715" s="472"/>
    </row>
    <row r="396716" spans="12:13" x14ac:dyDescent="0.25">
      <c r="L396716" s="472"/>
      <c r="M396716" s="472"/>
    </row>
    <row r="396717" spans="12:13" x14ac:dyDescent="0.25">
      <c r="L396717" s="472"/>
      <c r="M396717" s="472"/>
    </row>
    <row r="396789" spans="12:13" x14ac:dyDescent="0.25">
      <c r="L396789" s="472"/>
      <c r="M396789" s="472"/>
    </row>
    <row r="396790" spans="12:13" x14ac:dyDescent="0.25">
      <c r="L396790" s="472"/>
      <c r="M396790" s="472"/>
    </row>
    <row r="396791" spans="12:13" x14ac:dyDescent="0.25">
      <c r="L396791" s="472"/>
      <c r="M396791" s="472"/>
    </row>
    <row r="396863" spans="12:13" x14ac:dyDescent="0.25">
      <c r="L396863" s="472"/>
      <c r="M396863" s="472"/>
    </row>
    <row r="396864" spans="12:13" x14ac:dyDescent="0.25">
      <c r="L396864" s="472"/>
      <c r="M396864" s="472"/>
    </row>
    <row r="396865" spans="12:13" x14ac:dyDescent="0.25">
      <c r="L396865" s="472"/>
      <c r="M396865" s="472"/>
    </row>
    <row r="396937" spans="12:13" x14ac:dyDescent="0.25">
      <c r="L396937" s="472"/>
      <c r="M396937" s="472"/>
    </row>
    <row r="396938" spans="12:13" x14ac:dyDescent="0.25">
      <c r="L396938" s="472"/>
      <c r="M396938" s="472"/>
    </row>
    <row r="396939" spans="12:13" x14ac:dyDescent="0.25">
      <c r="L396939" s="472"/>
      <c r="M396939" s="472"/>
    </row>
    <row r="397011" spans="12:13" x14ac:dyDescent="0.25">
      <c r="L397011" s="472"/>
      <c r="M397011" s="472"/>
    </row>
    <row r="397012" spans="12:13" x14ac:dyDescent="0.25">
      <c r="L397012" s="472"/>
      <c r="M397012" s="472"/>
    </row>
    <row r="397013" spans="12:13" x14ac:dyDescent="0.25">
      <c r="L397013" s="472"/>
      <c r="M397013" s="472"/>
    </row>
    <row r="397085" spans="12:13" x14ac:dyDescent="0.25">
      <c r="L397085" s="472"/>
      <c r="M397085" s="472"/>
    </row>
    <row r="397086" spans="12:13" x14ac:dyDescent="0.25">
      <c r="L397086" s="472"/>
      <c r="M397086" s="472"/>
    </row>
    <row r="397087" spans="12:13" x14ac:dyDescent="0.25">
      <c r="L397087" s="472"/>
      <c r="M397087" s="472"/>
    </row>
    <row r="397159" spans="12:13" x14ac:dyDescent="0.25">
      <c r="L397159" s="472"/>
      <c r="M397159" s="472"/>
    </row>
    <row r="397160" spans="12:13" x14ac:dyDescent="0.25">
      <c r="L397160" s="472"/>
      <c r="M397160" s="472"/>
    </row>
    <row r="397161" spans="12:13" x14ac:dyDescent="0.25">
      <c r="L397161" s="472"/>
      <c r="M397161" s="472"/>
    </row>
    <row r="397233" spans="12:13" x14ac:dyDescent="0.25">
      <c r="L397233" s="472"/>
      <c r="M397233" s="472"/>
    </row>
    <row r="397234" spans="12:13" x14ac:dyDescent="0.25">
      <c r="L397234" s="472"/>
      <c r="M397234" s="472"/>
    </row>
    <row r="397235" spans="12:13" x14ac:dyDescent="0.25">
      <c r="L397235" s="472"/>
      <c r="M397235" s="472"/>
    </row>
    <row r="397307" spans="12:13" x14ac:dyDescent="0.25">
      <c r="L397307" s="472"/>
      <c r="M397307" s="472"/>
    </row>
    <row r="397308" spans="12:13" x14ac:dyDescent="0.25">
      <c r="L397308" s="472"/>
      <c r="M397308" s="472"/>
    </row>
    <row r="397309" spans="12:13" x14ac:dyDescent="0.25">
      <c r="L397309" s="472"/>
      <c r="M397309" s="472"/>
    </row>
    <row r="397381" spans="12:13" x14ac:dyDescent="0.25">
      <c r="L397381" s="472"/>
      <c r="M397381" s="472"/>
    </row>
    <row r="397382" spans="12:13" x14ac:dyDescent="0.25">
      <c r="L397382" s="472"/>
      <c r="M397382" s="472"/>
    </row>
    <row r="397383" spans="12:13" x14ac:dyDescent="0.25">
      <c r="L397383" s="472"/>
      <c r="M397383" s="472"/>
    </row>
    <row r="397455" spans="12:13" x14ac:dyDescent="0.25">
      <c r="L397455" s="472"/>
      <c r="M397455" s="472"/>
    </row>
    <row r="397456" spans="12:13" x14ac:dyDescent="0.25">
      <c r="L397456" s="472"/>
      <c r="M397456" s="472"/>
    </row>
    <row r="397457" spans="12:13" x14ac:dyDescent="0.25">
      <c r="L397457" s="472"/>
      <c r="M397457" s="472"/>
    </row>
    <row r="397529" spans="12:13" x14ac:dyDescent="0.25">
      <c r="L397529" s="472"/>
      <c r="M397529" s="472"/>
    </row>
    <row r="397530" spans="12:13" x14ac:dyDescent="0.25">
      <c r="L397530" s="472"/>
      <c r="M397530" s="472"/>
    </row>
    <row r="397531" spans="12:13" x14ac:dyDescent="0.25">
      <c r="L397531" s="472"/>
      <c r="M397531" s="472"/>
    </row>
    <row r="397603" spans="12:13" x14ac:dyDescent="0.25">
      <c r="L397603" s="472"/>
      <c r="M397603" s="472"/>
    </row>
    <row r="397604" spans="12:13" x14ac:dyDescent="0.25">
      <c r="L397604" s="472"/>
      <c r="M397604" s="472"/>
    </row>
    <row r="397605" spans="12:13" x14ac:dyDescent="0.25">
      <c r="L397605" s="472"/>
      <c r="M397605" s="472"/>
    </row>
    <row r="397677" spans="12:13" x14ac:dyDescent="0.25">
      <c r="L397677" s="472"/>
      <c r="M397677" s="472"/>
    </row>
    <row r="397678" spans="12:13" x14ac:dyDescent="0.25">
      <c r="L397678" s="472"/>
      <c r="M397678" s="472"/>
    </row>
    <row r="397679" spans="12:13" x14ac:dyDescent="0.25">
      <c r="L397679" s="472"/>
      <c r="M397679" s="472"/>
    </row>
    <row r="397751" spans="12:13" x14ac:dyDescent="0.25">
      <c r="L397751" s="472"/>
      <c r="M397751" s="472"/>
    </row>
    <row r="397752" spans="12:13" x14ac:dyDescent="0.25">
      <c r="L397752" s="472"/>
      <c r="M397752" s="472"/>
    </row>
    <row r="397753" spans="12:13" x14ac:dyDescent="0.25">
      <c r="L397753" s="472"/>
      <c r="M397753" s="472"/>
    </row>
    <row r="397825" spans="12:13" x14ac:dyDescent="0.25">
      <c r="L397825" s="472"/>
      <c r="M397825" s="472"/>
    </row>
    <row r="397826" spans="12:13" x14ac:dyDescent="0.25">
      <c r="L397826" s="472"/>
      <c r="M397826" s="472"/>
    </row>
    <row r="397827" spans="12:13" x14ac:dyDescent="0.25">
      <c r="L397827" s="472"/>
      <c r="M397827" s="472"/>
    </row>
    <row r="397899" spans="12:13" x14ac:dyDescent="0.25">
      <c r="L397899" s="472"/>
      <c r="M397899" s="472"/>
    </row>
    <row r="397900" spans="12:13" x14ac:dyDescent="0.25">
      <c r="L397900" s="472"/>
      <c r="M397900" s="472"/>
    </row>
    <row r="397901" spans="12:13" x14ac:dyDescent="0.25">
      <c r="L397901" s="472"/>
      <c r="M397901" s="472"/>
    </row>
    <row r="397973" spans="12:13" x14ac:dyDescent="0.25">
      <c r="L397973" s="472"/>
      <c r="M397973" s="472"/>
    </row>
    <row r="397974" spans="12:13" x14ac:dyDescent="0.25">
      <c r="L397974" s="472"/>
      <c r="M397974" s="472"/>
    </row>
    <row r="397975" spans="12:13" x14ac:dyDescent="0.25">
      <c r="L397975" s="472"/>
      <c r="M397975" s="472"/>
    </row>
    <row r="398047" spans="12:13" x14ac:dyDescent="0.25">
      <c r="L398047" s="472"/>
      <c r="M398047" s="472"/>
    </row>
    <row r="398048" spans="12:13" x14ac:dyDescent="0.25">
      <c r="L398048" s="472"/>
      <c r="M398048" s="472"/>
    </row>
    <row r="398049" spans="12:13" x14ac:dyDescent="0.25">
      <c r="L398049" s="472"/>
      <c r="M398049" s="472"/>
    </row>
    <row r="398121" spans="12:13" x14ac:dyDescent="0.25">
      <c r="L398121" s="472"/>
      <c r="M398121" s="472"/>
    </row>
    <row r="398122" spans="12:13" x14ac:dyDescent="0.25">
      <c r="L398122" s="472"/>
      <c r="M398122" s="472"/>
    </row>
    <row r="398123" spans="12:13" x14ac:dyDescent="0.25">
      <c r="L398123" s="472"/>
      <c r="M398123" s="472"/>
    </row>
    <row r="398195" spans="12:13" x14ac:dyDescent="0.25">
      <c r="L398195" s="472"/>
      <c r="M398195" s="472"/>
    </row>
    <row r="398196" spans="12:13" x14ac:dyDescent="0.25">
      <c r="L398196" s="472"/>
      <c r="M398196" s="472"/>
    </row>
    <row r="398197" spans="12:13" x14ac:dyDescent="0.25">
      <c r="L398197" s="472"/>
      <c r="M398197" s="472"/>
    </row>
    <row r="398269" spans="12:13" x14ac:dyDescent="0.25">
      <c r="L398269" s="472"/>
      <c r="M398269" s="472"/>
    </row>
    <row r="398270" spans="12:13" x14ac:dyDescent="0.25">
      <c r="L398270" s="472"/>
      <c r="M398270" s="472"/>
    </row>
    <row r="398271" spans="12:13" x14ac:dyDescent="0.25">
      <c r="L398271" s="472"/>
      <c r="M398271" s="472"/>
    </row>
    <row r="398343" spans="12:13" x14ac:dyDescent="0.25">
      <c r="L398343" s="472"/>
      <c r="M398343" s="472"/>
    </row>
    <row r="398344" spans="12:13" x14ac:dyDescent="0.25">
      <c r="L398344" s="472"/>
      <c r="M398344" s="472"/>
    </row>
    <row r="398345" spans="12:13" x14ac:dyDescent="0.25">
      <c r="L398345" s="472"/>
      <c r="M398345" s="472"/>
    </row>
    <row r="398417" spans="12:13" x14ac:dyDescent="0.25">
      <c r="L398417" s="472"/>
      <c r="M398417" s="472"/>
    </row>
    <row r="398418" spans="12:13" x14ac:dyDescent="0.25">
      <c r="L398418" s="472"/>
      <c r="M398418" s="472"/>
    </row>
    <row r="398419" spans="12:13" x14ac:dyDescent="0.25">
      <c r="L398419" s="472"/>
      <c r="M398419" s="472"/>
    </row>
    <row r="398491" spans="12:13" x14ac:dyDescent="0.25">
      <c r="L398491" s="472"/>
      <c r="M398491" s="472"/>
    </row>
    <row r="398492" spans="12:13" x14ac:dyDescent="0.25">
      <c r="L398492" s="472"/>
      <c r="M398492" s="472"/>
    </row>
    <row r="398493" spans="12:13" x14ac:dyDescent="0.25">
      <c r="L398493" s="472"/>
      <c r="M398493" s="472"/>
    </row>
    <row r="398565" spans="12:13" x14ac:dyDescent="0.25">
      <c r="L398565" s="472"/>
      <c r="M398565" s="472"/>
    </row>
    <row r="398566" spans="12:13" x14ac:dyDescent="0.25">
      <c r="L398566" s="472"/>
      <c r="M398566" s="472"/>
    </row>
    <row r="398567" spans="12:13" x14ac:dyDescent="0.25">
      <c r="L398567" s="472"/>
      <c r="M398567" s="472"/>
    </row>
    <row r="398639" spans="12:13" x14ac:dyDescent="0.25">
      <c r="L398639" s="472"/>
      <c r="M398639" s="472"/>
    </row>
    <row r="398640" spans="12:13" x14ac:dyDescent="0.25">
      <c r="L398640" s="472"/>
      <c r="M398640" s="472"/>
    </row>
    <row r="398641" spans="12:13" x14ac:dyDescent="0.25">
      <c r="L398641" s="472"/>
      <c r="M398641" s="472"/>
    </row>
    <row r="398713" spans="12:13" x14ac:dyDescent="0.25">
      <c r="L398713" s="472"/>
      <c r="M398713" s="472"/>
    </row>
    <row r="398714" spans="12:13" x14ac:dyDescent="0.25">
      <c r="L398714" s="472"/>
      <c r="M398714" s="472"/>
    </row>
    <row r="398715" spans="12:13" x14ac:dyDescent="0.25">
      <c r="L398715" s="472"/>
      <c r="M398715" s="472"/>
    </row>
    <row r="398787" spans="12:13" x14ac:dyDescent="0.25">
      <c r="L398787" s="472"/>
      <c r="M398787" s="472"/>
    </row>
    <row r="398788" spans="12:13" x14ac:dyDescent="0.25">
      <c r="L398788" s="472"/>
      <c r="M398788" s="472"/>
    </row>
    <row r="398789" spans="12:13" x14ac:dyDescent="0.25">
      <c r="L398789" s="472"/>
      <c r="M398789" s="472"/>
    </row>
    <row r="398861" spans="12:13" x14ac:dyDescent="0.25">
      <c r="L398861" s="472"/>
      <c r="M398861" s="472"/>
    </row>
    <row r="398862" spans="12:13" x14ac:dyDescent="0.25">
      <c r="L398862" s="472"/>
      <c r="M398862" s="472"/>
    </row>
    <row r="398863" spans="12:13" x14ac:dyDescent="0.25">
      <c r="L398863" s="472"/>
      <c r="M398863" s="472"/>
    </row>
    <row r="398935" spans="12:13" x14ac:dyDescent="0.25">
      <c r="L398935" s="472"/>
      <c r="M398935" s="472"/>
    </row>
    <row r="398936" spans="12:13" x14ac:dyDescent="0.25">
      <c r="L398936" s="472"/>
      <c r="M398936" s="472"/>
    </row>
    <row r="398937" spans="12:13" x14ac:dyDescent="0.25">
      <c r="L398937" s="472"/>
      <c r="M398937" s="472"/>
    </row>
    <row r="399009" spans="12:13" x14ac:dyDescent="0.25">
      <c r="L399009" s="472"/>
      <c r="M399009" s="472"/>
    </row>
    <row r="399010" spans="12:13" x14ac:dyDescent="0.25">
      <c r="L399010" s="472"/>
      <c r="M399010" s="472"/>
    </row>
    <row r="399011" spans="12:13" x14ac:dyDescent="0.25">
      <c r="L399011" s="472"/>
      <c r="M399011" s="472"/>
    </row>
    <row r="399083" spans="12:13" x14ac:dyDescent="0.25">
      <c r="L399083" s="472"/>
      <c r="M399083" s="472"/>
    </row>
    <row r="399084" spans="12:13" x14ac:dyDescent="0.25">
      <c r="L399084" s="472"/>
      <c r="M399084" s="472"/>
    </row>
    <row r="399085" spans="12:13" x14ac:dyDescent="0.25">
      <c r="L399085" s="472"/>
      <c r="M399085" s="472"/>
    </row>
    <row r="399157" spans="12:13" x14ac:dyDescent="0.25">
      <c r="L399157" s="472"/>
      <c r="M399157" s="472"/>
    </row>
    <row r="399158" spans="12:13" x14ac:dyDescent="0.25">
      <c r="L399158" s="472"/>
      <c r="M399158" s="472"/>
    </row>
    <row r="399159" spans="12:13" x14ac:dyDescent="0.25">
      <c r="L399159" s="472"/>
      <c r="M399159" s="472"/>
    </row>
    <row r="399231" spans="12:13" x14ac:dyDescent="0.25">
      <c r="L399231" s="472"/>
      <c r="M399231" s="472"/>
    </row>
    <row r="399232" spans="12:13" x14ac:dyDescent="0.25">
      <c r="L399232" s="472"/>
      <c r="M399232" s="472"/>
    </row>
    <row r="399233" spans="12:13" x14ac:dyDescent="0.25">
      <c r="L399233" s="472"/>
      <c r="M399233" s="472"/>
    </row>
    <row r="399305" spans="12:13" x14ac:dyDescent="0.25">
      <c r="L399305" s="472"/>
      <c r="M399305" s="472"/>
    </row>
    <row r="399306" spans="12:13" x14ac:dyDescent="0.25">
      <c r="L399306" s="472"/>
      <c r="M399306" s="472"/>
    </row>
    <row r="399307" spans="12:13" x14ac:dyDescent="0.25">
      <c r="L399307" s="472"/>
      <c r="M399307" s="472"/>
    </row>
    <row r="399379" spans="12:13" x14ac:dyDescent="0.25">
      <c r="L399379" s="472"/>
      <c r="M399379" s="472"/>
    </row>
    <row r="399380" spans="12:13" x14ac:dyDescent="0.25">
      <c r="L399380" s="472"/>
      <c r="M399380" s="472"/>
    </row>
    <row r="399381" spans="12:13" x14ac:dyDescent="0.25">
      <c r="L399381" s="472"/>
      <c r="M399381" s="472"/>
    </row>
    <row r="399453" spans="12:13" x14ac:dyDescent="0.25">
      <c r="L399453" s="472"/>
      <c r="M399453" s="472"/>
    </row>
    <row r="399454" spans="12:13" x14ac:dyDescent="0.25">
      <c r="L399454" s="472"/>
      <c r="M399454" s="472"/>
    </row>
    <row r="399455" spans="12:13" x14ac:dyDescent="0.25">
      <c r="L399455" s="472"/>
      <c r="M399455" s="472"/>
    </row>
    <row r="399527" spans="12:13" x14ac:dyDescent="0.25">
      <c r="L399527" s="472"/>
      <c r="M399527" s="472"/>
    </row>
    <row r="399528" spans="12:13" x14ac:dyDescent="0.25">
      <c r="L399528" s="472"/>
      <c r="M399528" s="472"/>
    </row>
    <row r="399529" spans="12:13" x14ac:dyDescent="0.25">
      <c r="L399529" s="472"/>
      <c r="M399529" s="472"/>
    </row>
    <row r="399601" spans="12:13" x14ac:dyDescent="0.25">
      <c r="L399601" s="472"/>
      <c r="M399601" s="472"/>
    </row>
    <row r="399602" spans="12:13" x14ac:dyDescent="0.25">
      <c r="L399602" s="472"/>
      <c r="M399602" s="472"/>
    </row>
    <row r="399603" spans="12:13" x14ac:dyDescent="0.25">
      <c r="L399603" s="472"/>
      <c r="M399603" s="472"/>
    </row>
    <row r="399675" spans="12:13" x14ac:dyDescent="0.25">
      <c r="L399675" s="472"/>
      <c r="M399675" s="472"/>
    </row>
    <row r="399676" spans="12:13" x14ac:dyDescent="0.25">
      <c r="L399676" s="472"/>
      <c r="M399676" s="472"/>
    </row>
    <row r="399677" spans="12:13" x14ac:dyDescent="0.25">
      <c r="L399677" s="472"/>
      <c r="M399677" s="472"/>
    </row>
    <row r="399749" spans="12:13" x14ac:dyDescent="0.25">
      <c r="L399749" s="472"/>
      <c r="M399749" s="472"/>
    </row>
    <row r="399750" spans="12:13" x14ac:dyDescent="0.25">
      <c r="L399750" s="472"/>
      <c r="M399750" s="472"/>
    </row>
    <row r="399751" spans="12:13" x14ac:dyDescent="0.25">
      <c r="L399751" s="472"/>
      <c r="M399751" s="472"/>
    </row>
    <row r="399823" spans="12:13" x14ac:dyDescent="0.25">
      <c r="L399823" s="472"/>
      <c r="M399823" s="472"/>
    </row>
    <row r="399824" spans="12:13" x14ac:dyDescent="0.25">
      <c r="L399824" s="472"/>
      <c r="M399824" s="472"/>
    </row>
    <row r="399825" spans="12:13" x14ac:dyDescent="0.25">
      <c r="L399825" s="472"/>
      <c r="M399825" s="472"/>
    </row>
    <row r="399897" spans="12:13" x14ac:dyDescent="0.25">
      <c r="L399897" s="472"/>
      <c r="M399897" s="472"/>
    </row>
    <row r="399898" spans="12:13" x14ac:dyDescent="0.25">
      <c r="L399898" s="472"/>
      <c r="M399898" s="472"/>
    </row>
    <row r="399899" spans="12:13" x14ac:dyDescent="0.25">
      <c r="L399899" s="472"/>
      <c r="M399899" s="472"/>
    </row>
    <row r="399971" spans="12:13" x14ac:dyDescent="0.25">
      <c r="L399971" s="472"/>
      <c r="M399971" s="472"/>
    </row>
    <row r="399972" spans="12:13" x14ac:dyDescent="0.25">
      <c r="L399972" s="472"/>
      <c r="M399972" s="472"/>
    </row>
    <row r="399973" spans="12:13" x14ac:dyDescent="0.25">
      <c r="L399973" s="472"/>
      <c r="M399973" s="472"/>
    </row>
    <row r="400045" spans="12:13" x14ac:dyDescent="0.25">
      <c r="L400045" s="472"/>
      <c r="M400045" s="472"/>
    </row>
    <row r="400046" spans="12:13" x14ac:dyDescent="0.25">
      <c r="L400046" s="472"/>
      <c r="M400046" s="472"/>
    </row>
    <row r="400047" spans="12:13" x14ac:dyDescent="0.25">
      <c r="L400047" s="472"/>
      <c r="M400047" s="472"/>
    </row>
    <row r="400119" spans="12:13" x14ac:dyDescent="0.25">
      <c r="L400119" s="472"/>
      <c r="M400119" s="472"/>
    </row>
    <row r="400120" spans="12:13" x14ac:dyDescent="0.25">
      <c r="L400120" s="472"/>
      <c r="M400120" s="472"/>
    </row>
    <row r="400121" spans="12:13" x14ac:dyDescent="0.25">
      <c r="L400121" s="472"/>
      <c r="M400121" s="472"/>
    </row>
    <row r="400193" spans="12:13" x14ac:dyDescent="0.25">
      <c r="L400193" s="472"/>
      <c r="M400193" s="472"/>
    </row>
    <row r="400194" spans="12:13" x14ac:dyDescent="0.25">
      <c r="L400194" s="472"/>
      <c r="M400194" s="472"/>
    </row>
    <row r="400195" spans="12:13" x14ac:dyDescent="0.25">
      <c r="L400195" s="472"/>
      <c r="M400195" s="472"/>
    </row>
    <row r="400267" spans="12:13" x14ac:dyDescent="0.25">
      <c r="L400267" s="472"/>
      <c r="M400267" s="472"/>
    </row>
    <row r="400268" spans="12:13" x14ac:dyDescent="0.25">
      <c r="L400268" s="472"/>
      <c r="M400268" s="472"/>
    </row>
    <row r="400269" spans="12:13" x14ac:dyDescent="0.25">
      <c r="L400269" s="472"/>
      <c r="M400269" s="472"/>
    </row>
    <row r="400341" spans="12:13" x14ac:dyDescent="0.25">
      <c r="L400341" s="472"/>
      <c r="M400341" s="472"/>
    </row>
    <row r="400342" spans="12:13" x14ac:dyDescent="0.25">
      <c r="L400342" s="472"/>
      <c r="M400342" s="472"/>
    </row>
    <row r="400343" spans="12:13" x14ac:dyDescent="0.25">
      <c r="L400343" s="472"/>
      <c r="M400343" s="472"/>
    </row>
    <row r="400415" spans="12:13" x14ac:dyDescent="0.25">
      <c r="L400415" s="472"/>
      <c r="M400415" s="472"/>
    </row>
    <row r="400416" spans="12:13" x14ac:dyDescent="0.25">
      <c r="L400416" s="472"/>
      <c r="M400416" s="472"/>
    </row>
    <row r="400417" spans="12:13" x14ac:dyDescent="0.25">
      <c r="L400417" s="472"/>
      <c r="M400417" s="472"/>
    </row>
    <row r="400489" spans="12:13" x14ac:dyDescent="0.25">
      <c r="L400489" s="472"/>
      <c r="M400489" s="472"/>
    </row>
    <row r="400490" spans="12:13" x14ac:dyDescent="0.25">
      <c r="L400490" s="472"/>
      <c r="M400490" s="472"/>
    </row>
    <row r="400491" spans="12:13" x14ac:dyDescent="0.25">
      <c r="L400491" s="472"/>
      <c r="M400491" s="472"/>
    </row>
    <row r="400563" spans="12:13" x14ac:dyDescent="0.25">
      <c r="L400563" s="472"/>
      <c r="M400563" s="472"/>
    </row>
    <row r="400564" spans="12:13" x14ac:dyDescent="0.25">
      <c r="L400564" s="472"/>
      <c r="M400564" s="472"/>
    </row>
    <row r="400565" spans="12:13" x14ac:dyDescent="0.25">
      <c r="L400565" s="472"/>
      <c r="M400565" s="472"/>
    </row>
    <row r="400637" spans="12:13" x14ac:dyDescent="0.25">
      <c r="L400637" s="472"/>
      <c r="M400637" s="472"/>
    </row>
    <row r="400638" spans="12:13" x14ac:dyDescent="0.25">
      <c r="L400638" s="472"/>
      <c r="M400638" s="472"/>
    </row>
    <row r="400639" spans="12:13" x14ac:dyDescent="0.25">
      <c r="L400639" s="472"/>
      <c r="M400639" s="472"/>
    </row>
    <row r="400711" spans="12:13" x14ac:dyDescent="0.25">
      <c r="L400711" s="472"/>
      <c r="M400711" s="472"/>
    </row>
    <row r="400712" spans="12:13" x14ac:dyDescent="0.25">
      <c r="L400712" s="472"/>
      <c r="M400712" s="472"/>
    </row>
    <row r="400713" spans="12:13" x14ac:dyDescent="0.25">
      <c r="L400713" s="472"/>
      <c r="M400713" s="472"/>
    </row>
    <row r="400785" spans="12:13" x14ac:dyDescent="0.25">
      <c r="L400785" s="472"/>
      <c r="M400785" s="472"/>
    </row>
    <row r="400786" spans="12:13" x14ac:dyDescent="0.25">
      <c r="L400786" s="472"/>
      <c r="M400786" s="472"/>
    </row>
    <row r="400787" spans="12:13" x14ac:dyDescent="0.25">
      <c r="L400787" s="472"/>
      <c r="M400787" s="472"/>
    </row>
    <row r="400859" spans="12:13" x14ac:dyDescent="0.25">
      <c r="L400859" s="472"/>
      <c r="M400859" s="472"/>
    </row>
    <row r="400860" spans="12:13" x14ac:dyDescent="0.25">
      <c r="L400860" s="472"/>
      <c r="M400860" s="472"/>
    </row>
    <row r="400861" spans="12:13" x14ac:dyDescent="0.25">
      <c r="L400861" s="472"/>
      <c r="M400861" s="472"/>
    </row>
    <row r="400933" spans="12:13" x14ac:dyDescent="0.25">
      <c r="L400933" s="472"/>
      <c r="M400933" s="472"/>
    </row>
    <row r="400934" spans="12:13" x14ac:dyDescent="0.25">
      <c r="L400934" s="472"/>
      <c r="M400934" s="472"/>
    </row>
    <row r="400935" spans="12:13" x14ac:dyDescent="0.25">
      <c r="L400935" s="472"/>
      <c r="M400935" s="472"/>
    </row>
    <row r="401007" spans="12:13" x14ac:dyDescent="0.25">
      <c r="L401007" s="472"/>
      <c r="M401007" s="472"/>
    </row>
    <row r="401008" spans="12:13" x14ac:dyDescent="0.25">
      <c r="L401008" s="472"/>
      <c r="M401008" s="472"/>
    </row>
    <row r="401009" spans="12:13" x14ac:dyDescent="0.25">
      <c r="L401009" s="472"/>
      <c r="M401009" s="472"/>
    </row>
    <row r="401081" spans="12:13" x14ac:dyDescent="0.25">
      <c r="L401081" s="472"/>
      <c r="M401081" s="472"/>
    </row>
    <row r="401082" spans="12:13" x14ac:dyDescent="0.25">
      <c r="L401082" s="472"/>
      <c r="M401082" s="472"/>
    </row>
    <row r="401083" spans="12:13" x14ac:dyDescent="0.25">
      <c r="L401083" s="472"/>
      <c r="M401083" s="472"/>
    </row>
    <row r="401155" spans="12:13" x14ac:dyDescent="0.25">
      <c r="L401155" s="472"/>
      <c r="M401155" s="472"/>
    </row>
    <row r="401156" spans="12:13" x14ac:dyDescent="0.25">
      <c r="L401156" s="472"/>
      <c r="M401156" s="472"/>
    </row>
    <row r="401157" spans="12:13" x14ac:dyDescent="0.25">
      <c r="L401157" s="472"/>
      <c r="M401157" s="472"/>
    </row>
    <row r="401229" spans="12:13" x14ac:dyDescent="0.25">
      <c r="L401229" s="472"/>
      <c r="M401229" s="472"/>
    </row>
    <row r="401230" spans="12:13" x14ac:dyDescent="0.25">
      <c r="L401230" s="472"/>
      <c r="M401230" s="472"/>
    </row>
    <row r="401231" spans="12:13" x14ac:dyDescent="0.25">
      <c r="L401231" s="472"/>
      <c r="M401231" s="472"/>
    </row>
    <row r="401303" spans="12:13" x14ac:dyDescent="0.25">
      <c r="L401303" s="472"/>
      <c r="M401303" s="472"/>
    </row>
    <row r="401304" spans="12:13" x14ac:dyDescent="0.25">
      <c r="L401304" s="472"/>
      <c r="M401304" s="472"/>
    </row>
    <row r="401305" spans="12:13" x14ac:dyDescent="0.25">
      <c r="L401305" s="472"/>
      <c r="M401305" s="472"/>
    </row>
    <row r="401377" spans="12:13" x14ac:dyDescent="0.25">
      <c r="L401377" s="472"/>
      <c r="M401377" s="472"/>
    </row>
    <row r="401378" spans="12:13" x14ac:dyDescent="0.25">
      <c r="L401378" s="472"/>
      <c r="M401378" s="472"/>
    </row>
    <row r="401379" spans="12:13" x14ac:dyDescent="0.25">
      <c r="L401379" s="472"/>
      <c r="M401379" s="472"/>
    </row>
    <row r="401451" spans="12:13" x14ac:dyDescent="0.25">
      <c r="L401451" s="472"/>
      <c r="M401451" s="472"/>
    </row>
    <row r="401452" spans="12:13" x14ac:dyDescent="0.25">
      <c r="L401452" s="472"/>
      <c r="M401452" s="472"/>
    </row>
    <row r="401453" spans="12:13" x14ac:dyDescent="0.25">
      <c r="L401453" s="472"/>
      <c r="M401453" s="472"/>
    </row>
    <row r="401525" spans="12:13" x14ac:dyDescent="0.25">
      <c r="L401525" s="472"/>
      <c r="M401525" s="472"/>
    </row>
    <row r="401526" spans="12:13" x14ac:dyDescent="0.25">
      <c r="L401526" s="472"/>
      <c r="M401526" s="472"/>
    </row>
    <row r="401527" spans="12:13" x14ac:dyDescent="0.25">
      <c r="L401527" s="472"/>
      <c r="M401527" s="472"/>
    </row>
    <row r="401599" spans="12:13" x14ac:dyDescent="0.25">
      <c r="L401599" s="472"/>
      <c r="M401599" s="472"/>
    </row>
    <row r="401600" spans="12:13" x14ac:dyDescent="0.25">
      <c r="L401600" s="472"/>
      <c r="M401600" s="472"/>
    </row>
    <row r="401601" spans="12:13" x14ac:dyDescent="0.25">
      <c r="L401601" s="472"/>
      <c r="M401601" s="472"/>
    </row>
    <row r="401673" spans="12:13" x14ac:dyDescent="0.25">
      <c r="L401673" s="472"/>
      <c r="M401673" s="472"/>
    </row>
    <row r="401674" spans="12:13" x14ac:dyDescent="0.25">
      <c r="L401674" s="472"/>
      <c r="M401674" s="472"/>
    </row>
    <row r="401675" spans="12:13" x14ac:dyDescent="0.25">
      <c r="L401675" s="472"/>
      <c r="M401675" s="472"/>
    </row>
    <row r="401747" spans="12:13" x14ac:dyDescent="0.25">
      <c r="L401747" s="472"/>
      <c r="M401747" s="472"/>
    </row>
    <row r="401748" spans="12:13" x14ac:dyDescent="0.25">
      <c r="L401748" s="472"/>
      <c r="M401748" s="472"/>
    </row>
    <row r="401749" spans="12:13" x14ac:dyDescent="0.25">
      <c r="L401749" s="472"/>
      <c r="M401749" s="472"/>
    </row>
    <row r="401821" spans="12:13" x14ac:dyDescent="0.25">
      <c r="L401821" s="472"/>
      <c r="M401821" s="472"/>
    </row>
    <row r="401822" spans="12:13" x14ac:dyDescent="0.25">
      <c r="L401822" s="472"/>
      <c r="M401822" s="472"/>
    </row>
    <row r="401823" spans="12:13" x14ac:dyDescent="0.25">
      <c r="L401823" s="472"/>
      <c r="M401823" s="472"/>
    </row>
    <row r="401895" spans="12:13" x14ac:dyDescent="0.25">
      <c r="L401895" s="472"/>
      <c r="M401895" s="472"/>
    </row>
    <row r="401896" spans="12:13" x14ac:dyDescent="0.25">
      <c r="L401896" s="472"/>
      <c r="M401896" s="472"/>
    </row>
    <row r="401897" spans="12:13" x14ac:dyDescent="0.25">
      <c r="L401897" s="472"/>
      <c r="M401897" s="472"/>
    </row>
    <row r="401969" spans="12:13" x14ac:dyDescent="0.25">
      <c r="L401969" s="472"/>
      <c r="M401969" s="472"/>
    </row>
    <row r="401970" spans="12:13" x14ac:dyDescent="0.25">
      <c r="L401970" s="472"/>
      <c r="M401970" s="472"/>
    </row>
    <row r="401971" spans="12:13" x14ac:dyDescent="0.25">
      <c r="L401971" s="472"/>
      <c r="M401971" s="472"/>
    </row>
    <row r="402043" spans="12:13" x14ac:dyDescent="0.25">
      <c r="L402043" s="472"/>
      <c r="M402043" s="472"/>
    </row>
    <row r="402044" spans="12:13" x14ac:dyDescent="0.25">
      <c r="L402044" s="472"/>
      <c r="M402044" s="472"/>
    </row>
    <row r="402045" spans="12:13" x14ac:dyDescent="0.25">
      <c r="L402045" s="472"/>
      <c r="M402045" s="472"/>
    </row>
    <row r="402117" spans="12:13" x14ac:dyDescent="0.25">
      <c r="L402117" s="472"/>
      <c r="M402117" s="472"/>
    </row>
    <row r="402118" spans="12:13" x14ac:dyDescent="0.25">
      <c r="L402118" s="472"/>
      <c r="M402118" s="472"/>
    </row>
    <row r="402119" spans="12:13" x14ac:dyDescent="0.25">
      <c r="L402119" s="472"/>
      <c r="M402119" s="472"/>
    </row>
    <row r="402191" spans="12:13" x14ac:dyDescent="0.25">
      <c r="L402191" s="472"/>
      <c r="M402191" s="472"/>
    </row>
    <row r="402192" spans="12:13" x14ac:dyDescent="0.25">
      <c r="L402192" s="472"/>
      <c r="M402192" s="472"/>
    </row>
    <row r="402193" spans="12:13" x14ac:dyDescent="0.25">
      <c r="L402193" s="472"/>
      <c r="M402193" s="472"/>
    </row>
    <row r="402265" spans="12:13" x14ac:dyDescent="0.25">
      <c r="L402265" s="472"/>
      <c r="M402265" s="472"/>
    </row>
    <row r="402266" spans="12:13" x14ac:dyDescent="0.25">
      <c r="L402266" s="472"/>
      <c r="M402266" s="472"/>
    </row>
    <row r="402267" spans="12:13" x14ac:dyDescent="0.25">
      <c r="L402267" s="472"/>
      <c r="M402267" s="472"/>
    </row>
    <row r="402339" spans="12:13" x14ac:dyDescent="0.25">
      <c r="L402339" s="472"/>
      <c r="M402339" s="472"/>
    </row>
    <row r="402340" spans="12:13" x14ac:dyDescent="0.25">
      <c r="L402340" s="472"/>
      <c r="M402340" s="472"/>
    </row>
    <row r="402341" spans="12:13" x14ac:dyDescent="0.25">
      <c r="L402341" s="472"/>
      <c r="M402341" s="472"/>
    </row>
    <row r="402413" spans="12:13" x14ac:dyDescent="0.25">
      <c r="L402413" s="472"/>
      <c r="M402413" s="472"/>
    </row>
    <row r="402414" spans="12:13" x14ac:dyDescent="0.25">
      <c r="L402414" s="472"/>
      <c r="M402414" s="472"/>
    </row>
    <row r="402415" spans="12:13" x14ac:dyDescent="0.25">
      <c r="L402415" s="472"/>
      <c r="M402415" s="472"/>
    </row>
    <row r="402487" spans="12:13" x14ac:dyDescent="0.25">
      <c r="L402487" s="472"/>
      <c r="M402487" s="472"/>
    </row>
    <row r="402488" spans="12:13" x14ac:dyDescent="0.25">
      <c r="L402488" s="472"/>
      <c r="M402488" s="472"/>
    </row>
    <row r="402489" spans="12:13" x14ac:dyDescent="0.25">
      <c r="L402489" s="472"/>
      <c r="M402489" s="472"/>
    </row>
    <row r="402561" spans="12:13" x14ac:dyDescent="0.25">
      <c r="L402561" s="472"/>
      <c r="M402561" s="472"/>
    </row>
    <row r="402562" spans="12:13" x14ac:dyDescent="0.25">
      <c r="L402562" s="472"/>
      <c r="M402562" s="472"/>
    </row>
    <row r="402563" spans="12:13" x14ac:dyDescent="0.25">
      <c r="L402563" s="472"/>
      <c r="M402563" s="472"/>
    </row>
    <row r="402635" spans="12:13" x14ac:dyDescent="0.25">
      <c r="L402635" s="472"/>
      <c r="M402635" s="472"/>
    </row>
    <row r="402636" spans="12:13" x14ac:dyDescent="0.25">
      <c r="L402636" s="472"/>
      <c r="M402636" s="472"/>
    </row>
    <row r="402637" spans="12:13" x14ac:dyDescent="0.25">
      <c r="L402637" s="472"/>
      <c r="M402637" s="472"/>
    </row>
    <row r="402709" spans="12:13" x14ac:dyDescent="0.25">
      <c r="L402709" s="472"/>
      <c r="M402709" s="472"/>
    </row>
    <row r="402710" spans="12:13" x14ac:dyDescent="0.25">
      <c r="L402710" s="472"/>
      <c r="M402710" s="472"/>
    </row>
    <row r="402711" spans="12:13" x14ac:dyDescent="0.25">
      <c r="L402711" s="472"/>
      <c r="M402711" s="472"/>
    </row>
    <row r="402783" spans="12:13" x14ac:dyDescent="0.25">
      <c r="L402783" s="472"/>
      <c r="M402783" s="472"/>
    </row>
    <row r="402784" spans="12:13" x14ac:dyDescent="0.25">
      <c r="L402784" s="472"/>
      <c r="M402784" s="472"/>
    </row>
    <row r="402785" spans="12:13" x14ac:dyDescent="0.25">
      <c r="L402785" s="472"/>
      <c r="M402785" s="472"/>
    </row>
    <row r="402857" spans="12:13" x14ac:dyDescent="0.25">
      <c r="L402857" s="472"/>
      <c r="M402857" s="472"/>
    </row>
    <row r="402858" spans="12:13" x14ac:dyDescent="0.25">
      <c r="L402858" s="472"/>
      <c r="M402858" s="472"/>
    </row>
    <row r="402859" spans="12:13" x14ac:dyDescent="0.25">
      <c r="L402859" s="472"/>
      <c r="M402859" s="472"/>
    </row>
    <row r="402931" spans="12:13" x14ac:dyDescent="0.25">
      <c r="L402931" s="472"/>
      <c r="M402931" s="472"/>
    </row>
    <row r="402932" spans="12:13" x14ac:dyDescent="0.25">
      <c r="L402932" s="472"/>
      <c r="M402932" s="472"/>
    </row>
    <row r="402933" spans="12:13" x14ac:dyDescent="0.25">
      <c r="L402933" s="472"/>
      <c r="M402933" s="472"/>
    </row>
    <row r="403005" spans="12:13" x14ac:dyDescent="0.25">
      <c r="L403005" s="472"/>
      <c r="M403005" s="472"/>
    </row>
    <row r="403006" spans="12:13" x14ac:dyDescent="0.25">
      <c r="L403006" s="472"/>
      <c r="M403006" s="472"/>
    </row>
    <row r="403007" spans="12:13" x14ac:dyDescent="0.25">
      <c r="L403007" s="472"/>
      <c r="M403007" s="472"/>
    </row>
    <row r="403079" spans="12:13" x14ac:dyDescent="0.25">
      <c r="L403079" s="472"/>
      <c r="M403079" s="472"/>
    </row>
    <row r="403080" spans="12:13" x14ac:dyDescent="0.25">
      <c r="L403080" s="472"/>
      <c r="M403080" s="472"/>
    </row>
    <row r="403081" spans="12:13" x14ac:dyDescent="0.25">
      <c r="L403081" s="472"/>
      <c r="M403081" s="472"/>
    </row>
    <row r="403153" spans="12:13" x14ac:dyDescent="0.25">
      <c r="L403153" s="472"/>
      <c r="M403153" s="472"/>
    </row>
    <row r="403154" spans="12:13" x14ac:dyDescent="0.25">
      <c r="L403154" s="472"/>
      <c r="M403154" s="472"/>
    </row>
    <row r="403155" spans="12:13" x14ac:dyDescent="0.25">
      <c r="L403155" s="472"/>
      <c r="M403155" s="472"/>
    </row>
    <row r="403227" spans="12:13" x14ac:dyDescent="0.25">
      <c r="L403227" s="472"/>
      <c r="M403227" s="472"/>
    </row>
    <row r="403228" spans="12:13" x14ac:dyDescent="0.25">
      <c r="L403228" s="472"/>
      <c r="M403228" s="472"/>
    </row>
    <row r="403229" spans="12:13" x14ac:dyDescent="0.25">
      <c r="L403229" s="472"/>
      <c r="M403229" s="472"/>
    </row>
    <row r="403301" spans="12:13" x14ac:dyDescent="0.25">
      <c r="L403301" s="472"/>
      <c r="M403301" s="472"/>
    </row>
    <row r="403302" spans="12:13" x14ac:dyDescent="0.25">
      <c r="L403302" s="472"/>
      <c r="M403302" s="472"/>
    </row>
    <row r="403303" spans="12:13" x14ac:dyDescent="0.25">
      <c r="L403303" s="472"/>
      <c r="M403303" s="472"/>
    </row>
    <row r="403375" spans="12:13" x14ac:dyDescent="0.25">
      <c r="L403375" s="472"/>
      <c r="M403375" s="472"/>
    </row>
    <row r="403376" spans="12:13" x14ac:dyDescent="0.25">
      <c r="L403376" s="472"/>
      <c r="M403376" s="472"/>
    </row>
    <row r="403377" spans="12:13" x14ac:dyDescent="0.25">
      <c r="L403377" s="472"/>
      <c r="M403377" s="472"/>
    </row>
    <row r="403449" spans="12:13" x14ac:dyDescent="0.25">
      <c r="L403449" s="472"/>
      <c r="M403449" s="472"/>
    </row>
    <row r="403450" spans="12:13" x14ac:dyDescent="0.25">
      <c r="L403450" s="472"/>
      <c r="M403450" s="472"/>
    </row>
    <row r="403451" spans="12:13" x14ac:dyDescent="0.25">
      <c r="L403451" s="472"/>
      <c r="M403451" s="472"/>
    </row>
    <row r="403523" spans="12:13" x14ac:dyDescent="0.25">
      <c r="L403523" s="472"/>
      <c r="M403523" s="472"/>
    </row>
    <row r="403524" spans="12:13" x14ac:dyDescent="0.25">
      <c r="L403524" s="472"/>
      <c r="M403524" s="472"/>
    </row>
    <row r="403525" spans="12:13" x14ac:dyDescent="0.25">
      <c r="L403525" s="472"/>
      <c r="M403525" s="472"/>
    </row>
    <row r="403597" spans="12:13" x14ac:dyDescent="0.25">
      <c r="L403597" s="472"/>
      <c r="M403597" s="472"/>
    </row>
    <row r="403598" spans="12:13" x14ac:dyDescent="0.25">
      <c r="L403598" s="472"/>
      <c r="M403598" s="472"/>
    </row>
    <row r="403599" spans="12:13" x14ac:dyDescent="0.25">
      <c r="L403599" s="472"/>
      <c r="M403599" s="472"/>
    </row>
    <row r="403671" spans="12:13" x14ac:dyDescent="0.25">
      <c r="L403671" s="472"/>
      <c r="M403671" s="472"/>
    </row>
    <row r="403672" spans="12:13" x14ac:dyDescent="0.25">
      <c r="L403672" s="472"/>
      <c r="M403672" s="472"/>
    </row>
    <row r="403673" spans="12:13" x14ac:dyDescent="0.25">
      <c r="L403673" s="472"/>
      <c r="M403673" s="472"/>
    </row>
    <row r="403745" spans="12:13" x14ac:dyDescent="0.25">
      <c r="L403745" s="472"/>
      <c r="M403745" s="472"/>
    </row>
    <row r="403746" spans="12:13" x14ac:dyDescent="0.25">
      <c r="L403746" s="472"/>
      <c r="M403746" s="472"/>
    </row>
    <row r="403747" spans="12:13" x14ac:dyDescent="0.25">
      <c r="L403747" s="472"/>
      <c r="M403747" s="472"/>
    </row>
    <row r="403819" spans="12:13" x14ac:dyDescent="0.25">
      <c r="L403819" s="472"/>
      <c r="M403819" s="472"/>
    </row>
    <row r="403820" spans="12:13" x14ac:dyDescent="0.25">
      <c r="L403820" s="472"/>
      <c r="M403820" s="472"/>
    </row>
    <row r="403821" spans="12:13" x14ac:dyDescent="0.25">
      <c r="L403821" s="472"/>
      <c r="M403821" s="472"/>
    </row>
    <row r="403893" spans="12:13" x14ac:dyDescent="0.25">
      <c r="L403893" s="472"/>
      <c r="M403893" s="472"/>
    </row>
    <row r="403894" spans="12:13" x14ac:dyDescent="0.25">
      <c r="L403894" s="472"/>
      <c r="M403894" s="472"/>
    </row>
    <row r="403895" spans="12:13" x14ac:dyDescent="0.25">
      <c r="L403895" s="472"/>
      <c r="M403895" s="472"/>
    </row>
    <row r="403967" spans="12:13" x14ac:dyDescent="0.25">
      <c r="L403967" s="472"/>
      <c r="M403967" s="472"/>
    </row>
    <row r="403968" spans="12:13" x14ac:dyDescent="0.25">
      <c r="L403968" s="472"/>
      <c r="M403968" s="472"/>
    </row>
    <row r="403969" spans="12:13" x14ac:dyDescent="0.25">
      <c r="L403969" s="472"/>
      <c r="M403969" s="472"/>
    </row>
    <row r="404041" spans="12:13" x14ac:dyDescent="0.25">
      <c r="L404041" s="472"/>
      <c r="M404041" s="472"/>
    </row>
    <row r="404042" spans="12:13" x14ac:dyDescent="0.25">
      <c r="L404042" s="472"/>
      <c r="M404042" s="472"/>
    </row>
    <row r="404043" spans="12:13" x14ac:dyDescent="0.25">
      <c r="L404043" s="472"/>
      <c r="M404043" s="472"/>
    </row>
    <row r="404115" spans="12:13" x14ac:dyDescent="0.25">
      <c r="L404115" s="472"/>
      <c r="M404115" s="472"/>
    </row>
    <row r="404116" spans="12:13" x14ac:dyDescent="0.25">
      <c r="L404116" s="472"/>
      <c r="M404116" s="472"/>
    </row>
    <row r="404117" spans="12:13" x14ac:dyDescent="0.25">
      <c r="L404117" s="472"/>
      <c r="M404117" s="472"/>
    </row>
    <row r="404189" spans="12:13" x14ac:dyDescent="0.25">
      <c r="L404189" s="472"/>
      <c r="M404189" s="472"/>
    </row>
    <row r="404190" spans="12:13" x14ac:dyDescent="0.25">
      <c r="L404190" s="472"/>
      <c r="M404190" s="472"/>
    </row>
    <row r="404191" spans="12:13" x14ac:dyDescent="0.25">
      <c r="L404191" s="472"/>
      <c r="M404191" s="472"/>
    </row>
    <row r="404263" spans="12:13" x14ac:dyDescent="0.25">
      <c r="L404263" s="472"/>
      <c r="M404263" s="472"/>
    </row>
    <row r="404264" spans="12:13" x14ac:dyDescent="0.25">
      <c r="L404264" s="472"/>
      <c r="M404264" s="472"/>
    </row>
    <row r="404265" spans="12:13" x14ac:dyDescent="0.25">
      <c r="L404265" s="472"/>
      <c r="M404265" s="472"/>
    </row>
    <row r="404337" spans="12:13" x14ac:dyDescent="0.25">
      <c r="L404337" s="472"/>
      <c r="M404337" s="472"/>
    </row>
    <row r="404338" spans="12:13" x14ac:dyDescent="0.25">
      <c r="L404338" s="472"/>
      <c r="M404338" s="472"/>
    </row>
    <row r="404339" spans="12:13" x14ac:dyDescent="0.25">
      <c r="L404339" s="472"/>
      <c r="M404339" s="472"/>
    </row>
    <row r="404411" spans="12:13" x14ac:dyDescent="0.25">
      <c r="L404411" s="472"/>
      <c r="M404411" s="472"/>
    </row>
    <row r="404412" spans="12:13" x14ac:dyDescent="0.25">
      <c r="L404412" s="472"/>
      <c r="M404412" s="472"/>
    </row>
    <row r="404413" spans="12:13" x14ac:dyDescent="0.25">
      <c r="L404413" s="472"/>
      <c r="M404413" s="472"/>
    </row>
    <row r="404485" spans="12:13" x14ac:dyDescent="0.25">
      <c r="L404485" s="472"/>
      <c r="M404485" s="472"/>
    </row>
    <row r="404486" spans="12:13" x14ac:dyDescent="0.25">
      <c r="L404486" s="472"/>
      <c r="M404486" s="472"/>
    </row>
    <row r="404487" spans="12:13" x14ac:dyDescent="0.25">
      <c r="L404487" s="472"/>
      <c r="M404487" s="472"/>
    </row>
    <row r="404559" spans="12:13" x14ac:dyDescent="0.25">
      <c r="L404559" s="472"/>
      <c r="M404559" s="472"/>
    </row>
    <row r="404560" spans="12:13" x14ac:dyDescent="0.25">
      <c r="L404560" s="472"/>
      <c r="M404560" s="472"/>
    </row>
    <row r="404561" spans="12:13" x14ac:dyDescent="0.25">
      <c r="L404561" s="472"/>
      <c r="M404561" s="472"/>
    </row>
    <row r="404633" spans="12:13" x14ac:dyDescent="0.25">
      <c r="L404633" s="472"/>
      <c r="M404633" s="472"/>
    </row>
    <row r="404634" spans="12:13" x14ac:dyDescent="0.25">
      <c r="L404634" s="472"/>
      <c r="M404634" s="472"/>
    </row>
    <row r="404635" spans="12:13" x14ac:dyDescent="0.25">
      <c r="L404635" s="472"/>
      <c r="M404635" s="472"/>
    </row>
    <row r="404707" spans="12:13" x14ac:dyDescent="0.25">
      <c r="L404707" s="472"/>
      <c r="M404707" s="472"/>
    </row>
    <row r="404708" spans="12:13" x14ac:dyDescent="0.25">
      <c r="L404708" s="472"/>
      <c r="M404708" s="472"/>
    </row>
    <row r="404709" spans="12:13" x14ac:dyDescent="0.25">
      <c r="L404709" s="472"/>
      <c r="M404709" s="472"/>
    </row>
    <row r="404781" spans="12:13" x14ac:dyDescent="0.25">
      <c r="L404781" s="472"/>
      <c r="M404781" s="472"/>
    </row>
    <row r="404782" spans="12:13" x14ac:dyDescent="0.25">
      <c r="L404782" s="472"/>
      <c r="M404782" s="472"/>
    </row>
    <row r="404783" spans="12:13" x14ac:dyDescent="0.25">
      <c r="L404783" s="472"/>
      <c r="M404783" s="472"/>
    </row>
    <row r="404855" spans="12:13" x14ac:dyDescent="0.25">
      <c r="L404855" s="472"/>
      <c r="M404855" s="472"/>
    </row>
    <row r="404856" spans="12:13" x14ac:dyDescent="0.25">
      <c r="L404856" s="472"/>
      <c r="M404856" s="472"/>
    </row>
    <row r="404857" spans="12:13" x14ac:dyDescent="0.25">
      <c r="L404857" s="472"/>
      <c r="M404857" s="472"/>
    </row>
    <row r="404929" spans="12:13" x14ac:dyDescent="0.25">
      <c r="L404929" s="472"/>
      <c r="M404929" s="472"/>
    </row>
    <row r="404930" spans="12:13" x14ac:dyDescent="0.25">
      <c r="L404930" s="472"/>
      <c r="M404930" s="472"/>
    </row>
    <row r="404931" spans="12:13" x14ac:dyDescent="0.25">
      <c r="L404931" s="472"/>
      <c r="M404931" s="472"/>
    </row>
    <row r="405003" spans="12:13" x14ac:dyDescent="0.25">
      <c r="L405003" s="472"/>
      <c r="M405003" s="472"/>
    </row>
    <row r="405004" spans="12:13" x14ac:dyDescent="0.25">
      <c r="L405004" s="472"/>
      <c r="M405004" s="472"/>
    </row>
    <row r="405005" spans="12:13" x14ac:dyDescent="0.25">
      <c r="L405005" s="472"/>
      <c r="M405005" s="472"/>
    </row>
    <row r="405077" spans="12:13" x14ac:dyDescent="0.25">
      <c r="L405077" s="472"/>
      <c r="M405077" s="472"/>
    </row>
    <row r="405078" spans="12:13" x14ac:dyDescent="0.25">
      <c r="L405078" s="472"/>
      <c r="M405078" s="472"/>
    </row>
    <row r="405079" spans="12:13" x14ac:dyDescent="0.25">
      <c r="L405079" s="472"/>
      <c r="M405079" s="472"/>
    </row>
    <row r="405151" spans="12:13" x14ac:dyDescent="0.25">
      <c r="L405151" s="472"/>
      <c r="M405151" s="472"/>
    </row>
    <row r="405152" spans="12:13" x14ac:dyDescent="0.25">
      <c r="L405152" s="472"/>
      <c r="M405152" s="472"/>
    </row>
    <row r="405153" spans="12:13" x14ac:dyDescent="0.25">
      <c r="L405153" s="472"/>
      <c r="M405153" s="472"/>
    </row>
    <row r="405225" spans="12:13" x14ac:dyDescent="0.25">
      <c r="L405225" s="472"/>
      <c r="M405225" s="472"/>
    </row>
    <row r="405226" spans="12:13" x14ac:dyDescent="0.25">
      <c r="L405226" s="472"/>
      <c r="M405226" s="472"/>
    </row>
    <row r="405227" spans="12:13" x14ac:dyDescent="0.25">
      <c r="L405227" s="472"/>
      <c r="M405227" s="472"/>
    </row>
    <row r="405299" spans="12:13" x14ac:dyDescent="0.25">
      <c r="L405299" s="472"/>
      <c r="M405299" s="472"/>
    </row>
    <row r="405300" spans="12:13" x14ac:dyDescent="0.25">
      <c r="L405300" s="472"/>
      <c r="M405300" s="472"/>
    </row>
    <row r="405301" spans="12:13" x14ac:dyDescent="0.25">
      <c r="L405301" s="472"/>
      <c r="M405301" s="472"/>
    </row>
    <row r="405373" spans="12:13" x14ac:dyDescent="0.25">
      <c r="L405373" s="472"/>
      <c r="M405373" s="472"/>
    </row>
    <row r="405374" spans="12:13" x14ac:dyDescent="0.25">
      <c r="L405374" s="472"/>
      <c r="M405374" s="472"/>
    </row>
    <row r="405375" spans="12:13" x14ac:dyDescent="0.25">
      <c r="L405375" s="472"/>
      <c r="M405375" s="472"/>
    </row>
    <row r="405447" spans="12:13" x14ac:dyDescent="0.25">
      <c r="L405447" s="472"/>
      <c r="M405447" s="472"/>
    </row>
    <row r="405448" spans="12:13" x14ac:dyDescent="0.25">
      <c r="L405448" s="472"/>
      <c r="M405448" s="472"/>
    </row>
    <row r="405449" spans="12:13" x14ac:dyDescent="0.25">
      <c r="L405449" s="472"/>
      <c r="M405449" s="472"/>
    </row>
    <row r="405521" spans="12:13" x14ac:dyDescent="0.25">
      <c r="L405521" s="472"/>
      <c r="M405521" s="472"/>
    </row>
    <row r="405522" spans="12:13" x14ac:dyDescent="0.25">
      <c r="L405522" s="472"/>
      <c r="M405522" s="472"/>
    </row>
    <row r="405523" spans="12:13" x14ac:dyDescent="0.25">
      <c r="L405523" s="472"/>
      <c r="M405523" s="472"/>
    </row>
    <row r="405595" spans="12:13" x14ac:dyDescent="0.25">
      <c r="L405595" s="472"/>
      <c r="M405595" s="472"/>
    </row>
    <row r="405596" spans="12:13" x14ac:dyDescent="0.25">
      <c r="L405596" s="472"/>
      <c r="M405596" s="472"/>
    </row>
    <row r="405597" spans="12:13" x14ac:dyDescent="0.25">
      <c r="L405597" s="472"/>
      <c r="M405597" s="472"/>
    </row>
    <row r="405669" spans="12:13" x14ac:dyDescent="0.25">
      <c r="L405669" s="472"/>
      <c r="M405669" s="472"/>
    </row>
    <row r="405670" spans="12:13" x14ac:dyDescent="0.25">
      <c r="L405670" s="472"/>
      <c r="M405670" s="472"/>
    </row>
    <row r="405671" spans="12:13" x14ac:dyDescent="0.25">
      <c r="L405671" s="472"/>
      <c r="M405671" s="472"/>
    </row>
    <row r="405743" spans="12:13" x14ac:dyDescent="0.25">
      <c r="L405743" s="472"/>
      <c r="M405743" s="472"/>
    </row>
    <row r="405744" spans="12:13" x14ac:dyDescent="0.25">
      <c r="L405744" s="472"/>
      <c r="M405744" s="472"/>
    </row>
    <row r="405745" spans="12:13" x14ac:dyDescent="0.25">
      <c r="L405745" s="472"/>
      <c r="M405745" s="472"/>
    </row>
    <row r="405817" spans="12:13" x14ac:dyDescent="0.25">
      <c r="L405817" s="472"/>
      <c r="M405817" s="472"/>
    </row>
    <row r="405818" spans="12:13" x14ac:dyDescent="0.25">
      <c r="L405818" s="472"/>
      <c r="M405818" s="472"/>
    </row>
    <row r="405819" spans="12:13" x14ac:dyDescent="0.25">
      <c r="L405819" s="472"/>
      <c r="M405819" s="472"/>
    </row>
    <row r="405891" spans="12:13" x14ac:dyDescent="0.25">
      <c r="L405891" s="472"/>
      <c r="M405891" s="472"/>
    </row>
    <row r="405892" spans="12:13" x14ac:dyDescent="0.25">
      <c r="L405892" s="472"/>
      <c r="M405892" s="472"/>
    </row>
    <row r="405893" spans="12:13" x14ac:dyDescent="0.25">
      <c r="L405893" s="472"/>
      <c r="M405893" s="472"/>
    </row>
    <row r="405965" spans="12:13" x14ac:dyDescent="0.25">
      <c r="L405965" s="472"/>
      <c r="M405965" s="472"/>
    </row>
    <row r="405966" spans="12:13" x14ac:dyDescent="0.25">
      <c r="L405966" s="472"/>
      <c r="M405966" s="472"/>
    </row>
    <row r="405967" spans="12:13" x14ac:dyDescent="0.25">
      <c r="L405967" s="472"/>
      <c r="M405967" s="472"/>
    </row>
    <row r="406039" spans="12:13" x14ac:dyDescent="0.25">
      <c r="L406039" s="472"/>
      <c r="M406039" s="472"/>
    </row>
    <row r="406040" spans="12:13" x14ac:dyDescent="0.25">
      <c r="L406040" s="472"/>
      <c r="M406040" s="472"/>
    </row>
    <row r="406041" spans="12:13" x14ac:dyDescent="0.25">
      <c r="L406041" s="472"/>
      <c r="M406041" s="472"/>
    </row>
    <row r="406113" spans="12:13" x14ac:dyDescent="0.25">
      <c r="L406113" s="472"/>
      <c r="M406113" s="472"/>
    </row>
    <row r="406114" spans="12:13" x14ac:dyDescent="0.25">
      <c r="L406114" s="472"/>
      <c r="M406114" s="472"/>
    </row>
    <row r="406115" spans="12:13" x14ac:dyDescent="0.25">
      <c r="L406115" s="472"/>
      <c r="M406115" s="472"/>
    </row>
    <row r="406187" spans="12:13" x14ac:dyDescent="0.25">
      <c r="L406187" s="472"/>
      <c r="M406187" s="472"/>
    </row>
    <row r="406188" spans="12:13" x14ac:dyDescent="0.25">
      <c r="L406188" s="472"/>
      <c r="M406188" s="472"/>
    </row>
    <row r="406189" spans="12:13" x14ac:dyDescent="0.25">
      <c r="L406189" s="472"/>
      <c r="M406189" s="472"/>
    </row>
    <row r="406261" spans="12:13" x14ac:dyDescent="0.25">
      <c r="L406261" s="472"/>
      <c r="M406261" s="472"/>
    </row>
    <row r="406262" spans="12:13" x14ac:dyDescent="0.25">
      <c r="L406262" s="472"/>
      <c r="M406262" s="472"/>
    </row>
    <row r="406263" spans="12:13" x14ac:dyDescent="0.25">
      <c r="L406263" s="472"/>
      <c r="M406263" s="472"/>
    </row>
    <row r="406335" spans="12:13" x14ac:dyDescent="0.25">
      <c r="L406335" s="472"/>
      <c r="M406335" s="472"/>
    </row>
    <row r="406336" spans="12:13" x14ac:dyDescent="0.25">
      <c r="L406336" s="472"/>
      <c r="M406336" s="472"/>
    </row>
    <row r="406337" spans="12:13" x14ac:dyDescent="0.25">
      <c r="L406337" s="472"/>
      <c r="M406337" s="472"/>
    </row>
    <row r="406409" spans="12:13" x14ac:dyDescent="0.25">
      <c r="L406409" s="472"/>
      <c r="M406409" s="472"/>
    </row>
    <row r="406410" spans="12:13" x14ac:dyDescent="0.25">
      <c r="L406410" s="472"/>
      <c r="M406410" s="472"/>
    </row>
    <row r="406411" spans="12:13" x14ac:dyDescent="0.25">
      <c r="L406411" s="472"/>
      <c r="M406411" s="472"/>
    </row>
    <row r="406483" spans="12:13" x14ac:dyDescent="0.25">
      <c r="L406483" s="472"/>
      <c r="M406483" s="472"/>
    </row>
    <row r="406484" spans="12:13" x14ac:dyDescent="0.25">
      <c r="L406484" s="472"/>
      <c r="M406484" s="472"/>
    </row>
    <row r="406485" spans="12:13" x14ac:dyDescent="0.25">
      <c r="L406485" s="472"/>
      <c r="M406485" s="472"/>
    </row>
    <row r="406557" spans="12:13" x14ac:dyDescent="0.25">
      <c r="L406557" s="472"/>
      <c r="M406557" s="472"/>
    </row>
    <row r="406558" spans="12:13" x14ac:dyDescent="0.25">
      <c r="L406558" s="472"/>
      <c r="M406558" s="472"/>
    </row>
    <row r="406559" spans="12:13" x14ac:dyDescent="0.25">
      <c r="L406559" s="472"/>
      <c r="M406559" s="472"/>
    </row>
    <row r="406631" spans="12:13" x14ac:dyDescent="0.25">
      <c r="L406631" s="472"/>
      <c r="M406631" s="472"/>
    </row>
    <row r="406632" spans="12:13" x14ac:dyDescent="0.25">
      <c r="L406632" s="472"/>
      <c r="M406632" s="472"/>
    </row>
    <row r="406633" spans="12:13" x14ac:dyDescent="0.25">
      <c r="L406633" s="472"/>
      <c r="M406633" s="472"/>
    </row>
    <row r="406705" spans="12:13" x14ac:dyDescent="0.25">
      <c r="L406705" s="472"/>
      <c r="M406705" s="472"/>
    </row>
    <row r="406706" spans="12:13" x14ac:dyDescent="0.25">
      <c r="L406706" s="472"/>
      <c r="M406706" s="472"/>
    </row>
    <row r="406707" spans="12:13" x14ac:dyDescent="0.25">
      <c r="L406707" s="472"/>
      <c r="M406707" s="472"/>
    </row>
    <row r="406779" spans="12:13" x14ac:dyDescent="0.25">
      <c r="L406779" s="472"/>
      <c r="M406779" s="472"/>
    </row>
    <row r="406780" spans="12:13" x14ac:dyDescent="0.25">
      <c r="L406780" s="472"/>
      <c r="M406780" s="472"/>
    </row>
    <row r="406781" spans="12:13" x14ac:dyDescent="0.25">
      <c r="L406781" s="472"/>
      <c r="M406781" s="472"/>
    </row>
    <row r="406853" spans="12:13" x14ac:dyDescent="0.25">
      <c r="L406853" s="472"/>
      <c r="M406853" s="472"/>
    </row>
    <row r="406854" spans="12:13" x14ac:dyDescent="0.25">
      <c r="L406854" s="472"/>
      <c r="M406854" s="472"/>
    </row>
    <row r="406855" spans="12:13" x14ac:dyDescent="0.25">
      <c r="L406855" s="472"/>
      <c r="M406855" s="472"/>
    </row>
    <row r="406927" spans="12:13" x14ac:dyDescent="0.25">
      <c r="L406927" s="472"/>
      <c r="M406927" s="472"/>
    </row>
    <row r="406928" spans="12:13" x14ac:dyDescent="0.25">
      <c r="L406928" s="472"/>
      <c r="M406928" s="472"/>
    </row>
    <row r="406929" spans="12:13" x14ac:dyDescent="0.25">
      <c r="L406929" s="472"/>
      <c r="M406929" s="472"/>
    </row>
    <row r="407001" spans="12:13" x14ac:dyDescent="0.25">
      <c r="L407001" s="472"/>
      <c r="M407001" s="472"/>
    </row>
    <row r="407002" spans="12:13" x14ac:dyDescent="0.25">
      <c r="L407002" s="472"/>
      <c r="M407002" s="472"/>
    </row>
    <row r="407003" spans="12:13" x14ac:dyDescent="0.25">
      <c r="L407003" s="472"/>
      <c r="M407003" s="472"/>
    </row>
    <row r="407075" spans="12:13" x14ac:dyDescent="0.25">
      <c r="L407075" s="472"/>
      <c r="M407075" s="472"/>
    </row>
    <row r="407076" spans="12:13" x14ac:dyDescent="0.25">
      <c r="L407076" s="472"/>
      <c r="M407076" s="472"/>
    </row>
    <row r="407077" spans="12:13" x14ac:dyDescent="0.25">
      <c r="L407077" s="472"/>
      <c r="M407077" s="472"/>
    </row>
    <row r="407149" spans="12:13" x14ac:dyDescent="0.25">
      <c r="L407149" s="472"/>
      <c r="M407149" s="472"/>
    </row>
    <row r="407150" spans="12:13" x14ac:dyDescent="0.25">
      <c r="L407150" s="472"/>
      <c r="M407150" s="472"/>
    </row>
    <row r="407151" spans="12:13" x14ac:dyDescent="0.25">
      <c r="L407151" s="472"/>
      <c r="M407151" s="472"/>
    </row>
    <row r="407223" spans="12:13" x14ac:dyDescent="0.25">
      <c r="L407223" s="472"/>
      <c r="M407223" s="472"/>
    </row>
    <row r="407224" spans="12:13" x14ac:dyDescent="0.25">
      <c r="L407224" s="472"/>
      <c r="M407224" s="472"/>
    </row>
    <row r="407225" spans="12:13" x14ac:dyDescent="0.25">
      <c r="L407225" s="472"/>
      <c r="M407225" s="472"/>
    </row>
    <row r="407297" spans="12:13" x14ac:dyDescent="0.25">
      <c r="L407297" s="472"/>
      <c r="M407297" s="472"/>
    </row>
    <row r="407298" spans="12:13" x14ac:dyDescent="0.25">
      <c r="L407298" s="472"/>
      <c r="M407298" s="472"/>
    </row>
    <row r="407299" spans="12:13" x14ac:dyDescent="0.25">
      <c r="L407299" s="472"/>
      <c r="M407299" s="472"/>
    </row>
    <row r="407371" spans="12:13" x14ac:dyDescent="0.25">
      <c r="L407371" s="472"/>
      <c r="M407371" s="472"/>
    </row>
    <row r="407372" spans="12:13" x14ac:dyDescent="0.25">
      <c r="L407372" s="472"/>
      <c r="M407372" s="472"/>
    </row>
    <row r="407373" spans="12:13" x14ac:dyDescent="0.25">
      <c r="L407373" s="472"/>
      <c r="M407373" s="472"/>
    </row>
    <row r="407445" spans="12:13" x14ac:dyDescent="0.25">
      <c r="L407445" s="472"/>
      <c r="M407445" s="472"/>
    </row>
    <row r="407446" spans="12:13" x14ac:dyDescent="0.25">
      <c r="L407446" s="472"/>
      <c r="M407446" s="472"/>
    </row>
    <row r="407447" spans="12:13" x14ac:dyDescent="0.25">
      <c r="L407447" s="472"/>
      <c r="M407447" s="472"/>
    </row>
    <row r="407519" spans="12:13" x14ac:dyDescent="0.25">
      <c r="L407519" s="472"/>
      <c r="M407519" s="472"/>
    </row>
    <row r="407520" spans="12:13" x14ac:dyDescent="0.25">
      <c r="L407520" s="472"/>
      <c r="M407520" s="472"/>
    </row>
    <row r="407521" spans="12:13" x14ac:dyDescent="0.25">
      <c r="L407521" s="472"/>
      <c r="M407521" s="472"/>
    </row>
    <row r="407593" spans="12:13" x14ac:dyDescent="0.25">
      <c r="L407593" s="472"/>
      <c r="M407593" s="472"/>
    </row>
    <row r="407594" spans="12:13" x14ac:dyDescent="0.25">
      <c r="L407594" s="472"/>
      <c r="M407594" s="472"/>
    </row>
    <row r="407595" spans="12:13" x14ac:dyDescent="0.25">
      <c r="L407595" s="472"/>
      <c r="M407595" s="472"/>
    </row>
    <row r="407667" spans="12:13" x14ac:dyDescent="0.25">
      <c r="L407667" s="472"/>
      <c r="M407667" s="472"/>
    </row>
    <row r="407668" spans="12:13" x14ac:dyDescent="0.25">
      <c r="L407668" s="472"/>
      <c r="M407668" s="472"/>
    </row>
    <row r="407669" spans="12:13" x14ac:dyDescent="0.25">
      <c r="L407669" s="472"/>
      <c r="M407669" s="472"/>
    </row>
    <row r="407741" spans="12:13" x14ac:dyDescent="0.25">
      <c r="L407741" s="472"/>
      <c r="M407741" s="472"/>
    </row>
    <row r="407742" spans="12:13" x14ac:dyDescent="0.25">
      <c r="L407742" s="472"/>
      <c r="M407742" s="472"/>
    </row>
    <row r="407743" spans="12:13" x14ac:dyDescent="0.25">
      <c r="L407743" s="472"/>
      <c r="M407743" s="472"/>
    </row>
    <row r="407815" spans="12:13" x14ac:dyDescent="0.25">
      <c r="L407815" s="472"/>
      <c r="M407815" s="472"/>
    </row>
    <row r="407816" spans="12:13" x14ac:dyDescent="0.25">
      <c r="L407816" s="472"/>
      <c r="M407816" s="472"/>
    </row>
    <row r="407817" spans="12:13" x14ac:dyDescent="0.25">
      <c r="L407817" s="472"/>
      <c r="M407817" s="472"/>
    </row>
    <row r="407889" spans="12:13" x14ac:dyDescent="0.25">
      <c r="L407889" s="472"/>
      <c r="M407889" s="472"/>
    </row>
    <row r="407890" spans="12:13" x14ac:dyDescent="0.25">
      <c r="L407890" s="472"/>
      <c r="M407890" s="472"/>
    </row>
    <row r="407891" spans="12:13" x14ac:dyDescent="0.25">
      <c r="L407891" s="472"/>
      <c r="M407891" s="472"/>
    </row>
    <row r="407963" spans="12:13" x14ac:dyDescent="0.25">
      <c r="L407963" s="472"/>
      <c r="M407963" s="472"/>
    </row>
    <row r="407964" spans="12:13" x14ac:dyDescent="0.25">
      <c r="L407964" s="472"/>
      <c r="M407964" s="472"/>
    </row>
    <row r="407965" spans="12:13" x14ac:dyDescent="0.25">
      <c r="L407965" s="472"/>
      <c r="M407965" s="472"/>
    </row>
    <row r="408037" spans="12:13" x14ac:dyDescent="0.25">
      <c r="L408037" s="472"/>
      <c r="M408037" s="472"/>
    </row>
    <row r="408038" spans="12:13" x14ac:dyDescent="0.25">
      <c r="L408038" s="472"/>
      <c r="M408038" s="472"/>
    </row>
    <row r="408039" spans="12:13" x14ac:dyDescent="0.25">
      <c r="L408039" s="472"/>
      <c r="M408039" s="472"/>
    </row>
    <row r="408111" spans="12:13" x14ac:dyDescent="0.25">
      <c r="L408111" s="472"/>
      <c r="M408111" s="472"/>
    </row>
    <row r="408112" spans="12:13" x14ac:dyDescent="0.25">
      <c r="L408112" s="472"/>
      <c r="M408112" s="472"/>
    </row>
    <row r="408113" spans="12:13" x14ac:dyDescent="0.25">
      <c r="L408113" s="472"/>
      <c r="M408113" s="472"/>
    </row>
    <row r="408185" spans="12:13" x14ac:dyDescent="0.25">
      <c r="L408185" s="472"/>
      <c r="M408185" s="472"/>
    </row>
    <row r="408186" spans="12:13" x14ac:dyDescent="0.25">
      <c r="L408186" s="472"/>
      <c r="M408186" s="472"/>
    </row>
    <row r="408187" spans="12:13" x14ac:dyDescent="0.25">
      <c r="L408187" s="472"/>
      <c r="M408187" s="472"/>
    </row>
    <row r="408259" spans="12:13" x14ac:dyDescent="0.25">
      <c r="L408259" s="472"/>
      <c r="M408259" s="472"/>
    </row>
    <row r="408260" spans="12:13" x14ac:dyDescent="0.25">
      <c r="L408260" s="472"/>
      <c r="M408260" s="472"/>
    </row>
    <row r="408261" spans="12:13" x14ac:dyDescent="0.25">
      <c r="L408261" s="472"/>
      <c r="M408261" s="472"/>
    </row>
    <row r="408333" spans="12:13" x14ac:dyDescent="0.25">
      <c r="L408333" s="472"/>
      <c r="M408333" s="472"/>
    </row>
    <row r="408334" spans="12:13" x14ac:dyDescent="0.25">
      <c r="L408334" s="472"/>
      <c r="M408334" s="472"/>
    </row>
    <row r="408335" spans="12:13" x14ac:dyDescent="0.25">
      <c r="L408335" s="472"/>
      <c r="M408335" s="472"/>
    </row>
    <row r="408407" spans="12:13" x14ac:dyDescent="0.25">
      <c r="L408407" s="472"/>
      <c r="M408407" s="472"/>
    </row>
    <row r="408408" spans="12:13" x14ac:dyDescent="0.25">
      <c r="L408408" s="472"/>
      <c r="M408408" s="472"/>
    </row>
    <row r="408409" spans="12:13" x14ac:dyDescent="0.25">
      <c r="L408409" s="472"/>
      <c r="M408409" s="472"/>
    </row>
    <row r="408481" spans="12:13" x14ac:dyDescent="0.25">
      <c r="L408481" s="472"/>
      <c r="M408481" s="472"/>
    </row>
    <row r="408482" spans="12:13" x14ac:dyDescent="0.25">
      <c r="L408482" s="472"/>
      <c r="M408482" s="472"/>
    </row>
    <row r="408483" spans="12:13" x14ac:dyDescent="0.25">
      <c r="L408483" s="472"/>
      <c r="M408483" s="472"/>
    </row>
    <row r="408555" spans="12:13" x14ac:dyDescent="0.25">
      <c r="L408555" s="472"/>
      <c r="M408555" s="472"/>
    </row>
    <row r="408556" spans="12:13" x14ac:dyDescent="0.25">
      <c r="L408556" s="472"/>
      <c r="M408556" s="472"/>
    </row>
    <row r="408557" spans="12:13" x14ac:dyDescent="0.25">
      <c r="L408557" s="472"/>
      <c r="M408557" s="472"/>
    </row>
    <row r="408629" spans="12:13" x14ac:dyDescent="0.25">
      <c r="L408629" s="472"/>
      <c r="M408629" s="472"/>
    </row>
    <row r="408630" spans="12:13" x14ac:dyDescent="0.25">
      <c r="L408630" s="472"/>
      <c r="M408630" s="472"/>
    </row>
    <row r="408631" spans="12:13" x14ac:dyDescent="0.25">
      <c r="L408631" s="472"/>
      <c r="M408631" s="472"/>
    </row>
    <row r="408703" spans="12:13" x14ac:dyDescent="0.25">
      <c r="L408703" s="472"/>
      <c r="M408703" s="472"/>
    </row>
    <row r="408704" spans="12:13" x14ac:dyDescent="0.25">
      <c r="L408704" s="472"/>
      <c r="M408704" s="472"/>
    </row>
    <row r="408705" spans="12:13" x14ac:dyDescent="0.25">
      <c r="L408705" s="472"/>
      <c r="M408705" s="472"/>
    </row>
    <row r="408777" spans="12:13" x14ac:dyDescent="0.25">
      <c r="L408777" s="472"/>
      <c r="M408777" s="472"/>
    </row>
    <row r="408778" spans="12:13" x14ac:dyDescent="0.25">
      <c r="L408778" s="472"/>
      <c r="M408778" s="472"/>
    </row>
    <row r="408779" spans="12:13" x14ac:dyDescent="0.25">
      <c r="L408779" s="472"/>
      <c r="M408779" s="472"/>
    </row>
    <row r="408851" spans="12:13" x14ac:dyDescent="0.25">
      <c r="L408851" s="472"/>
      <c r="M408851" s="472"/>
    </row>
    <row r="408852" spans="12:13" x14ac:dyDescent="0.25">
      <c r="L408852" s="472"/>
      <c r="M408852" s="472"/>
    </row>
    <row r="408853" spans="12:13" x14ac:dyDescent="0.25">
      <c r="L408853" s="472"/>
      <c r="M408853" s="472"/>
    </row>
    <row r="408925" spans="12:13" x14ac:dyDescent="0.25">
      <c r="L408925" s="472"/>
      <c r="M408925" s="472"/>
    </row>
    <row r="408926" spans="12:13" x14ac:dyDescent="0.25">
      <c r="L408926" s="472"/>
      <c r="M408926" s="472"/>
    </row>
    <row r="408927" spans="12:13" x14ac:dyDescent="0.25">
      <c r="L408927" s="472"/>
      <c r="M408927" s="472"/>
    </row>
    <row r="408999" spans="12:13" x14ac:dyDescent="0.25">
      <c r="L408999" s="472"/>
      <c r="M408999" s="472"/>
    </row>
    <row r="409000" spans="12:13" x14ac:dyDescent="0.25">
      <c r="L409000" s="472"/>
      <c r="M409000" s="472"/>
    </row>
    <row r="409001" spans="12:13" x14ac:dyDescent="0.25">
      <c r="L409001" s="472"/>
      <c r="M409001" s="472"/>
    </row>
    <row r="409073" spans="12:13" x14ac:dyDescent="0.25">
      <c r="L409073" s="472"/>
      <c r="M409073" s="472"/>
    </row>
    <row r="409074" spans="12:13" x14ac:dyDescent="0.25">
      <c r="L409074" s="472"/>
      <c r="M409074" s="472"/>
    </row>
    <row r="409075" spans="12:13" x14ac:dyDescent="0.25">
      <c r="L409075" s="472"/>
      <c r="M409075" s="472"/>
    </row>
    <row r="409147" spans="12:13" x14ac:dyDescent="0.25">
      <c r="L409147" s="472"/>
      <c r="M409147" s="472"/>
    </row>
    <row r="409148" spans="12:13" x14ac:dyDescent="0.25">
      <c r="L409148" s="472"/>
      <c r="M409148" s="472"/>
    </row>
    <row r="409149" spans="12:13" x14ac:dyDescent="0.25">
      <c r="L409149" s="472"/>
      <c r="M409149" s="472"/>
    </row>
    <row r="409221" spans="12:13" x14ac:dyDescent="0.25">
      <c r="L409221" s="472"/>
      <c r="M409221" s="472"/>
    </row>
    <row r="409222" spans="12:13" x14ac:dyDescent="0.25">
      <c r="L409222" s="472"/>
      <c r="M409222" s="472"/>
    </row>
    <row r="409223" spans="12:13" x14ac:dyDescent="0.25">
      <c r="L409223" s="472"/>
      <c r="M409223" s="472"/>
    </row>
    <row r="409295" spans="12:13" x14ac:dyDescent="0.25">
      <c r="L409295" s="472"/>
      <c r="M409295" s="472"/>
    </row>
    <row r="409296" spans="12:13" x14ac:dyDescent="0.25">
      <c r="L409296" s="472"/>
      <c r="M409296" s="472"/>
    </row>
    <row r="409297" spans="12:13" x14ac:dyDescent="0.25">
      <c r="L409297" s="472"/>
      <c r="M409297" s="472"/>
    </row>
    <row r="409369" spans="12:13" x14ac:dyDescent="0.25">
      <c r="L409369" s="472"/>
      <c r="M409369" s="472"/>
    </row>
    <row r="409370" spans="12:13" x14ac:dyDescent="0.25">
      <c r="L409370" s="472"/>
      <c r="M409370" s="472"/>
    </row>
    <row r="409371" spans="12:13" x14ac:dyDescent="0.25">
      <c r="L409371" s="472"/>
      <c r="M409371" s="472"/>
    </row>
    <row r="409443" spans="12:13" x14ac:dyDescent="0.25">
      <c r="L409443" s="472"/>
      <c r="M409443" s="472"/>
    </row>
    <row r="409444" spans="12:13" x14ac:dyDescent="0.25">
      <c r="L409444" s="472"/>
      <c r="M409444" s="472"/>
    </row>
    <row r="409445" spans="12:13" x14ac:dyDescent="0.25">
      <c r="L409445" s="472"/>
      <c r="M409445" s="472"/>
    </row>
    <row r="409517" spans="12:13" x14ac:dyDescent="0.25">
      <c r="L409517" s="472"/>
      <c r="M409517" s="472"/>
    </row>
    <row r="409518" spans="12:13" x14ac:dyDescent="0.25">
      <c r="L409518" s="472"/>
      <c r="M409518" s="472"/>
    </row>
    <row r="409519" spans="12:13" x14ac:dyDescent="0.25">
      <c r="L409519" s="472"/>
      <c r="M409519" s="472"/>
    </row>
    <row r="409591" spans="12:13" x14ac:dyDescent="0.25">
      <c r="L409591" s="472"/>
      <c r="M409591" s="472"/>
    </row>
    <row r="409592" spans="12:13" x14ac:dyDescent="0.25">
      <c r="L409592" s="472"/>
      <c r="M409592" s="472"/>
    </row>
    <row r="409593" spans="12:13" x14ac:dyDescent="0.25">
      <c r="L409593" s="472"/>
      <c r="M409593" s="472"/>
    </row>
    <row r="409665" spans="12:13" x14ac:dyDescent="0.25">
      <c r="L409665" s="472"/>
      <c r="M409665" s="472"/>
    </row>
    <row r="409666" spans="12:13" x14ac:dyDescent="0.25">
      <c r="L409666" s="472"/>
      <c r="M409666" s="472"/>
    </row>
    <row r="409667" spans="12:13" x14ac:dyDescent="0.25">
      <c r="L409667" s="472"/>
      <c r="M409667" s="472"/>
    </row>
    <row r="409739" spans="12:13" x14ac:dyDescent="0.25">
      <c r="L409739" s="472"/>
      <c r="M409739" s="472"/>
    </row>
    <row r="409740" spans="12:13" x14ac:dyDescent="0.25">
      <c r="L409740" s="472"/>
      <c r="M409740" s="472"/>
    </row>
    <row r="409741" spans="12:13" x14ac:dyDescent="0.25">
      <c r="L409741" s="472"/>
      <c r="M409741" s="472"/>
    </row>
    <row r="409813" spans="12:13" x14ac:dyDescent="0.25">
      <c r="L409813" s="472"/>
      <c r="M409813" s="472"/>
    </row>
    <row r="409814" spans="12:13" x14ac:dyDescent="0.25">
      <c r="L409814" s="472"/>
      <c r="M409814" s="472"/>
    </row>
    <row r="409815" spans="12:13" x14ac:dyDescent="0.25">
      <c r="L409815" s="472"/>
      <c r="M409815" s="472"/>
    </row>
    <row r="409887" spans="12:13" x14ac:dyDescent="0.25">
      <c r="L409887" s="472"/>
      <c r="M409887" s="472"/>
    </row>
    <row r="409888" spans="12:13" x14ac:dyDescent="0.25">
      <c r="L409888" s="472"/>
      <c r="M409888" s="472"/>
    </row>
    <row r="409889" spans="12:13" x14ac:dyDescent="0.25">
      <c r="L409889" s="472"/>
      <c r="M409889" s="472"/>
    </row>
    <row r="409961" spans="12:13" x14ac:dyDescent="0.25">
      <c r="L409961" s="472"/>
      <c r="M409961" s="472"/>
    </row>
    <row r="409962" spans="12:13" x14ac:dyDescent="0.25">
      <c r="L409962" s="472"/>
      <c r="M409962" s="472"/>
    </row>
    <row r="409963" spans="12:13" x14ac:dyDescent="0.25">
      <c r="L409963" s="472"/>
      <c r="M409963" s="472"/>
    </row>
    <row r="410035" spans="12:13" x14ac:dyDescent="0.25">
      <c r="L410035" s="472"/>
      <c r="M410035" s="472"/>
    </row>
    <row r="410036" spans="12:13" x14ac:dyDescent="0.25">
      <c r="L410036" s="472"/>
      <c r="M410036" s="472"/>
    </row>
    <row r="410037" spans="12:13" x14ac:dyDescent="0.25">
      <c r="L410037" s="472"/>
      <c r="M410037" s="472"/>
    </row>
    <row r="410109" spans="12:13" x14ac:dyDescent="0.25">
      <c r="L410109" s="472"/>
      <c r="M410109" s="472"/>
    </row>
    <row r="410110" spans="12:13" x14ac:dyDescent="0.25">
      <c r="L410110" s="472"/>
      <c r="M410110" s="472"/>
    </row>
    <row r="410111" spans="12:13" x14ac:dyDescent="0.25">
      <c r="L410111" s="472"/>
      <c r="M410111" s="472"/>
    </row>
    <row r="410183" spans="12:13" x14ac:dyDescent="0.25">
      <c r="L410183" s="472"/>
      <c r="M410183" s="472"/>
    </row>
    <row r="410184" spans="12:13" x14ac:dyDescent="0.25">
      <c r="L410184" s="472"/>
      <c r="M410184" s="472"/>
    </row>
    <row r="410185" spans="12:13" x14ac:dyDescent="0.25">
      <c r="L410185" s="472"/>
      <c r="M410185" s="472"/>
    </row>
    <row r="410257" spans="12:13" x14ac:dyDescent="0.25">
      <c r="L410257" s="472"/>
      <c r="M410257" s="472"/>
    </row>
    <row r="410258" spans="12:13" x14ac:dyDescent="0.25">
      <c r="L410258" s="472"/>
      <c r="M410258" s="472"/>
    </row>
    <row r="410259" spans="12:13" x14ac:dyDescent="0.25">
      <c r="L410259" s="472"/>
      <c r="M410259" s="472"/>
    </row>
    <row r="410331" spans="12:13" x14ac:dyDescent="0.25">
      <c r="L410331" s="472"/>
      <c r="M410331" s="472"/>
    </row>
    <row r="410332" spans="12:13" x14ac:dyDescent="0.25">
      <c r="L410332" s="472"/>
      <c r="M410332" s="472"/>
    </row>
    <row r="410333" spans="12:13" x14ac:dyDescent="0.25">
      <c r="L410333" s="472"/>
      <c r="M410333" s="472"/>
    </row>
    <row r="410405" spans="12:13" x14ac:dyDescent="0.25">
      <c r="L410405" s="472"/>
      <c r="M410405" s="472"/>
    </row>
    <row r="410406" spans="12:13" x14ac:dyDescent="0.25">
      <c r="L410406" s="472"/>
      <c r="M410406" s="472"/>
    </row>
    <row r="410407" spans="12:13" x14ac:dyDescent="0.25">
      <c r="L410407" s="472"/>
      <c r="M410407" s="472"/>
    </row>
    <row r="410479" spans="12:13" x14ac:dyDescent="0.25">
      <c r="L410479" s="472"/>
      <c r="M410479" s="472"/>
    </row>
    <row r="410480" spans="12:13" x14ac:dyDescent="0.25">
      <c r="L410480" s="472"/>
      <c r="M410480" s="472"/>
    </row>
    <row r="410481" spans="12:13" x14ac:dyDescent="0.25">
      <c r="L410481" s="472"/>
      <c r="M410481" s="472"/>
    </row>
    <row r="410553" spans="12:13" x14ac:dyDescent="0.25">
      <c r="L410553" s="472"/>
      <c r="M410553" s="472"/>
    </row>
    <row r="410554" spans="12:13" x14ac:dyDescent="0.25">
      <c r="L410554" s="472"/>
      <c r="M410554" s="472"/>
    </row>
    <row r="410555" spans="12:13" x14ac:dyDescent="0.25">
      <c r="L410555" s="472"/>
      <c r="M410555" s="472"/>
    </row>
    <row r="410627" spans="12:13" x14ac:dyDescent="0.25">
      <c r="L410627" s="472"/>
      <c r="M410627" s="472"/>
    </row>
    <row r="410628" spans="12:13" x14ac:dyDescent="0.25">
      <c r="L410628" s="472"/>
      <c r="M410628" s="472"/>
    </row>
    <row r="410629" spans="12:13" x14ac:dyDescent="0.25">
      <c r="L410629" s="472"/>
      <c r="M410629" s="472"/>
    </row>
    <row r="410701" spans="12:13" x14ac:dyDescent="0.25">
      <c r="L410701" s="472"/>
      <c r="M410701" s="472"/>
    </row>
    <row r="410702" spans="12:13" x14ac:dyDescent="0.25">
      <c r="L410702" s="472"/>
      <c r="M410702" s="472"/>
    </row>
    <row r="410703" spans="12:13" x14ac:dyDescent="0.25">
      <c r="L410703" s="472"/>
      <c r="M410703" s="472"/>
    </row>
    <row r="410775" spans="12:13" x14ac:dyDescent="0.25">
      <c r="L410775" s="472"/>
      <c r="M410775" s="472"/>
    </row>
    <row r="410776" spans="12:13" x14ac:dyDescent="0.25">
      <c r="L410776" s="472"/>
      <c r="M410776" s="472"/>
    </row>
    <row r="410777" spans="12:13" x14ac:dyDescent="0.25">
      <c r="L410777" s="472"/>
      <c r="M410777" s="472"/>
    </row>
    <row r="410849" spans="12:13" x14ac:dyDescent="0.25">
      <c r="L410849" s="472"/>
      <c r="M410849" s="472"/>
    </row>
    <row r="410850" spans="12:13" x14ac:dyDescent="0.25">
      <c r="L410850" s="472"/>
      <c r="M410850" s="472"/>
    </row>
    <row r="410851" spans="12:13" x14ac:dyDescent="0.25">
      <c r="L410851" s="472"/>
      <c r="M410851" s="472"/>
    </row>
    <row r="410923" spans="12:13" x14ac:dyDescent="0.25">
      <c r="L410923" s="472"/>
      <c r="M410923" s="472"/>
    </row>
    <row r="410924" spans="12:13" x14ac:dyDescent="0.25">
      <c r="L410924" s="472"/>
      <c r="M410924" s="472"/>
    </row>
    <row r="410925" spans="12:13" x14ac:dyDescent="0.25">
      <c r="L410925" s="472"/>
      <c r="M410925" s="472"/>
    </row>
    <row r="410997" spans="12:13" x14ac:dyDescent="0.25">
      <c r="L410997" s="472"/>
      <c r="M410997" s="472"/>
    </row>
    <row r="410998" spans="12:13" x14ac:dyDescent="0.25">
      <c r="L410998" s="472"/>
      <c r="M410998" s="472"/>
    </row>
    <row r="410999" spans="12:13" x14ac:dyDescent="0.25">
      <c r="L410999" s="472"/>
      <c r="M410999" s="472"/>
    </row>
    <row r="411071" spans="12:13" x14ac:dyDescent="0.25">
      <c r="L411071" s="472"/>
      <c r="M411071" s="472"/>
    </row>
    <row r="411072" spans="12:13" x14ac:dyDescent="0.25">
      <c r="L411072" s="472"/>
      <c r="M411072" s="472"/>
    </row>
    <row r="411073" spans="12:13" x14ac:dyDescent="0.25">
      <c r="L411073" s="472"/>
      <c r="M411073" s="472"/>
    </row>
    <row r="411145" spans="12:13" x14ac:dyDescent="0.25">
      <c r="L411145" s="472"/>
      <c r="M411145" s="472"/>
    </row>
    <row r="411146" spans="12:13" x14ac:dyDescent="0.25">
      <c r="L411146" s="472"/>
      <c r="M411146" s="472"/>
    </row>
    <row r="411147" spans="12:13" x14ac:dyDescent="0.25">
      <c r="L411147" s="472"/>
      <c r="M411147" s="472"/>
    </row>
    <row r="411219" spans="12:13" x14ac:dyDescent="0.25">
      <c r="L411219" s="472"/>
      <c r="M411219" s="472"/>
    </row>
    <row r="411220" spans="12:13" x14ac:dyDescent="0.25">
      <c r="L411220" s="472"/>
      <c r="M411220" s="472"/>
    </row>
    <row r="411221" spans="12:13" x14ac:dyDescent="0.25">
      <c r="L411221" s="472"/>
      <c r="M411221" s="472"/>
    </row>
    <row r="411293" spans="12:13" x14ac:dyDescent="0.25">
      <c r="L411293" s="472"/>
      <c r="M411293" s="472"/>
    </row>
    <row r="411294" spans="12:13" x14ac:dyDescent="0.25">
      <c r="L411294" s="472"/>
      <c r="M411294" s="472"/>
    </row>
    <row r="411295" spans="12:13" x14ac:dyDescent="0.25">
      <c r="L411295" s="472"/>
      <c r="M411295" s="472"/>
    </row>
    <row r="411367" spans="12:13" x14ac:dyDescent="0.25">
      <c r="L411367" s="472"/>
      <c r="M411367" s="472"/>
    </row>
    <row r="411368" spans="12:13" x14ac:dyDescent="0.25">
      <c r="L411368" s="472"/>
      <c r="M411368" s="472"/>
    </row>
    <row r="411369" spans="12:13" x14ac:dyDescent="0.25">
      <c r="L411369" s="472"/>
      <c r="M411369" s="472"/>
    </row>
    <row r="411441" spans="12:13" x14ac:dyDescent="0.25">
      <c r="L411441" s="472"/>
      <c r="M411441" s="472"/>
    </row>
    <row r="411442" spans="12:13" x14ac:dyDescent="0.25">
      <c r="L411442" s="472"/>
      <c r="M411442" s="472"/>
    </row>
    <row r="411443" spans="12:13" x14ac:dyDescent="0.25">
      <c r="L411443" s="472"/>
      <c r="M411443" s="472"/>
    </row>
    <row r="411515" spans="12:13" x14ac:dyDescent="0.25">
      <c r="L411515" s="472"/>
      <c r="M411515" s="472"/>
    </row>
    <row r="411516" spans="12:13" x14ac:dyDescent="0.25">
      <c r="L411516" s="472"/>
      <c r="M411516" s="472"/>
    </row>
    <row r="411517" spans="12:13" x14ac:dyDescent="0.25">
      <c r="L411517" s="472"/>
      <c r="M411517" s="472"/>
    </row>
    <row r="411589" spans="12:13" x14ac:dyDescent="0.25">
      <c r="L411589" s="472"/>
      <c r="M411589" s="472"/>
    </row>
    <row r="411590" spans="12:13" x14ac:dyDescent="0.25">
      <c r="L411590" s="472"/>
      <c r="M411590" s="472"/>
    </row>
    <row r="411591" spans="12:13" x14ac:dyDescent="0.25">
      <c r="L411591" s="472"/>
      <c r="M411591" s="472"/>
    </row>
    <row r="411663" spans="12:13" x14ac:dyDescent="0.25">
      <c r="L411663" s="472"/>
      <c r="M411663" s="472"/>
    </row>
    <row r="411664" spans="12:13" x14ac:dyDescent="0.25">
      <c r="L411664" s="472"/>
      <c r="M411664" s="472"/>
    </row>
    <row r="411665" spans="12:13" x14ac:dyDescent="0.25">
      <c r="L411665" s="472"/>
      <c r="M411665" s="472"/>
    </row>
    <row r="411737" spans="12:13" x14ac:dyDescent="0.25">
      <c r="L411737" s="472"/>
      <c r="M411737" s="472"/>
    </row>
    <row r="411738" spans="12:13" x14ac:dyDescent="0.25">
      <c r="L411738" s="472"/>
      <c r="M411738" s="472"/>
    </row>
    <row r="411739" spans="12:13" x14ac:dyDescent="0.25">
      <c r="L411739" s="472"/>
      <c r="M411739" s="472"/>
    </row>
    <row r="411811" spans="12:13" x14ac:dyDescent="0.25">
      <c r="L411811" s="472"/>
      <c r="M411811" s="472"/>
    </row>
    <row r="411812" spans="12:13" x14ac:dyDescent="0.25">
      <c r="L411812" s="472"/>
      <c r="M411812" s="472"/>
    </row>
    <row r="411813" spans="12:13" x14ac:dyDescent="0.25">
      <c r="L411813" s="472"/>
      <c r="M411813" s="472"/>
    </row>
    <row r="411885" spans="12:13" x14ac:dyDescent="0.25">
      <c r="L411885" s="472"/>
      <c r="M411885" s="472"/>
    </row>
    <row r="411886" spans="12:13" x14ac:dyDescent="0.25">
      <c r="L411886" s="472"/>
      <c r="M411886" s="472"/>
    </row>
    <row r="411887" spans="12:13" x14ac:dyDescent="0.25">
      <c r="L411887" s="472"/>
      <c r="M411887" s="472"/>
    </row>
    <row r="411959" spans="12:13" x14ac:dyDescent="0.25">
      <c r="L411959" s="472"/>
      <c r="M411959" s="472"/>
    </row>
    <row r="411960" spans="12:13" x14ac:dyDescent="0.25">
      <c r="L411960" s="472"/>
      <c r="M411960" s="472"/>
    </row>
    <row r="411961" spans="12:13" x14ac:dyDescent="0.25">
      <c r="L411961" s="472"/>
      <c r="M411961" s="472"/>
    </row>
    <row r="412033" spans="12:13" x14ac:dyDescent="0.25">
      <c r="L412033" s="472"/>
      <c r="M412033" s="472"/>
    </row>
    <row r="412034" spans="12:13" x14ac:dyDescent="0.25">
      <c r="L412034" s="472"/>
      <c r="M412034" s="472"/>
    </row>
    <row r="412035" spans="12:13" x14ac:dyDescent="0.25">
      <c r="L412035" s="472"/>
      <c r="M412035" s="472"/>
    </row>
    <row r="412107" spans="12:13" x14ac:dyDescent="0.25">
      <c r="L412107" s="472"/>
      <c r="M412107" s="472"/>
    </row>
    <row r="412108" spans="12:13" x14ac:dyDescent="0.25">
      <c r="L412108" s="472"/>
      <c r="M412108" s="472"/>
    </row>
    <row r="412109" spans="12:13" x14ac:dyDescent="0.25">
      <c r="L412109" s="472"/>
      <c r="M412109" s="472"/>
    </row>
    <row r="412181" spans="12:13" x14ac:dyDescent="0.25">
      <c r="L412181" s="472"/>
      <c r="M412181" s="472"/>
    </row>
    <row r="412182" spans="12:13" x14ac:dyDescent="0.25">
      <c r="L412182" s="472"/>
      <c r="M412182" s="472"/>
    </row>
    <row r="412183" spans="12:13" x14ac:dyDescent="0.25">
      <c r="L412183" s="472"/>
      <c r="M412183" s="472"/>
    </row>
    <row r="412255" spans="12:13" x14ac:dyDescent="0.25">
      <c r="L412255" s="472"/>
      <c r="M412255" s="472"/>
    </row>
    <row r="412256" spans="12:13" x14ac:dyDescent="0.25">
      <c r="L412256" s="472"/>
      <c r="M412256" s="472"/>
    </row>
    <row r="412257" spans="12:13" x14ac:dyDescent="0.25">
      <c r="L412257" s="472"/>
      <c r="M412257" s="472"/>
    </row>
    <row r="412329" spans="12:13" x14ac:dyDescent="0.25">
      <c r="L412329" s="472"/>
      <c r="M412329" s="472"/>
    </row>
    <row r="412330" spans="12:13" x14ac:dyDescent="0.25">
      <c r="L412330" s="472"/>
      <c r="M412330" s="472"/>
    </row>
    <row r="412331" spans="12:13" x14ac:dyDescent="0.25">
      <c r="L412331" s="472"/>
      <c r="M412331" s="472"/>
    </row>
    <row r="412403" spans="12:13" x14ac:dyDescent="0.25">
      <c r="L412403" s="472"/>
      <c r="M412403" s="472"/>
    </row>
    <row r="412404" spans="12:13" x14ac:dyDescent="0.25">
      <c r="L412404" s="472"/>
      <c r="M412404" s="472"/>
    </row>
    <row r="412405" spans="12:13" x14ac:dyDescent="0.25">
      <c r="L412405" s="472"/>
      <c r="M412405" s="472"/>
    </row>
    <row r="412477" spans="12:13" x14ac:dyDescent="0.25">
      <c r="L412477" s="472"/>
      <c r="M412477" s="472"/>
    </row>
    <row r="412478" spans="12:13" x14ac:dyDescent="0.25">
      <c r="L412478" s="472"/>
      <c r="M412478" s="472"/>
    </row>
    <row r="412479" spans="12:13" x14ac:dyDescent="0.25">
      <c r="L412479" s="472"/>
      <c r="M412479" s="472"/>
    </row>
    <row r="412551" spans="12:13" x14ac:dyDescent="0.25">
      <c r="L412551" s="472"/>
      <c r="M412551" s="472"/>
    </row>
    <row r="412552" spans="12:13" x14ac:dyDescent="0.25">
      <c r="L412552" s="472"/>
      <c r="M412552" s="472"/>
    </row>
    <row r="412553" spans="12:13" x14ac:dyDescent="0.25">
      <c r="L412553" s="472"/>
      <c r="M412553" s="472"/>
    </row>
    <row r="412625" spans="12:13" x14ac:dyDescent="0.25">
      <c r="L412625" s="472"/>
      <c r="M412625" s="472"/>
    </row>
    <row r="412626" spans="12:13" x14ac:dyDescent="0.25">
      <c r="L412626" s="472"/>
      <c r="M412626" s="472"/>
    </row>
    <row r="412627" spans="12:13" x14ac:dyDescent="0.25">
      <c r="L412627" s="472"/>
      <c r="M412627" s="472"/>
    </row>
    <row r="412699" spans="12:13" x14ac:dyDescent="0.25">
      <c r="L412699" s="472"/>
      <c r="M412699" s="472"/>
    </row>
    <row r="412700" spans="12:13" x14ac:dyDescent="0.25">
      <c r="L412700" s="472"/>
      <c r="M412700" s="472"/>
    </row>
    <row r="412701" spans="12:13" x14ac:dyDescent="0.25">
      <c r="L412701" s="472"/>
      <c r="M412701" s="472"/>
    </row>
    <row r="412773" spans="12:13" x14ac:dyDescent="0.25">
      <c r="L412773" s="472"/>
      <c r="M412773" s="472"/>
    </row>
    <row r="412774" spans="12:13" x14ac:dyDescent="0.25">
      <c r="L412774" s="472"/>
      <c r="M412774" s="472"/>
    </row>
    <row r="412775" spans="12:13" x14ac:dyDescent="0.25">
      <c r="L412775" s="472"/>
      <c r="M412775" s="472"/>
    </row>
    <row r="412847" spans="12:13" x14ac:dyDescent="0.25">
      <c r="L412847" s="472"/>
      <c r="M412847" s="472"/>
    </row>
    <row r="412848" spans="12:13" x14ac:dyDescent="0.25">
      <c r="L412848" s="472"/>
      <c r="M412848" s="472"/>
    </row>
    <row r="412849" spans="12:13" x14ac:dyDescent="0.25">
      <c r="L412849" s="472"/>
      <c r="M412849" s="472"/>
    </row>
    <row r="412921" spans="12:13" x14ac:dyDescent="0.25">
      <c r="L412921" s="472"/>
      <c r="M412921" s="472"/>
    </row>
    <row r="412922" spans="12:13" x14ac:dyDescent="0.25">
      <c r="L412922" s="472"/>
      <c r="M412922" s="472"/>
    </row>
    <row r="412923" spans="12:13" x14ac:dyDescent="0.25">
      <c r="L412923" s="472"/>
      <c r="M412923" s="472"/>
    </row>
    <row r="412995" spans="12:13" x14ac:dyDescent="0.25">
      <c r="L412995" s="472"/>
      <c r="M412995" s="472"/>
    </row>
    <row r="412996" spans="12:13" x14ac:dyDescent="0.25">
      <c r="L412996" s="472"/>
      <c r="M412996" s="472"/>
    </row>
    <row r="412997" spans="12:13" x14ac:dyDescent="0.25">
      <c r="L412997" s="472"/>
      <c r="M412997" s="472"/>
    </row>
    <row r="413069" spans="12:13" x14ac:dyDescent="0.25">
      <c r="L413069" s="472"/>
      <c r="M413069" s="472"/>
    </row>
    <row r="413070" spans="12:13" x14ac:dyDescent="0.25">
      <c r="L413070" s="472"/>
      <c r="M413070" s="472"/>
    </row>
    <row r="413071" spans="12:13" x14ac:dyDescent="0.25">
      <c r="L413071" s="472"/>
      <c r="M413071" s="472"/>
    </row>
    <row r="413143" spans="12:13" x14ac:dyDescent="0.25">
      <c r="L413143" s="472"/>
      <c r="M413143" s="472"/>
    </row>
    <row r="413144" spans="12:13" x14ac:dyDescent="0.25">
      <c r="L413144" s="472"/>
      <c r="M413144" s="472"/>
    </row>
    <row r="413145" spans="12:13" x14ac:dyDescent="0.25">
      <c r="L413145" s="472"/>
      <c r="M413145" s="472"/>
    </row>
    <row r="413217" spans="12:13" x14ac:dyDescent="0.25">
      <c r="L413217" s="472"/>
      <c r="M413217" s="472"/>
    </row>
    <row r="413218" spans="12:13" x14ac:dyDescent="0.25">
      <c r="L413218" s="472"/>
      <c r="M413218" s="472"/>
    </row>
    <row r="413219" spans="12:13" x14ac:dyDescent="0.25">
      <c r="L413219" s="472"/>
      <c r="M413219" s="472"/>
    </row>
    <row r="413291" spans="12:13" x14ac:dyDescent="0.25">
      <c r="L413291" s="472"/>
      <c r="M413291" s="472"/>
    </row>
    <row r="413292" spans="12:13" x14ac:dyDescent="0.25">
      <c r="L413292" s="472"/>
      <c r="M413292" s="472"/>
    </row>
    <row r="413293" spans="12:13" x14ac:dyDescent="0.25">
      <c r="L413293" s="472"/>
      <c r="M413293" s="472"/>
    </row>
    <row r="413365" spans="12:13" x14ac:dyDescent="0.25">
      <c r="L413365" s="472"/>
      <c r="M413365" s="472"/>
    </row>
    <row r="413366" spans="12:13" x14ac:dyDescent="0.25">
      <c r="L413366" s="472"/>
      <c r="M413366" s="472"/>
    </row>
    <row r="413367" spans="12:13" x14ac:dyDescent="0.25">
      <c r="L413367" s="472"/>
      <c r="M413367" s="472"/>
    </row>
    <row r="413439" spans="12:13" x14ac:dyDescent="0.25">
      <c r="L413439" s="472"/>
      <c r="M413439" s="472"/>
    </row>
    <row r="413440" spans="12:13" x14ac:dyDescent="0.25">
      <c r="L413440" s="472"/>
      <c r="M413440" s="472"/>
    </row>
    <row r="413441" spans="12:13" x14ac:dyDescent="0.25">
      <c r="L413441" s="472"/>
      <c r="M413441" s="472"/>
    </row>
    <row r="413513" spans="12:13" x14ac:dyDescent="0.25">
      <c r="L413513" s="472"/>
      <c r="M413513" s="472"/>
    </row>
    <row r="413514" spans="12:13" x14ac:dyDescent="0.25">
      <c r="L413514" s="472"/>
      <c r="M413514" s="472"/>
    </row>
    <row r="413515" spans="12:13" x14ac:dyDescent="0.25">
      <c r="L413515" s="472"/>
      <c r="M413515" s="472"/>
    </row>
    <row r="413587" spans="12:13" x14ac:dyDescent="0.25">
      <c r="L413587" s="472"/>
      <c r="M413587" s="472"/>
    </row>
    <row r="413588" spans="12:13" x14ac:dyDescent="0.25">
      <c r="L413588" s="472"/>
      <c r="M413588" s="472"/>
    </row>
    <row r="413589" spans="12:13" x14ac:dyDescent="0.25">
      <c r="L413589" s="472"/>
      <c r="M413589" s="472"/>
    </row>
    <row r="413661" spans="12:13" x14ac:dyDescent="0.25">
      <c r="L413661" s="472"/>
      <c r="M413661" s="472"/>
    </row>
    <row r="413662" spans="12:13" x14ac:dyDescent="0.25">
      <c r="L413662" s="472"/>
      <c r="M413662" s="472"/>
    </row>
    <row r="413663" spans="12:13" x14ac:dyDescent="0.25">
      <c r="L413663" s="472"/>
      <c r="M413663" s="472"/>
    </row>
    <row r="413735" spans="12:13" x14ac:dyDescent="0.25">
      <c r="L413735" s="472"/>
      <c r="M413735" s="472"/>
    </row>
    <row r="413736" spans="12:13" x14ac:dyDescent="0.25">
      <c r="L413736" s="472"/>
      <c r="M413736" s="472"/>
    </row>
    <row r="413737" spans="12:13" x14ac:dyDescent="0.25">
      <c r="L413737" s="472"/>
      <c r="M413737" s="472"/>
    </row>
    <row r="413809" spans="12:13" x14ac:dyDescent="0.25">
      <c r="L413809" s="472"/>
      <c r="M413809" s="472"/>
    </row>
    <row r="413810" spans="12:13" x14ac:dyDescent="0.25">
      <c r="L413810" s="472"/>
      <c r="M413810" s="472"/>
    </row>
    <row r="413811" spans="12:13" x14ac:dyDescent="0.25">
      <c r="L413811" s="472"/>
      <c r="M413811" s="472"/>
    </row>
    <row r="413883" spans="12:13" x14ac:dyDescent="0.25">
      <c r="L413883" s="472"/>
      <c r="M413883" s="472"/>
    </row>
    <row r="413884" spans="12:13" x14ac:dyDescent="0.25">
      <c r="L413884" s="472"/>
      <c r="M413884" s="472"/>
    </row>
    <row r="413885" spans="12:13" x14ac:dyDescent="0.25">
      <c r="L413885" s="472"/>
      <c r="M413885" s="472"/>
    </row>
    <row r="413957" spans="12:13" x14ac:dyDescent="0.25">
      <c r="L413957" s="472"/>
      <c r="M413957" s="472"/>
    </row>
    <row r="413958" spans="12:13" x14ac:dyDescent="0.25">
      <c r="L413958" s="472"/>
      <c r="M413958" s="472"/>
    </row>
    <row r="413959" spans="12:13" x14ac:dyDescent="0.25">
      <c r="L413959" s="472"/>
      <c r="M413959" s="472"/>
    </row>
    <row r="414031" spans="12:13" x14ac:dyDescent="0.25">
      <c r="L414031" s="472"/>
      <c r="M414031" s="472"/>
    </row>
    <row r="414032" spans="12:13" x14ac:dyDescent="0.25">
      <c r="L414032" s="472"/>
      <c r="M414032" s="472"/>
    </row>
    <row r="414033" spans="12:13" x14ac:dyDescent="0.25">
      <c r="L414033" s="472"/>
      <c r="M414033" s="472"/>
    </row>
    <row r="414105" spans="12:13" x14ac:dyDescent="0.25">
      <c r="L414105" s="472"/>
      <c r="M414105" s="472"/>
    </row>
    <row r="414106" spans="12:13" x14ac:dyDescent="0.25">
      <c r="L414106" s="472"/>
      <c r="M414106" s="472"/>
    </row>
    <row r="414107" spans="12:13" x14ac:dyDescent="0.25">
      <c r="L414107" s="472"/>
      <c r="M414107" s="472"/>
    </row>
    <row r="414179" spans="12:13" x14ac:dyDescent="0.25">
      <c r="L414179" s="472"/>
      <c r="M414179" s="472"/>
    </row>
    <row r="414180" spans="12:13" x14ac:dyDescent="0.25">
      <c r="L414180" s="472"/>
      <c r="M414180" s="472"/>
    </row>
    <row r="414181" spans="12:13" x14ac:dyDescent="0.25">
      <c r="L414181" s="472"/>
      <c r="M414181" s="472"/>
    </row>
    <row r="414253" spans="12:13" x14ac:dyDescent="0.25">
      <c r="L414253" s="472"/>
      <c r="M414253" s="472"/>
    </row>
    <row r="414254" spans="12:13" x14ac:dyDescent="0.25">
      <c r="L414254" s="472"/>
      <c r="M414254" s="472"/>
    </row>
    <row r="414255" spans="12:13" x14ac:dyDescent="0.25">
      <c r="L414255" s="472"/>
      <c r="M414255" s="472"/>
    </row>
    <row r="414327" spans="12:13" x14ac:dyDescent="0.25">
      <c r="L414327" s="472"/>
      <c r="M414327" s="472"/>
    </row>
    <row r="414328" spans="12:13" x14ac:dyDescent="0.25">
      <c r="L414328" s="472"/>
      <c r="M414328" s="472"/>
    </row>
    <row r="414329" spans="12:13" x14ac:dyDescent="0.25">
      <c r="L414329" s="472"/>
      <c r="M414329" s="472"/>
    </row>
    <row r="414401" spans="12:13" x14ac:dyDescent="0.25">
      <c r="L414401" s="472"/>
      <c r="M414401" s="472"/>
    </row>
    <row r="414402" spans="12:13" x14ac:dyDescent="0.25">
      <c r="L414402" s="472"/>
      <c r="M414402" s="472"/>
    </row>
    <row r="414403" spans="12:13" x14ac:dyDescent="0.25">
      <c r="L414403" s="472"/>
      <c r="M414403" s="472"/>
    </row>
    <row r="414475" spans="12:13" x14ac:dyDescent="0.25">
      <c r="L414475" s="472"/>
      <c r="M414475" s="472"/>
    </row>
    <row r="414476" spans="12:13" x14ac:dyDescent="0.25">
      <c r="L414476" s="472"/>
      <c r="M414476" s="472"/>
    </row>
    <row r="414477" spans="12:13" x14ac:dyDescent="0.25">
      <c r="L414477" s="472"/>
      <c r="M414477" s="472"/>
    </row>
    <row r="414549" spans="12:13" x14ac:dyDescent="0.25">
      <c r="L414549" s="472"/>
      <c r="M414549" s="472"/>
    </row>
    <row r="414550" spans="12:13" x14ac:dyDescent="0.25">
      <c r="L414550" s="472"/>
      <c r="M414550" s="472"/>
    </row>
    <row r="414551" spans="12:13" x14ac:dyDescent="0.25">
      <c r="L414551" s="472"/>
      <c r="M414551" s="472"/>
    </row>
    <row r="414623" spans="12:13" x14ac:dyDescent="0.25">
      <c r="L414623" s="472"/>
      <c r="M414623" s="472"/>
    </row>
    <row r="414624" spans="12:13" x14ac:dyDescent="0.25">
      <c r="L414624" s="472"/>
      <c r="M414624" s="472"/>
    </row>
    <row r="414625" spans="12:13" x14ac:dyDescent="0.25">
      <c r="L414625" s="472"/>
      <c r="M414625" s="472"/>
    </row>
    <row r="414697" spans="12:13" x14ac:dyDescent="0.25">
      <c r="L414697" s="472"/>
      <c r="M414697" s="472"/>
    </row>
    <row r="414698" spans="12:13" x14ac:dyDescent="0.25">
      <c r="L414698" s="472"/>
      <c r="M414698" s="472"/>
    </row>
    <row r="414699" spans="12:13" x14ac:dyDescent="0.25">
      <c r="L414699" s="472"/>
      <c r="M414699" s="472"/>
    </row>
    <row r="414771" spans="12:13" x14ac:dyDescent="0.25">
      <c r="L414771" s="472"/>
      <c r="M414771" s="472"/>
    </row>
    <row r="414772" spans="12:13" x14ac:dyDescent="0.25">
      <c r="L414772" s="472"/>
      <c r="M414772" s="472"/>
    </row>
    <row r="414773" spans="12:13" x14ac:dyDescent="0.25">
      <c r="L414773" s="472"/>
      <c r="M414773" s="472"/>
    </row>
    <row r="414845" spans="12:13" x14ac:dyDescent="0.25">
      <c r="L414845" s="472"/>
      <c r="M414845" s="472"/>
    </row>
    <row r="414846" spans="12:13" x14ac:dyDescent="0.25">
      <c r="L414846" s="472"/>
      <c r="M414846" s="472"/>
    </row>
    <row r="414847" spans="12:13" x14ac:dyDescent="0.25">
      <c r="L414847" s="472"/>
      <c r="M414847" s="472"/>
    </row>
    <row r="414919" spans="12:13" x14ac:dyDescent="0.25">
      <c r="L414919" s="472"/>
      <c r="M414919" s="472"/>
    </row>
    <row r="414920" spans="12:13" x14ac:dyDescent="0.25">
      <c r="L414920" s="472"/>
      <c r="M414920" s="472"/>
    </row>
    <row r="414921" spans="12:13" x14ac:dyDescent="0.25">
      <c r="L414921" s="472"/>
      <c r="M414921" s="472"/>
    </row>
    <row r="414993" spans="12:13" x14ac:dyDescent="0.25">
      <c r="L414993" s="472"/>
      <c r="M414993" s="472"/>
    </row>
    <row r="414994" spans="12:13" x14ac:dyDescent="0.25">
      <c r="L414994" s="472"/>
      <c r="M414994" s="472"/>
    </row>
    <row r="414995" spans="12:13" x14ac:dyDescent="0.25">
      <c r="L414995" s="472"/>
      <c r="M414995" s="472"/>
    </row>
    <row r="415067" spans="12:13" x14ac:dyDescent="0.25">
      <c r="L415067" s="472"/>
      <c r="M415067" s="472"/>
    </row>
    <row r="415068" spans="12:13" x14ac:dyDescent="0.25">
      <c r="L415068" s="472"/>
      <c r="M415068" s="472"/>
    </row>
    <row r="415069" spans="12:13" x14ac:dyDescent="0.25">
      <c r="L415069" s="472"/>
      <c r="M415069" s="472"/>
    </row>
    <row r="415141" spans="12:13" x14ac:dyDescent="0.25">
      <c r="L415141" s="472"/>
      <c r="M415141" s="472"/>
    </row>
    <row r="415142" spans="12:13" x14ac:dyDescent="0.25">
      <c r="L415142" s="472"/>
      <c r="M415142" s="472"/>
    </row>
    <row r="415143" spans="12:13" x14ac:dyDescent="0.25">
      <c r="L415143" s="472"/>
      <c r="M415143" s="472"/>
    </row>
    <row r="415215" spans="12:13" x14ac:dyDescent="0.25">
      <c r="L415215" s="472"/>
      <c r="M415215" s="472"/>
    </row>
    <row r="415216" spans="12:13" x14ac:dyDescent="0.25">
      <c r="L415216" s="472"/>
      <c r="M415216" s="472"/>
    </row>
    <row r="415217" spans="12:13" x14ac:dyDescent="0.25">
      <c r="L415217" s="472"/>
      <c r="M415217" s="472"/>
    </row>
    <row r="415289" spans="12:13" x14ac:dyDescent="0.25">
      <c r="L415289" s="472"/>
      <c r="M415289" s="472"/>
    </row>
    <row r="415290" spans="12:13" x14ac:dyDescent="0.25">
      <c r="L415290" s="472"/>
      <c r="M415290" s="472"/>
    </row>
    <row r="415291" spans="12:13" x14ac:dyDescent="0.25">
      <c r="L415291" s="472"/>
      <c r="M415291" s="472"/>
    </row>
    <row r="415363" spans="12:13" x14ac:dyDescent="0.25">
      <c r="L415363" s="472"/>
      <c r="M415363" s="472"/>
    </row>
    <row r="415364" spans="12:13" x14ac:dyDescent="0.25">
      <c r="L415364" s="472"/>
      <c r="M415364" s="472"/>
    </row>
    <row r="415365" spans="12:13" x14ac:dyDescent="0.25">
      <c r="L415365" s="472"/>
      <c r="M415365" s="472"/>
    </row>
    <row r="415437" spans="12:13" x14ac:dyDescent="0.25">
      <c r="L415437" s="472"/>
      <c r="M415437" s="472"/>
    </row>
    <row r="415438" spans="12:13" x14ac:dyDescent="0.25">
      <c r="L415438" s="472"/>
      <c r="M415438" s="472"/>
    </row>
    <row r="415439" spans="12:13" x14ac:dyDescent="0.25">
      <c r="L415439" s="472"/>
      <c r="M415439" s="472"/>
    </row>
    <row r="415511" spans="12:13" x14ac:dyDescent="0.25">
      <c r="L415511" s="472"/>
      <c r="M415511" s="472"/>
    </row>
    <row r="415512" spans="12:13" x14ac:dyDescent="0.25">
      <c r="L415512" s="472"/>
      <c r="M415512" s="472"/>
    </row>
    <row r="415513" spans="12:13" x14ac:dyDescent="0.25">
      <c r="L415513" s="472"/>
      <c r="M415513" s="472"/>
    </row>
    <row r="415585" spans="12:13" x14ac:dyDescent="0.25">
      <c r="L415585" s="472"/>
      <c r="M415585" s="472"/>
    </row>
    <row r="415586" spans="12:13" x14ac:dyDescent="0.25">
      <c r="L415586" s="472"/>
      <c r="M415586" s="472"/>
    </row>
    <row r="415587" spans="12:13" x14ac:dyDescent="0.25">
      <c r="L415587" s="472"/>
      <c r="M415587" s="472"/>
    </row>
    <row r="415659" spans="12:13" x14ac:dyDescent="0.25">
      <c r="L415659" s="472"/>
      <c r="M415659" s="472"/>
    </row>
    <row r="415660" spans="12:13" x14ac:dyDescent="0.25">
      <c r="L415660" s="472"/>
      <c r="M415660" s="472"/>
    </row>
    <row r="415661" spans="12:13" x14ac:dyDescent="0.25">
      <c r="L415661" s="472"/>
      <c r="M415661" s="472"/>
    </row>
    <row r="415733" spans="12:13" x14ac:dyDescent="0.25">
      <c r="L415733" s="472"/>
      <c r="M415733" s="472"/>
    </row>
    <row r="415734" spans="12:13" x14ac:dyDescent="0.25">
      <c r="L415734" s="472"/>
      <c r="M415734" s="472"/>
    </row>
    <row r="415735" spans="12:13" x14ac:dyDescent="0.25">
      <c r="L415735" s="472"/>
      <c r="M415735" s="472"/>
    </row>
    <row r="415807" spans="12:13" x14ac:dyDescent="0.25">
      <c r="L415807" s="472"/>
      <c r="M415807" s="472"/>
    </row>
    <row r="415808" spans="12:13" x14ac:dyDescent="0.25">
      <c r="L415808" s="472"/>
      <c r="M415808" s="472"/>
    </row>
    <row r="415809" spans="12:13" x14ac:dyDescent="0.25">
      <c r="L415809" s="472"/>
      <c r="M415809" s="472"/>
    </row>
    <row r="415881" spans="12:13" x14ac:dyDescent="0.25">
      <c r="L415881" s="472"/>
      <c r="M415881" s="472"/>
    </row>
    <row r="415882" spans="12:13" x14ac:dyDescent="0.25">
      <c r="L415882" s="472"/>
      <c r="M415882" s="472"/>
    </row>
    <row r="415883" spans="12:13" x14ac:dyDescent="0.25">
      <c r="L415883" s="472"/>
      <c r="M415883" s="472"/>
    </row>
    <row r="415955" spans="12:13" x14ac:dyDescent="0.25">
      <c r="L415955" s="472"/>
      <c r="M415955" s="472"/>
    </row>
    <row r="415956" spans="12:13" x14ac:dyDescent="0.25">
      <c r="L415956" s="472"/>
      <c r="M415956" s="472"/>
    </row>
    <row r="415957" spans="12:13" x14ac:dyDescent="0.25">
      <c r="L415957" s="472"/>
      <c r="M415957" s="472"/>
    </row>
    <row r="416029" spans="12:13" x14ac:dyDescent="0.25">
      <c r="L416029" s="472"/>
      <c r="M416029" s="472"/>
    </row>
    <row r="416030" spans="12:13" x14ac:dyDescent="0.25">
      <c r="L416030" s="472"/>
      <c r="M416030" s="472"/>
    </row>
    <row r="416031" spans="12:13" x14ac:dyDescent="0.25">
      <c r="L416031" s="472"/>
      <c r="M416031" s="472"/>
    </row>
    <row r="416103" spans="12:13" x14ac:dyDescent="0.25">
      <c r="L416103" s="472"/>
      <c r="M416103" s="472"/>
    </row>
    <row r="416104" spans="12:13" x14ac:dyDescent="0.25">
      <c r="L416104" s="472"/>
      <c r="M416104" s="472"/>
    </row>
    <row r="416105" spans="12:13" x14ac:dyDescent="0.25">
      <c r="L416105" s="472"/>
      <c r="M416105" s="472"/>
    </row>
    <row r="416177" spans="12:13" x14ac:dyDescent="0.25">
      <c r="L416177" s="472"/>
      <c r="M416177" s="472"/>
    </row>
    <row r="416178" spans="12:13" x14ac:dyDescent="0.25">
      <c r="L416178" s="472"/>
      <c r="M416178" s="472"/>
    </row>
    <row r="416179" spans="12:13" x14ac:dyDescent="0.25">
      <c r="L416179" s="472"/>
      <c r="M416179" s="472"/>
    </row>
    <row r="416251" spans="12:13" x14ac:dyDescent="0.25">
      <c r="L416251" s="472"/>
      <c r="M416251" s="472"/>
    </row>
    <row r="416252" spans="12:13" x14ac:dyDescent="0.25">
      <c r="L416252" s="472"/>
      <c r="M416252" s="472"/>
    </row>
    <row r="416253" spans="12:13" x14ac:dyDescent="0.25">
      <c r="L416253" s="472"/>
      <c r="M416253" s="472"/>
    </row>
    <row r="416325" spans="12:13" x14ac:dyDescent="0.25">
      <c r="L416325" s="472"/>
      <c r="M416325" s="472"/>
    </row>
    <row r="416326" spans="12:13" x14ac:dyDescent="0.25">
      <c r="L416326" s="472"/>
      <c r="M416326" s="472"/>
    </row>
    <row r="416327" spans="12:13" x14ac:dyDescent="0.25">
      <c r="L416327" s="472"/>
      <c r="M416327" s="472"/>
    </row>
    <row r="416399" spans="12:13" x14ac:dyDescent="0.25">
      <c r="L416399" s="472"/>
      <c r="M416399" s="472"/>
    </row>
    <row r="416400" spans="12:13" x14ac:dyDescent="0.25">
      <c r="L416400" s="472"/>
      <c r="M416400" s="472"/>
    </row>
    <row r="416401" spans="12:13" x14ac:dyDescent="0.25">
      <c r="L416401" s="472"/>
      <c r="M416401" s="472"/>
    </row>
    <row r="416473" spans="12:13" x14ac:dyDescent="0.25">
      <c r="L416473" s="472"/>
      <c r="M416473" s="472"/>
    </row>
    <row r="416474" spans="12:13" x14ac:dyDescent="0.25">
      <c r="L416474" s="472"/>
      <c r="M416474" s="472"/>
    </row>
    <row r="416475" spans="12:13" x14ac:dyDescent="0.25">
      <c r="L416475" s="472"/>
      <c r="M416475" s="472"/>
    </row>
    <row r="416547" spans="12:13" x14ac:dyDescent="0.25">
      <c r="L416547" s="472"/>
      <c r="M416547" s="472"/>
    </row>
    <row r="416548" spans="12:13" x14ac:dyDescent="0.25">
      <c r="L416548" s="472"/>
      <c r="M416548" s="472"/>
    </row>
    <row r="416549" spans="12:13" x14ac:dyDescent="0.25">
      <c r="L416549" s="472"/>
      <c r="M416549" s="472"/>
    </row>
    <row r="416621" spans="12:13" x14ac:dyDescent="0.25">
      <c r="L416621" s="472"/>
      <c r="M416621" s="472"/>
    </row>
    <row r="416622" spans="12:13" x14ac:dyDescent="0.25">
      <c r="L416622" s="472"/>
      <c r="M416622" s="472"/>
    </row>
    <row r="416623" spans="12:13" x14ac:dyDescent="0.25">
      <c r="L416623" s="472"/>
      <c r="M416623" s="472"/>
    </row>
    <row r="416695" spans="12:13" x14ac:dyDescent="0.25">
      <c r="L416695" s="472"/>
      <c r="M416695" s="472"/>
    </row>
    <row r="416696" spans="12:13" x14ac:dyDescent="0.25">
      <c r="L416696" s="472"/>
      <c r="M416696" s="472"/>
    </row>
    <row r="416697" spans="12:13" x14ac:dyDescent="0.25">
      <c r="L416697" s="472"/>
      <c r="M416697" s="472"/>
    </row>
    <row r="416769" spans="12:13" x14ac:dyDescent="0.25">
      <c r="L416769" s="472"/>
      <c r="M416769" s="472"/>
    </row>
    <row r="416770" spans="12:13" x14ac:dyDescent="0.25">
      <c r="L416770" s="472"/>
      <c r="M416770" s="472"/>
    </row>
    <row r="416771" spans="12:13" x14ac:dyDescent="0.25">
      <c r="L416771" s="472"/>
      <c r="M416771" s="472"/>
    </row>
    <row r="416843" spans="12:13" x14ac:dyDescent="0.25">
      <c r="L416843" s="472"/>
      <c r="M416843" s="472"/>
    </row>
    <row r="416844" spans="12:13" x14ac:dyDescent="0.25">
      <c r="L416844" s="472"/>
      <c r="M416844" s="472"/>
    </row>
    <row r="416845" spans="12:13" x14ac:dyDescent="0.25">
      <c r="L416845" s="472"/>
      <c r="M416845" s="472"/>
    </row>
    <row r="416917" spans="12:13" x14ac:dyDescent="0.25">
      <c r="L416917" s="472"/>
      <c r="M416917" s="472"/>
    </row>
    <row r="416918" spans="12:13" x14ac:dyDescent="0.25">
      <c r="L416918" s="472"/>
      <c r="M416918" s="472"/>
    </row>
    <row r="416919" spans="12:13" x14ac:dyDescent="0.25">
      <c r="L416919" s="472"/>
      <c r="M416919" s="472"/>
    </row>
    <row r="416991" spans="12:13" x14ac:dyDescent="0.25">
      <c r="L416991" s="472"/>
      <c r="M416991" s="472"/>
    </row>
    <row r="416992" spans="12:13" x14ac:dyDescent="0.25">
      <c r="L416992" s="472"/>
      <c r="M416992" s="472"/>
    </row>
    <row r="416993" spans="12:13" x14ac:dyDescent="0.25">
      <c r="L416993" s="472"/>
      <c r="M416993" s="472"/>
    </row>
    <row r="417065" spans="12:13" x14ac:dyDescent="0.25">
      <c r="L417065" s="472"/>
      <c r="M417065" s="472"/>
    </row>
    <row r="417066" spans="12:13" x14ac:dyDescent="0.25">
      <c r="L417066" s="472"/>
      <c r="M417066" s="472"/>
    </row>
    <row r="417067" spans="12:13" x14ac:dyDescent="0.25">
      <c r="L417067" s="472"/>
      <c r="M417067" s="472"/>
    </row>
    <row r="417139" spans="12:13" x14ac:dyDescent="0.25">
      <c r="L417139" s="472"/>
      <c r="M417139" s="472"/>
    </row>
    <row r="417140" spans="12:13" x14ac:dyDescent="0.25">
      <c r="L417140" s="472"/>
      <c r="M417140" s="472"/>
    </row>
    <row r="417141" spans="12:13" x14ac:dyDescent="0.25">
      <c r="L417141" s="472"/>
      <c r="M417141" s="472"/>
    </row>
    <row r="417213" spans="12:13" x14ac:dyDescent="0.25">
      <c r="L417213" s="472"/>
      <c r="M417213" s="472"/>
    </row>
    <row r="417214" spans="12:13" x14ac:dyDescent="0.25">
      <c r="L417214" s="472"/>
      <c r="M417214" s="472"/>
    </row>
    <row r="417215" spans="12:13" x14ac:dyDescent="0.25">
      <c r="L417215" s="472"/>
      <c r="M417215" s="472"/>
    </row>
    <row r="417287" spans="12:13" x14ac:dyDescent="0.25">
      <c r="L417287" s="472"/>
      <c r="M417287" s="472"/>
    </row>
    <row r="417288" spans="12:13" x14ac:dyDescent="0.25">
      <c r="L417288" s="472"/>
      <c r="M417288" s="472"/>
    </row>
    <row r="417289" spans="12:13" x14ac:dyDescent="0.25">
      <c r="L417289" s="472"/>
      <c r="M417289" s="472"/>
    </row>
    <row r="417361" spans="12:13" x14ac:dyDescent="0.25">
      <c r="L417361" s="472"/>
      <c r="M417361" s="472"/>
    </row>
    <row r="417362" spans="12:13" x14ac:dyDescent="0.25">
      <c r="L417362" s="472"/>
      <c r="M417362" s="472"/>
    </row>
    <row r="417363" spans="12:13" x14ac:dyDescent="0.25">
      <c r="L417363" s="472"/>
      <c r="M417363" s="472"/>
    </row>
    <row r="417435" spans="12:13" x14ac:dyDescent="0.25">
      <c r="L417435" s="472"/>
      <c r="M417435" s="472"/>
    </row>
    <row r="417436" spans="12:13" x14ac:dyDescent="0.25">
      <c r="L417436" s="472"/>
      <c r="M417436" s="472"/>
    </row>
    <row r="417437" spans="12:13" x14ac:dyDescent="0.25">
      <c r="L417437" s="472"/>
      <c r="M417437" s="472"/>
    </row>
    <row r="417509" spans="12:13" x14ac:dyDescent="0.25">
      <c r="L417509" s="472"/>
      <c r="M417509" s="472"/>
    </row>
    <row r="417510" spans="12:13" x14ac:dyDescent="0.25">
      <c r="L417510" s="472"/>
      <c r="M417510" s="472"/>
    </row>
    <row r="417511" spans="12:13" x14ac:dyDescent="0.25">
      <c r="L417511" s="472"/>
      <c r="M417511" s="472"/>
    </row>
    <row r="417583" spans="12:13" x14ac:dyDescent="0.25">
      <c r="L417583" s="472"/>
      <c r="M417583" s="472"/>
    </row>
    <row r="417584" spans="12:13" x14ac:dyDescent="0.25">
      <c r="L417584" s="472"/>
      <c r="M417584" s="472"/>
    </row>
    <row r="417585" spans="12:13" x14ac:dyDescent="0.25">
      <c r="L417585" s="472"/>
      <c r="M417585" s="472"/>
    </row>
    <row r="417657" spans="12:13" x14ac:dyDescent="0.25">
      <c r="L417657" s="472"/>
      <c r="M417657" s="472"/>
    </row>
    <row r="417658" spans="12:13" x14ac:dyDescent="0.25">
      <c r="L417658" s="472"/>
      <c r="M417658" s="472"/>
    </row>
    <row r="417659" spans="12:13" x14ac:dyDescent="0.25">
      <c r="L417659" s="472"/>
      <c r="M417659" s="472"/>
    </row>
    <row r="417731" spans="12:13" x14ac:dyDescent="0.25">
      <c r="L417731" s="472"/>
      <c r="M417731" s="472"/>
    </row>
    <row r="417732" spans="12:13" x14ac:dyDescent="0.25">
      <c r="L417732" s="472"/>
      <c r="M417732" s="472"/>
    </row>
    <row r="417733" spans="12:13" x14ac:dyDescent="0.25">
      <c r="L417733" s="472"/>
      <c r="M417733" s="472"/>
    </row>
    <row r="417805" spans="12:13" x14ac:dyDescent="0.25">
      <c r="L417805" s="472"/>
      <c r="M417805" s="472"/>
    </row>
    <row r="417806" spans="12:13" x14ac:dyDescent="0.25">
      <c r="L417806" s="472"/>
      <c r="M417806" s="472"/>
    </row>
    <row r="417807" spans="12:13" x14ac:dyDescent="0.25">
      <c r="L417807" s="472"/>
      <c r="M417807" s="472"/>
    </row>
    <row r="417879" spans="12:13" x14ac:dyDescent="0.25">
      <c r="L417879" s="472"/>
      <c r="M417879" s="472"/>
    </row>
    <row r="417880" spans="12:13" x14ac:dyDescent="0.25">
      <c r="L417880" s="472"/>
      <c r="M417880" s="472"/>
    </row>
    <row r="417881" spans="12:13" x14ac:dyDescent="0.25">
      <c r="L417881" s="472"/>
      <c r="M417881" s="472"/>
    </row>
    <row r="417953" spans="12:13" x14ac:dyDescent="0.25">
      <c r="L417953" s="472"/>
      <c r="M417953" s="472"/>
    </row>
    <row r="417954" spans="12:13" x14ac:dyDescent="0.25">
      <c r="L417954" s="472"/>
      <c r="M417954" s="472"/>
    </row>
    <row r="417955" spans="12:13" x14ac:dyDescent="0.25">
      <c r="L417955" s="472"/>
      <c r="M417955" s="472"/>
    </row>
    <row r="418027" spans="12:13" x14ac:dyDescent="0.25">
      <c r="L418027" s="472"/>
      <c r="M418027" s="472"/>
    </row>
    <row r="418028" spans="12:13" x14ac:dyDescent="0.25">
      <c r="L418028" s="472"/>
      <c r="M418028" s="472"/>
    </row>
    <row r="418029" spans="12:13" x14ac:dyDescent="0.25">
      <c r="L418029" s="472"/>
      <c r="M418029" s="472"/>
    </row>
    <row r="418101" spans="12:13" x14ac:dyDescent="0.25">
      <c r="L418101" s="472"/>
      <c r="M418101" s="472"/>
    </row>
    <row r="418102" spans="12:13" x14ac:dyDescent="0.25">
      <c r="L418102" s="472"/>
      <c r="M418102" s="472"/>
    </row>
    <row r="418103" spans="12:13" x14ac:dyDescent="0.25">
      <c r="L418103" s="472"/>
      <c r="M418103" s="472"/>
    </row>
    <row r="418175" spans="12:13" x14ac:dyDescent="0.25">
      <c r="L418175" s="472"/>
      <c r="M418175" s="472"/>
    </row>
    <row r="418176" spans="12:13" x14ac:dyDescent="0.25">
      <c r="L418176" s="472"/>
      <c r="M418176" s="472"/>
    </row>
    <row r="418177" spans="12:13" x14ac:dyDescent="0.25">
      <c r="L418177" s="472"/>
      <c r="M418177" s="472"/>
    </row>
    <row r="418249" spans="12:13" x14ac:dyDescent="0.25">
      <c r="L418249" s="472"/>
      <c r="M418249" s="472"/>
    </row>
    <row r="418250" spans="12:13" x14ac:dyDescent="0.25">
      <c r="L418250" s="472"/>
      <c r="M418250" s="472"/>
    </row>
    <row r="418251" spans="12:13" x14ac:dyDescent="0.25">
      <c r="L418251" s="472"/>
      <c r="M418251" s="472"/>
    </row>
    <row r="418323" spans="12:13" x14ac:dyDescent="0.25">
      <c r="L418323" s="472"/>
      <c r="M418323" s="472"/>
    </row>
    <row r="418324" spans="12:13" x14ac:dyDescent="0.25">
      <c r="L418324" s="472"/>
      <c r="M418324" s="472"/>
    </row>
    <row r="418325" spans="12:13" x14ac:dyDescent="0.25">
      <c r="L418325" s="472"/>
      <c r="M418325" s="472"/>
    </row>
    <row r="418397" spans="12:13" x14ac:dyDescent="0.25">
      <c r="L418397" s="472"/>
      <c r="M418397" s="472"/>
    </row>
    <row r="418398" spans="12:13" x14ac:dyDescent="0.25">
      <c r="L418398" s="472"/>
      <c r="M418398" s="472"/>
    </row>
    <row r="418399" spans="12:13" x14ac:dyDescent="0.25">
      <c r="L418399" s="472"/>
      <c r="M418399" s="472"/>
    </row>
    <row r="418471" spans="12:13" x14ac:dyDescent="0.25">
      <c r="L418471" s="472"/>
      <c r="M418471" s="472"/>
    </row>
    <row r="418472" spans="12:13" x14ac:dyDescent="0.25">
      <c r="L418472" s="472"/>
      <c r="M418472" s="472"/>
    </row>
    <row r="418473" spans="12:13" x14ac:dyDescent="0.25">
      <c r="L418473" s="472"/>
      <c r="M418473" s="472"/>
    </row>
    <row r="418545" spans="12:13" x14ac:dyDescent="0.25">
      <c r="L418545" s="472"/>
      <c r="M418545" s="472"/>
    </row>
    <row r="418546" spans="12:13" x14ac:dyDescent="0.25">
      <c r="L418546" s="472"/>
      <c r="M418546" s="472"/>
    </row>
    <row r="418547" spans="12:13" x14ac:dyDescent="0.25">
      <c r="L418547" s="472"/>
      <c r="M418547" s="472"/>
    </row>
    <row r="418619" spans="12:13" x14ac:dyDescent="0.25">
      <c r="L418619" s="472"/>
      <c r="M418619" s="472"/>
    </row>
    <row r="418620" spans="12:13" x14ac:dyDescent="0.25">
      <c r="L418620" s="472"/>
      <c r="M418620" s="472"/>
    </row>
    <row r="418621" spans="12:13" x14ac:dyDescent="0.25">
      <c r="L418621" s="472"/>
      <c r="M418621" s="472"/>
    </row>
    <row r="418693" spans="12:13" x14ac:dyDescent="0.25">
      <c r="L418693" s="472"/>
      <c r="M418693" s="472"/>
    </row>
    <row r="418694" spans="12:13" x14ac:dyDescent="0.25">
      <c r="L418694" s="472"/>
      <c r="M418694" s="472"/>
    </row>
    <row r="418695" spans="12:13" x14ac:dyDescent="0.25">
      <c r="L418695" s="472"/>
      <c r="M418695" s="472"/>
    </row>
    <row r="418767" spans="12:13" x14ac:dyDescent="0.25">
      <c r="L418767" s="472"/>
      <c r="M418767" s="472"/>
    </row>
    <row r="418768" spans="12:13" x14ac:dyDescent="0.25">
      <c r="L418768" s="472"/>
      <c r="M418768" s="472"/>
    </row>
    <row r="418769" spans="12:13" x14ac:dyDescent="0.25">
      <c r="L418769" s="472"/>
      <c r="M418769" s="472"/>
    </row>
    <row r="418841" spans="12:13" x14ac:dyDescent="0.25">
      <c r="L418841" s="472"/>
      <c r="M418841" s="472"/>
    </row>
    <row r="418842" spans="12:13" x14ac:dyDescent="0.25">
      <c r="L418842" s="472"/>
      <c r="M418842" s="472"/>
    </row>
    <row r="418843" spans="12:13" x14ac:dyDescent="0.25">
      <c r="L418843" s="472"/>
      <c r="M418843" s="472"/>
    </row>
    <row r="418915" spans="12:13" x14ac:dyDescent="0.25">
      <c r="L418915" s="472"/>
      <c r="M418915" s="472"/>
    </row>
    <row r="418916" spans="12:13" x14ac:dyDescent="0.25">
      <c r="L418916" s="472"/>
      <c r="M418916" s="472"/>
    </row>
    <row r="418917" spans="12:13" x14ac:dyDescent="0.25">
      <c r="L418917" s="472"/>
      <c r="M418917" s="472"/>
    </row>
    <row r="418989" spans="12:13" x14ac:dyDescent="0.25">
      <c r="L418989" s="472"/>
      <c r="M418989" s="472"/>
    </row>
    <row r="418990" spans="12:13" x14ac:dyDescent="0.25">
      <c r="L418990" s="472"/>
      <c r="M418990" s="472"/>
    </row>
    <row r="418991" spans="12:13" x14ac:dyDescent="0.25">
      <c r="L418991" s="472"/>
      <c r="M418991" s="472"/>
    </row>
    <row r="419063" spans="12:13" x14ac:dyDescent="0.25">
      <c r="L419063" s="472"/>
      <c r="M419063" s="472"/>
    </row>
    <row r="419064" spans="12:13" x14ac:dyDescent="0.25">
      <c r="L419064" s="472"/>
      <c r="M419064" s="472"/>
    </row>
    <row r="419065" spans="12:13" x14ac:dyDescent="0.25">
      <c r="L419065" s="472"/>
      <c r="M419065" s="472"/>
    </row>
    <row r="419137" spans="12:13" x14ac:dyDescent="0.25">
      <c r="L419137" s="472"/>
      <c r="M419137" s="472"/>
    </row>
    <row r="419138" spans="12:13" x14ac:dyDescent="0.25">
      <c r="L419138" s="472"/>
      <c r="M419138" s="472"/>
    </row>
    <row r="419139" spans="12:13" x14ac:dyDescent="0.25">
      <c r="L419139" s="472"/>
      <c r="M419139" s="472"/>
    </row>
    <row r="419211" spans="12:13" x14ac:dyDescent="0.25">
      <c r="L419211" s="472"/>
      <c r="M419211" s="472"/>
    </row>
    <row r="419212" spans="12:13" x14ac:dyDescent="0.25">
      <c r="L419212" s="472"/>
      <c r="M419212" s="472"/>
    </row>
    <row r="419213" spans="12:13" x14ac:dyDescent="0.25">
      <c r="L419213" s="472"/>
      <c r="M419213" s="472"/>
    </row>
    <row r="419285" spans="12:13" x14ac:dyDescent="0.25">
      <c r="L419285" s="472"/>
      <c r="M419285" s="472"/>
    </row>
    <row r="419286" spans="12:13" x14ac:dyDescent="0.25">
      <c r="L419286" s="472"/>
      <c r="M419286" s="472"/>
    </row>
    <row r="419287" spans="12:13" x14ac:dyDescent="0.25">
      <c r="L419287" s="472"/>
      <c r="M419287" s="472"/>
    </row>
    <row r="419359" spans="12:13" x14ac:dyDescent="0.25">
      <c r="L419359" s="472"/>
      <c r="M419359" s="472"/>
    </row>
    <row r="419360" spans="12:13" x14ac:dyDescent="0.25">
      <c r="L419360" s="472"/>
      <c r="M419360" s="472"/>
    </row>
    <row r="419361" spans="12:13" x14ac:dyDescent="0.25">
      <c r="L419361" s="472"/>
      <c r="M419361" s="472"/>
    </row>
    <row r="419433" spans="12:13" x14ac:dyDescent="0.25">
      <c r="L419433" s="472"/>
      <c r="M419433" s="472"/>
    </row>
    <row r="419434" spans="12:13" x14ac:dyDescent="0.25">
      <c r="L419434" s="472"/>
      <c r="M419434" s="472"/>
    </row>
    <row r="419435" spans="12:13" x14ac:dyDescent="0.25">
      <c r="L419435" s="472"/>
      <c r="M419435" s="472"/>
    </row>
    <row r="419507" spans="12:13" x14ac:dyDescent="0.25">
      <c r="L419507" s="472"/>
      <c r="M419507" s="472"/>
    </row>
    <row r="419508" spans="12:13" x14ac:dyDescent="0.25">
      <c r="L419508" s="472"/>
      <c r="M419508" s="472"/>
    </row>
    <row r="419509" spans="12:13" x14ac:dyDescent="0.25">
      <c r="L419509" s="472"/>
      <c r="M419509" s="472"/>
    </row>
    <row r="419581" spans="12:13" x14ac:dyDescent="0.25">
      <c r="L419581" s="472"/>
      <c r="M419581" s="472"/>
    </row>
    <row r="419582" spans="12:13" x14ac:dyDescent="0.25">
      <c r="L419582" s="472"/>
      <c r="M419582" s="472"/>
    </row>
    <row r="419583" spans="12:13" x14ac:dyDescent="0.25">
      <c r="L419583" s="472"/>
      <c r="M419583" s="472"/>
    </row>
    <row r="419655" spans="12:13" x14ac:dyDescent="0.25">
      <c r="L419655" s="472"/>
      <c r="M419655" s="472"/>
    </row>
    <row r="419656" spans="12:13" x14ac:dyDescent="0.25">
      <c r="L419656" s="472"/>
      <c r="M419656" s="472"/>
    </row>
    <row r="419657" spans="12:13" x14ac:dyDescent="0.25">
      <c r="L419657" s="472"/>
      <c r="M419657" s="472"/>
    </row>
    <row r="419729" spans="12:13" x14ac:dyDescent="0.25">
      <c r="L419729" s="472"/>
      <c r="M419729" s="472"/>
    </row>
    <row r="419730" spans="12:13" x14ac:dyDescent="0.25">
      <c r="L419730" s="472"/>
      <c r="M419730" s="472"/>
    </row>
    <row r="419731" spans="12:13" x14ac:dyDescent="0.25">
      <c r="L419731" s="472"/>
      <c r="M419731" s="472"/>
    </row>
    <row r="419803" spans="12:13" x14ac:dyDescent="0.25">
      <c r="L419803" s="472"/>
      <c r="M419803" s="472"/>
    </row>
    <row r="419804" spans="12:13" x14ac:dyDescent="0.25">
      <c r="L419804" s="472"/>
      <c r="M419804" s="472"/>
    </row>
    <row r="419805" spans="12:13" x14ac:dyDescent="0.25">
      <c r="L419805" s="472"/>
      <c r="M419805" s="472"/>
    </row>
    <row r="419877" spans="12:13" x14ac:dyDescent="0.25">
      <c r="L419877" s="472"/>
      <c r="M419877" s="472"/>
    </row>
    <row r="419878" spans="12:13" x14ac:dyDescent="0.25">
      <c r="L419878" s="472"/>
      <c r="M419878" s="472"/>
    </row>
    <row r="419879" spans="12:13" x14ac:dyDescent="0.25">
      <c r="L419879" s="472"/>
      <c r="M419879" s="472"/>
    </row>
    <row r="419951" spans="12:13" x14ac:dyDescent="0.25">
      <c r="L419951" s="472"/>
      <c r="M419951" s="472"/>
    </row>
    <row r="419952" spans="12:13" x14ac:dyDescent="0.25">
      <c r="L419952" s="472"/>
      <c r="M419952" s="472"/>
    </row>
    <row r="419953" spans="12:13" x14ac:dyDescent="0.25">
      <c r="L419953" s="472"/>
      <c r="M419953" s="472"/>
    </row>
    <row r="420025" spans="12:13" x14ac:dyDescent="0.25">
      <c r="L420025" s="472"/>
      <c r="M420025" s="472"/>
    </row>
    <row r="420026" spans="12:13" x14ac:dyDescent="0.25">
      <c r="L420026" s="472"/>
      <c r="M420026" s="472"/>
    </row>
    <row r="420027" spans="12:13" x14ac:dyDescent="0.25">
      <c r="L420027" s="472"/>
      <c r="M420027" s="472"/>
    </row>
    <row r="420099" spans="12:13" x14ac:dyDescent="0.25">
      <c r="L420099" s="472"/>
      <c r="M420099" s="472"/>
    </row>
    <row r="420100" spans="12:13" x14ac:dyDescent="0.25">
      <c r="L420100" s="472"/>
      <c r="M420100" s="472"/>
    </row>
    <row r="420101" spans="12:13" x14ac:dyDescent="0.25">
      <c r="L420101" s="472"/>
      <c r="M420101" s="472"/>
    </row>
    <row r="420173" spans="12:13" x14ac:dyDescent="0.25">
      <c r="L420173" s="472"/>
      <c r="M420173" s="472"/>
    </row>
    <row r="420174" spans="12:13" x14ac:dyDescent="0.25">
      <c r="L420174" s="472"/>
      <c r="M420174" s="472"/>
    </row>
    <row r="420175" spans="12:13" x14ac:dyDescent="0.25">
      <c r="L420175" s="472"/>
      <c r="M420175" s="472"/>
    </row>
    <row r="420247" spans="12:13" x14ac:dyDescent="0.25">
      <c r="L420247" s="472"/>
      <c r="M420247" s="472"/>
    </row>
    <row r="420248" spans="12:13" x14ac:dyDescent="0.25">
      <c r="L420248" s="472"/>
      <c r="M420248" s="472"/>
    </row>
    <row r="420249" spans="12:13" x14ac:dyDescent="0.25">
      <c r="L420249" s="472"/>
      <c r="M420249" s="472"/>
    </row>
    <row r="420321" spans="12:13" x14ac:dyDescent="0.25">
      <c r="L420321" s="472"/>
      <c r="M420321" s="472"/>
    </row>
    <row r="420322" spans="12:13" x14ac:dyDescent="0.25">
      <c r="L420322" s="472"/>
      <c r="M420322" s="472"/>
    </row>
    <row r="420323" spans="12:13" x14ac:dyDescent="0.25">
      <c r="L420323" s="472"/>
      <c r="M420323" s="472"/>
    </row>
    <row r="420395" spans="12:13" x14ac:dyDescent="0.25">
      <c r="L420395" s="472"/>
      <c r="M420395" s="472"/>
    </row>
    <row r="420396" spans="12:13" x14ac:dyDescent="0.25">
      <c r="L420396" s="472"/>
      <c r="M420396" s="472"/>
    </row>
    <row r="420397" spans="12:13" x14ac:dyDescent="0.25">
      <c r="L420397" s="472"/>
      <c r="M420397" s="472"/>
    </row>
    <row r="420469" spans="12:13" x14ac:dyDescent="0.25">
      <c r="L420469" s="472"/>
      <c r="M420469" s="472"/>
    </row>
    <row r="420470" spans="12:13" x14ac:dyDescent="0.25">
      <c r="L420470" s="472"/>
      <c r="M420470" s="472"/>
    </row>
    <row r="420471" spans="12:13" x14ac:dyDescent="0.25">
      <c r="L420471" s="472"/>
      <c r="M420471" s="472"/>
    </row>
    <row r="420543" spans="12:13" x14ac:dyDescent="0.25">
      <c r="L420543" s="472"/>
      <c r="M420543" s="472"/>
    </row>
    <row r="420544" spans="12:13" x14ac:dyDescent="0.25">
      <c r="L420544" s="472"/>
      <c r="M420544" s="472"/>
    </row>
    <row r="420545" spans="12:13" x14ac:dyDescent="0.25">
      <c r="L420545" s="472"/>
      <c r="M420545" s="472"/>
    </row>
    <row r="420617" spans="12:13" x14ac:dyDescent="0.25">
      <c r="L420617" s="472"/>
      <c r="M420617" s="472"/>
    </row>
    <row r="420618" spans="12:13" x14ac:dyDescent="0.25">
      <c r="L420618" s="472"/>
      <c r="M420618" s="472"/>
    </row>
    <row r="420619" spans="12:13" x14ac:dyDescent="0.25">
      <c r="L420619" s="472"/>
      <c r="M420619" s="472"/>
    </row>
    <row r="420691" spans="12:13" x14ac:dyDescent="0.25">
      <c r="L420691" s="472"/>
      <c r="M420691" s="472"/>
    </row>
    <row r="420692" spans="12:13" x14ac:dyDescent="0.25">
      <c r="L420692" s="472"/>
      <c r="M420692" s="472"/>
    </row>
    <row r="420693" spans="12:13" x14ac:dyDescent="0.25">
      <c r="L420693" s="472"/>
      <c r="M420693" s="472"/>
    </row>
    <row r="420765" spans="12:13" x14ac:dyDescent="0.25">
      <c r="L420765" s="472"/>
      <c r="M420765" s="472"/>
    </row>
    <row r="420766" spans="12:13" x14ac:dyDescent="0.25">
      <c r="L420766" s="472"/>
      <c r="M420766" s="472"/>
    </row>
    <row r="420767" spans="12:13" x14ac:dyDescent="0.25">
      <c r="L420767" s="472"/>
      <c r="M420767" s="472"/>
    </row>
    <row r="420839" spans="12:13" x14ac:dyDescent="0.25">
      <c r="L420839" s="472"/>
      <c r="M420839" s="472"/>
    </row>
    <row r="420840" spans="12:13" x14ac:dyDescent="0.25">
      <c r="L420840" s="472"/>
      <c r="M420840" s="472"/>
    </row>
    <row r="420841" spans="12:13" x14ac:dyDescent="0.25">
      <c r="L420841" s="472"/>
      <c r="M420841" s="472"/>
    </row>
    <row r="420913" spans="12:13" x14ac:dyDescent="0.25">
      <c r="L420913" s="472"/>
      <c r="M420913" s="472"/>
    </row>
    <row r="420914" spans="12:13" x14ac:dyDescent="0.25">
      <c r="L420914" s="472"/>
      <c r="M420914" s="472"/>
    </row>
    <row r="420915" spans="12:13" x14ac:dyDescent="0.25">
      <c r="L420915" s="472"/>
      <c r="M420915" s="472"/>
    </row>
    <row r="420987" spans="12:13" x14ac:dyDescent="0.25">
      <c r="L420987" s="472"/>
      <c r="M420987" s="472"/>
    </row>
    <row r="420988" spans="12:13" x14ac:dyDescent="0.25">
      <c r="L420988" s="472"/>
      <c r="M420988" s="472"/>
    </row>
    <row r="420989" spans="12:13" x14ac:dyDescent="0.25">
      <c r="L420989" s="472"/>
      <c r="M420989" s="472"/>
    </row>
    <row r="421061" spans="12:13" x14ac:dyDescent="0.25">
      <c r="L421061" s="472"/>
      <c r="M421061" s="472"/>
    </row>
    <row r="421062" spans="12:13" x14ac:dyDescent="0.25">
      <c r="L421062" s="472"/>
      <c r="M421062" s="472"/>
    </row>
    <row r="421063" spans="12:13" x14ac:dyDescent="0.25">
      <c r="L421063" s="472"/>
      <c r="M421063" s="472"/>
    </row>
    <row r="421135" spans="12:13" x14ac:dyDescent="0.25">
      <c r="L421135" s="472"/>
      <c r="M421135" s="472"/>
    </row>
    <row r="421136" spans="12:13" x14ac:dyDescent="0.25">
      <c r="L421136" s="472"/>
      <c r="M421136" s="472"/>
    </row>
    <row r="421137" spans="12:13" x14ac:dyDescent="0.25">
      <c r="L421137" s="472"/>
      <c r="M421137" s="472"/>
    </row>
    <row r="421209" spans="12:13" x14ac:dyDescent="0.25">
      <c r="L421209" s="472"/>
      <c r="M421209" s="472"/>
    </row>
    <row r="421210" spans="12:13" x14ac:dyDescent="0.25">
      <c r="L421210" s="472"/>
      <c r="M421210" s="472"/>
    </row>
    <row r="421211" spans="12:13" x14ac:dyDescent="0.25">
      <c r="L421211" s="472"/>
      <c r="M421211" s="472"/>
    </row>
    <row r="421283" spans="12:13" x14ac:dyDescent="0.25">
      <c r="L421283" s="472"/>
      <c r="M421283" s="472"/>
    </row>
    <row r="421284" spans="12:13" x14ac:dyDescent="0.25">
      <c r="L421284" s="472"/>
      <c r="M421284" s="472"/>
    </row>
    <row r="421285" spans="12:13" x14ac:dyDescent="0.25">
      <c r="L421285" s="472"/>
      <c r="M421285" s="472"/>
    </row>
    <row r="421357" spans="12:13" x14ac:dyDescent="0.25">
      <c r="L421357" s="472"/>
      <c r="M421357" s="472"/>
    </row>
    <row r="421358" spans="12:13" x14ac:dyDescent="0.25">
      <c r="L421358" s="472"/>
      <c r="M421358" s="472"/>
    </row>
    <row r="421359" spans="12:13" x14ac:dyDescent="0.25">
      <c r="L421359" s="472"/>
      <c r="M421359" s="472"/>
    </row>
    <row r="421431" spans="12:13" x14ac:dyDescent="0.25">
      <c r="L421431" s="472"/>
      <c r="M421431" s="472"/>
    </row>
    <row r="421432" spans="12:13" x14ac:dyDescent="0.25">
      <c r="L421432" s="472"/>
      <c r="M421432" s="472"/>
    </row>
    <row r="421433" spans="12:13" x14ac:dyDescent="0.25">
      <c r="L421433" s="472"/>
      <c r="M421433" s="472"/>
    </row>
    <row r="421505" spans="12:13" x14ac:dyDescent="0.25">
      <c r="L421505" s="472"/>
      <c r="M421505" s="472"/>
    </row>
    <row r="421506" spans="12:13" x14ac:dyDescent="0.25">
      <c r="L421506" s="472"/>
      <c r="M421506" s="472"/>
    </row>
    <row r="421507" spans="12:13" x14ac:dyDescent="0.25">
      <c r="L421507" s="472"/>
      <c r="M421507" s="472"/>
    </row>
    <row r="421579" spans="12:13" x14ac:dyDescent="0.25">
      <c r="L421579" s="472"/>
      <c r="M421579" s="472"/>
    </row>
    <row r="421580" spans="12:13" x14ac:dyDescent="0.25">
      <c r="L421580" s="472"/>
      <c r="M421580" s="472"/>
    </row>
    <row r="421581" spans="12:13" x14ac:dyDescent="0.25">
      <c r="L421581" s="472"/>
      <c r="M421581" s="472"/>
    </row>
    <row r="421653" spans="12:13" x14ac:dyDescent="0.25">
      <c r="L421653" s="472"/>
      <c r="M421653" s="472"/>
    </row>
    <row r="421654" spans="12:13" x14ac:dyDescent="0.25">
      <c r="L421654" s="472"/>
      <c r="M421654" s="472"/>
    </row>
    <row r="421655" spans="12:13" x14ac:dyDescent="0.25">
      <c r="L421655" s="472"/>
      <c r="M421655" s="472"/>
    </row>
    <row r="421727" spans="12:13" x14ac:dyDescent="0.25">
      <c r="L421727" s="472"/>
      <c r="M421727" s="472"/>
    </row>
    <row r="421728" spans="12:13" x14ac:dyDescent="0.25">
      <c r="L421728" s="472"/>
      <c r="M421728" s="472"/>
    </row>
    <row r="421729" spans="12:13" x14ac:dyDescent="0.25">
      <c r="L421729" s="472"/>
      <c r="M421729" s="472"/>
    </row>
    <row r="421801" spans="12:13" x14ac:dyDescent="0.25">
      <c r="L421801" s="472"/>
      <c r="M421801" s="472"/>
    </row>
    <row r="421802" spans="12:13" x14ac:dyDescent="0.25">
      <c r="L421802" s="472"/>
      <c r="M421802" s="472"/>
    </row>
    <row r="421803" spans="12:13" x14ac:dyDescent="0.25">
      <c r="L421803" s="472"/>
      <c r="M421803" s="472"/>
    </row>
    <row r="421875" spans="12:13" x14ac:dyDescent="0.25">
      <c r="L421875" s="472"/>
      <c r="M421875" s="472"/>
    </row>
    <row r="421876" spans="12:13" x14ac:dyDescent="0.25">
      <c r="L421876" s="472"/>
      <c r="M421876" s="472"/>
    </row>
    <row r="421877" spans="12:13" x14ac:dyDescent="0.25">
      <c r="L421877" s="472"/>
      <c r="M421877" s="472"/>
    </row>
    <row r="421949" spans="12:13" x14ac:dyDescent="0.25">
      <c r="L421949" s="472"/>
      <c r="M421949" s="472"/>
    </row>
    <row r="421950" spans="12:13" x14ac:dyDescent="0.25">
      <c r="L421950" s="472"/>
      <c r="M421950" s="472"/>
    </row>
    <row r="421951" spans="12:13" x14ac:dyDescent="0.25">
      <c r="L421951" s="472"/>
      <c r="M421951" s="472"/>
    </row>
    <row r="422023" spans="12:13" x14ac:dyDescent="0.25">
      <c r="L422023" s="472"/>
      <c r="M422023" s="472"/>
    </row>
    <row r="422024" spans="12:13" x14ac:dyDescent="0.25">
      <c r="L422024" s="472"/>
      <c r="M422024" s="472"/>
    </row>
    <row r="422025" spans="12:13" x14ac:dyDescent="0.25">
      <c r="L422025" s="472"/>
      <c r="M422025" s="472"/>
    </row>
    <row r="422097" spans="12:13" x14ac:dyDescent="0.25">
      <c r="L422097" s="472"/>
      <c r="M422097" s="472"/>
    </row>
    <row r="422098" spans="12:13" x14ac:dyDescent="0.25">
      <c r="L422098" s="472"/>
      <c r="M422098" s="472"/>
    </row>
    <row r="422099" spans="12:13" x14ac:dyDescent="0.25">
      <c r="L422099" s="472"/>
      <c r="M422099" s="472"/>
    </row>
    <row r="422171" spans="12:13" x14ac:dyDescent="0.25">
      <c r="L422171" s="472"/>
      <c r="M422171" s="472"/>
    </row>
    <row r="422172" spans="12:13" x14ac:dyDescent="0.25">
      <c r="L422172" s="472"/>
      <c r="M422172" s="472"/>
    </row>
    <row r="422173" spans="12:13" x14ac:dyDescent="0.25">
      <c r="L422173" s="472"/>
      <c r="M422173" s="472"/>
    </row>
    <row r="422245" spans="12:13" x14ac:dyDescent="0.25">
      <c r="L422245" s="472"/>
      <c r="M422245" s="472"/>
    </row>
    <row r="422246" spans="12:13" x14ac:dyDescent="0.25">
      <c r="L422246" s="472"/>
      <c r="M422246" s="472"/>
    </row>
    <row r="422247" spans="12:13" x14ac:dyDescent="0.25">
      <c r="L422247" s="472"/>
      <c r="M422247" s="472"/>
    </row>
    <row r="422319" spans="12:13" x14ac:dyDescent="0.25">
      <c r="L422319" s="472"/>
      <c r="M422319" s="472"/>
    </row>
    <row r="422320" spans="12:13" x14ac:dyDescent="0.25">
      <c r="L422320" s="472"/>
      <c r="M422320" s="472"/>
    </row>
    <row r="422321" spans="12:13" x14ac:dyDescent="0.25">
      <c r="L422321" s="472"/>
      <c r="M422321" s="472"/>
    </row>
    <row r="422393" spans="12:13" x14ac:dyDescent="0.25">
      <c r="L422393" s="472"/>
      <c r="M422393" s="472"/>
    </row>
    <row r="422394" spans="12:13" x14ac:dyDescent="0.25">
      <c r="L422394" s="472"/>
      <c r="M422394" s="472"/>
    </row>
    <row r="422395" spans="12:13" x14ac:dyDescent="0.25">
      <c r="L422395" s="472"/>
      <c r="M422395" s="472"/>
    </row>
    <row r="422467" spans="12:13" x14ac:dyDescent="0.25">
      <c r="L422467" s="472"/>
      <c r="M422467" s="472"/>
    </row>
    <row r="422468" spans="12:13" x14ac:dyDescent="0.25">
      <c r="L422468" s="472"/>
      <c r="M422468" s="472"/>
    </row>
    <row r="422469" spans="12:13" x14ac:dyDescent="0.25">
      <c r="L422469" s="472"/>
      <c r="M422469" s="472"/>
    </row>
    <row r="422541" spans="12:13" x14ac:dyDescent="0.25">
      <c r="L422541" s="472"/>
      <c r="M422541" s="472"/>
    </row>
    <row r="422542" spans="12:13" x14ac:dyDescent="0.25">
      <c r="L422542" s="472"/>
      <c r="M422542" s="472"/>
    </row>
    <row r="422543" spans="12:13" x14ac:dyDescent="0.25">
      <c r="L422543" s="472"/>
      <c r="M422543" s="472"/>
    </row>
    <row r="422615" spans="12:13" x14ac:dyDescent="0.25">
      <c r="L422615" s="472"/>
      <c r="M422615" s="472"/>
    </row>
    <row r="422616" spans="12:13" x14ac:dyDescent="0.25">
      <c r="L422616" s="472"/>
      <c r="M422616" s="472"/>
    </row>
    <row r="422617" spans="12:13" x14ac:dyDescent="0.25">
      <c r="L422617" s="472"/>
      <c r="M422617" s="472"/>
    </row>
    <row r="422689" spans="12:13" x14ac:dyDescent="0.25">
      <c r="L422689" s="472"/>
      <c r="M422689" s="472"/>
    </row>
    <row r="422690" spans="12:13" x14ac:dyDescent="0.25">
      <c r="L422690" s="472"/>
      <c r="M422690" s="472"/>
    </row>
    <row r="422691" spans="12:13" x14ac:dyDescent="0.25">
      <c r="L422691" s="472"/>
      <c r="M422691" s="472"/>
    </row>
    <row r="422763" spans="12:13" x14ac:dyDescent="0.25">
      <c r="L422763" s="472"/>
      <c r="M422763" s="472"/>
    </row>
    <row r="422764" spans="12:13" x14ac:dyDescent="0.25">
      <c r="L422764" s="472"/>
      <c r="M422764" s="472"/>
    </row>
    <row r="422765" spans="12:13" x14ac:dyDescent="0.25">
      <c r="L422765" s="472"/>
      <c r="M422765" s="472"/>
    </row>
    <row r="422837" spans="12:13" x14ac:dyDescent="0.25">
      <c r="L422837" s="472"/>
      <c r="M422837" s="472"/>
    </row>
    <row r="422838" spans="12:13" x14ac:dyDescent="0.25">
      <c r="L422838" s="472"/>
      <c r="M422838" s="472"/>
    </row>
    <row r="422839" spans="12:13" x14ac:dyDescent="0.25">
      <c r="L422839" s="472"/>
      <c r="M422839" s="472"/>
    </row>
    <row r="422911" spans="12:13" x14ac:dyDescent="0.25">
      <c r="L422911" s="472"/>
      <c r="M422911" s="472"/>
    </row>
    <row r="422912" spans="12:13" x14ac:dyDescent="0.25">
      <c r="L422912" s="472"/>
      <c r="M422912" s="472"/>
    </row>
    <row r="422913" spans="12:13" x14ac:dyDescent="0.25">
      <c r="L422913" s="472"/>
      <c r="M422913" s="472"/>
    </row>
    <row r="422985" spans="12:13" x14ac:dyDescent="0.25">
      <c r="L422985" s="472"/>
      <c r="M422985" s="472"/>
    </row>
    <row r="422986" spans="12:13" x14ac:dyDescent="0.25">
      <c r="L422986" s="472"/>
      <c r="M422986" s="472"/>
    </row>
    <row r="422987" spans="12:13" x14ac:dyDescent="0.25">
      <c r="L422987" s="472"/>
      <c r="M422987" s="472"/>
    </row>
    <row r="423059" spans="12:13" x14ac:dyDescent="0.25">
      <c r="L423059" s="472"/>
      <c r="M423059" s="472"/>
    </row>
    <row r="423060" spans="12:13" x14ac:dyDescent="0.25">
      <c r="L423060" s="472"/>
      <c r="M423060" s="472"/>
    </row>
    <row r="423061" spans="12:13" x14ac:dyDescent="0.25">
      <c r="L423061" s="472"/>
      <c r="M423061" s="472"/>
    </row>
    <row r="423133" spans="12:13" x14ac:dyDescent="0.25">
      <c r="L423133" s="472"/>
      <c r="M423133" s="472"/>
    </row>
    <row r="423134" spans="12:13" x14ac:dyDescent="0.25">
      <c r="L423134" s="472"/>
      <c r="M423134" s="472"/>
    </row>
    <row r="423135" spans="12:13" x14ac:dyDescent="0.25">
      <c r="L423135" s="472"/>
      <c r="M423135" s="472"/>
    </row>
    <row r="423207" spans="12:13" x14ac:dyDescent="0.25">
      <c r="L423207" s="472"/>
      <c r="M423207" s="472"/>
    </row>
    <row r="423208" spans="12:13" x14ac:dyDescent="0.25">
      <c r="L423208" s="472"/>
      <c r="M423208" s="472"/>
    </row>
    <row r="423209" spans="12:13" x14ac:dyDescent="0.25">
      <c r="L423209" s="472"/>
      <c r="M423209" s="472"/>
    </row>
    <row r="423281" spans="12:13" x14ac:dyDescent="0.25">
      <c r="L423281" s="472"/>
      <c r="M423281" s="472"/>
    </row>
    <row r="423282" spans="12:13" x14ac:dyDescent="0.25">
      <c r="L423282" s="472"/>
      <c r="M423282" s="472"/>
    </row>
    <row r="423283" spans="12:13" x14ac:dyDescent="0.25">
      <c r="L423283" s="472"/>
      <c r="M423283" s="472"/>
    </row>
    <row r="423355" spans="12:13" x14ac:dyDescent="0.25">
      <c r="L423355" s="472"/>
      <c r="M423355" s="472"/>
    </row>
    <row r="423356" spans="12:13" x14ac:dyDescent="0.25">
      <c r="L423356" s="472"/>
      <c r="M423356" s="472"/>
    </row>
    <row r="423357" spans="12:13" x14ac:dyDescent="0.25">
      <c r="L423357" s="472"/>
      <c r="M423357" s="472"/>
    </row>
    <row r="423429" spans="12:13" x14ac:dyDescent="0.25">
      <c r="L423429" s="472"/>
      <c r="M423429" s="472"/>
    </row>
    <row r="423430" spans="12:13" x14ac:dyDescent="0.25">
      <c r="L423430" s="472"/>
      <c r="M423430" s="472"/>
    </row>
    <row r="423431" spans="12:13" x14ac:dyDescent="0.25">
      <c r="L423431" s="472"/>
      <c r="M423431" s="472"/>
    </row>
    <row r="423503" spans="12:13" x14ac:dyDescent="0.25">
      <c r="L423503" s="472"/>
      <c r="M423503" s="472"/>
    </row>
    <row r="423504" spans="12:13" x14ac:dyDescent="0.25">
      <c r="L423504" s="472"/>
      <c r="M423504" s="472"/>
    </row>
    <row r="423505" spans="12:13" x14ac:dyDescent="0.25">
      <c r="L423505" s="472"/>
      <c r="M423505" s="472"/>
    </row>
    <row r="423577" spans="12:13" x14ac:dyDescent="0.25">
      <c r="L423577" s="472"/>
      <c r="M423577" s="472"/>
    </row>
    <row r="423578" spans="12:13" x14ac:dyDescent="0.25">
      <c r="L423578" s="472"/>
      <c r="M423578" s="472"/>
    </row>
    <row r="423579" spans="12:13" x14ac:dyDescent="0.25">
      <c r="L423579" s="472"/>
      <c r="M423579" s="472"/>
    </row>
    <row r="423651" spans="12:13" x14ac:dyDescent="0.25">
      <c r="L423651" s="472"/>
      <c r="M423651" s="472"/>
    </row>
    <row r="423652" spans="12:13" x14ac:dyDescent="0.25">
      <c r="L423652" s="472"/>
      <c r="M423652" s="472"/>
    </row>
    <row r="423653" spans="12:13" x14ac:dyDescent="0.25">
      <c r="L423653" s="472"/>
      <c r="M423653" s="472"/>
    </row>
    <row r="423725" spans="12:13" x14ac:dyDescent="0.25">
      <c r="L423725" s="472"/>
      <c r="M423725" s="472"/>
    </row>
    <row r="423726" spans="12:13" x14ac:dyDescent="0.25">
      <c r="L423726" s="472"/>
      <c r="M423726" s="472"/>
    </row>
    <row r="423727" spans="12:13" x14ac:dyDescent="0.25">
      <c r="L423727" s="472"/>
      <c r="M423727" s="472"/>
    </row>
    <row r="423799" spans="12:13" x14ac:dyDescent="0.25">
      <c r="L423799" s="472"/>
      <c r="M423799" s="472"/>
    </row>
    <row r="423800" spans="12:13" x14ac:dyDescent="0.25">
      <c r="L423800" s="472"/>
      <c r="M423800" s="472"/>
    </row>
    <row r="423801" spans="12:13" x14ac:dyDescent="0.25">
      <c r="L423801" s="472"/>
      <c r="M423801" s="472"/>
    </row>
    <row r="423873" spans="12:13" x14ac:dyDescent="0.25">
      <c r="L423873" s="472"/>
      <c r="M423873" s="472"/>
    </row>
    <row r="423874" spans="12:13" x14ac:dyDescent="0.25">
      <c r="L423874" s="472"/>
      <c r="M423874" s="472"/>
    </row>
    <row r="423875" spans="12:13" x14ac:dyDescent="0.25">
      <c r="L423875" s="472"/>
      <c r="M423875" s="472"/>
    </row>
    <row r="423947" spans="12:13" x14ac:dyDescent="0.25">
      <c r="L423947" s="472"/>
      <c r="M423947" s="472"/>
    </row>
    <row r="423948" spans="12:13" x14ac:dyDescent="0.25">
      <c r="L423948" s="472"/>
      <c r="M423948" s="472"/>
    </row>
    <row r="423949" spans="12:13" x14ac:dyDescent="0.25">
      <c r="L423949" s="472"/>
      <c r="M423949" s="472"/>
    </row>
    <row r="424021" spans="12:13" x14ac:dyDescent="0.25">
      <c r="L424021" s="472"/>
      <c r="M424021" s="472"/>
    </row>
    <row r="424022" spans="12:13" x14ac:dyDescent="0.25">
      <c r="L424022" s="472"/>
      <c r="M424022" s="472"/>
    </row>
    <row r="424023" spans="12:13" x14ac:dyDescent="0.25">
      <c r="L424023" s="472"/>
      <c r="M424023" s="472"/>
    </row>
    <row r="424095" spans="12:13" x14ac:dyDescent="0.25">
      <c r="L424095" s="472"/>
      <c r="M424095" s="472"/>
    </row>
    <row r="424096" spans="12:13" x14ac:dyDescent="0.25">
      <c r="L424096" s="472"/>
      <c r="M424096" s="472"/>
    </row>
    <row r="424097" spans="12:13" x14ac:dyDescent="0.25">
      <c r="L424097" s="472"/>
      <c r="M424097" s="472"/>
    </row>
    <row r="424169" spans="12:13" x14ac:dyDescent="0.25">
      <c r="L424169" s="472"/>
      <c r="M424169" s="472"/>
    </row>
    <row r="424170" spans="12:13" x14ac:dyDescent="0.25">
      <c r="L424170" s="472"/>
      <c r="M424170" s="472"/>
    </row>
    <row r="424171" spans="12:13" x14ac:dyDescent="0.25">
      <c r="L424171" s="472"/>
      <c r="M424171" s="472"/>
    </row>
    <row r="424243" spans="12:13" x14ac:dyDescent="0.25">
      <c r="L424243" s="472"/>
      <c r="M424243" s="472"/>
    </row>
    <row r="424244" spans="12:13" x14ac:dyDescent="0.25">
      <c r="L424244" s="472"/>
      <c r="M424244" s="472"/>
    </row>
    <row r="424245" spans="12:13" x14ac:dyDescent="0.25">
      <c r="L424245" s="472"/>
      <c r="M424245" s="472"/>
    </row>
    <row r="424317" spans="12:13" x14ac:dyDescent="0.25">
      <c r="L424317" s="472"/>
      <c r="M424317" s="472"/>
    </row>
    <row r="424318" spans="12:13" x14ac:dyDescent="0.25">
      <c r="L424318" s="472"/>
      <c r="M424318" s="472"/>
    </row>
    <row r="424319" spans="12:13" x14ac:dyDescent="0.25">
      <c r="L424319" s="472"/>
      <c r="M424319" s="472"/>
    </row>
    <row r="424391" spans="12:13" x14ac:dyDescent="0.25">
      <c r="L424391" s="472"/>
      <c r="M424391" s="472"/>
    </row>
    <row r="424392" spans="12:13" x14ac:dyDescent="0.25">
      <c r="L424392" s="472"/>
      <c r="M424392" s="472"/>
    </row>
    <row r="424393" spans="12:13" x14ac:dyDescent="0.25">
      <c r="L424393" s="472"/>
      <c r="M424393" s="472"/>
    </row>
    <row r="424465" spans="12:13" x14ac:dyDescent="0.25">
      <c r="L424465" s="472"/>
      <c r="M424465" s="472"/>
    </row>
    <row r="424466" spans="12:13" x14ac:dyDescent="0.25">
      <c r="L424466" s="472"/>
      <c r="M424466" s="472"/>
    </row>
    <row r="424467" spans="12:13" x14ac:dyDescent="0.25">
      <c r="L424467" s="472"/>
      <c r="M424467" s="472"/>
    </row>
    <row r="424539" spans="12:13" x14ac:dyDescent="0.25">
      <c r="L424539" s="472"/>
      <c r="M424539" s="472"/>
    </row>
    <row r="424540" spans="12:13" x14ac:dyDescent="0.25">
      <c r="L424540" s="472"/>
      <c r="M424540" s="472"/>
    </row>
    <row r="424541" spans="12:13" x14ac:dyDescent="0.25">
      <c r="L424541" s="472"/>
      <c r="M424541" s="472"/>
    </row>
    <row r="424613" spans="12:13" x14ac:dyDescent="0.25">
      <c r="L424613" s="472"/>
      <c r="M424613" s="472"/>
    </row>
    <row r="424614" spans="12:13" x14ac:dyDescent="0.25">
      <c r="L424614" s="472"/>
      <c r="M424614" s="472"/>
    </row>
    <row r="424615" spans="12:13" x14ac:dyDescent="0.25">
      <c r="L424615" s="472"/>
      <c r="M424615" s="472"/>
    </row>
    <row r="424687" spans="12:13" x14ac:dyDescent="0.25">
      <c r="L424687" s="472"/>
      <c r="M424687" s="472"/>
    </row>
    <row r="424688" spans="12:13" x14ac:dyDescent="0.25">
      <c r="L424688" s="472"/>
      <c r="M424688" s="472"/>
    </row>
    <row r="424689" spans="12:13" x14ac:dyDescent="0.25">
      <c r="L424689" s="472"/>
      <c r="M424689" s="472"/>
    </row>
    <row r="424761" spans="12:13" x14ac:dyDescent="0.25">
      <c r="L424761" s="472"/>
      <c r="M424761" s="472"/>
    </row>
    <row r="424762" spans="12:13" x14ac:dyDescent="0.25">
      <c r="L424762" s="472"/>
      <c r="M424762" s="472"/>
    </row>
    <row r="424763" spans="12:13" x14ac:dyDescent="0.25">
      <c r="L424763" s="472"/>
      <c r="M424763" s="472"/>
    </row>
    <row r="424835" spans="12:13" x14ac:dyDescent="0.25">
      <c r="L424835" s="472"/>
      <c r="M424835" s="472"/>
    </row>
    <row r="424836" spans="12:13" x14ac:dyDescent="0.25">
      <c r="L424836" s="472"/>
      <c r="M424836" s="472"/>
    </row>
    <row r="424837" spans="12:13" x14ac:dyDescent="0.25">
      <c r="L424837" s="472"/>
      <c r="M424837" s="472"/>
    </row>
    <row r="424909" spans="12:13" x14ac:dyDescent="0.25">
      <c r="L424909" s="472"/>
      <c r="M424909" s="472"/>
    </row>
    <row r="424910" spans="12:13" x14ac:dyDescent="0.25">
      <c r="L424910" s="472"/>
      <c r="M424910" s="472"/>
    </row>
    <row r="424911" spans="12:13" x14ac:dyDescent="0.25">
      <c r="L424911" s="472"/>
      <c r="M424911" s="472"/>
    </row>
    <row r="424983" spans="12:13" x14ac:dyDescent="0.25">
      <c r="L424983" s="472"/>
      <c r="M424983" s="472"/>
    </row>
    <row r="424984" spans="12:13" x14ac:dyDescent="0.25">
      <c r="L424984" s="472"/>
      <c r="M424984" s="472"/>
    </row>
    <row r="424985" spans="12:13" x14ac:dyDescent="0.25">
      <c r="L424985" s="472"/>
      <c r="M424985" s="472"/>
    </row>
    <row r="425057" spans="12:13" x14ac:dyDescent="0.25">
      <c r="L425057" s="472"/>
      <c r="M425057" s="472"/>
    </row>
    <row r="425058" spans="12:13" x14ac:dyDescent="0.25">
      <c r="L425058" s="472"/>
      <c r="M425058" s="472"/>
    </row>
    <row r="425059" spans="12:13" x14ac:dyDescent="0.25">
      <c r="L425059" s="472"/>
      <c r="M425059" s="472"/>
    </row>
    <row r="425131" spans="12:13" x14ac:dyDescent="0.25">
      <c r="L425131" s="472"/>
      <c r="M425131" s="472"/>
    </row>
    <row r="425132" spans="12:13" x14ac:dyDescent="0.25">
      <c r="L425132" s="472"/>
      <c r="M425132" s="472"/>
    </row>
    <row r="425133" spans="12:13" x14ac:dyDescent="0.25">
      <c r="L425133" s="472"/>
      <c r="M425133" s="472"/>
    </row>
    <row r="425205" spans="12:13" x14ac:dyDescent="0.25">
      <c r="L425205" s="472"/>
      <c r="M425205" s="472"/>
    </row>
    <row r="425206" spans="12:13" x14ac:dyDescent="0.25">
      <c r="L425206" s="472"/>
      <c r="M425206" s="472"/>
    </row>
    <row r="425207" spans="12:13" x14ac:dyDescent="0.25">
      <c r="L425207" s="472"/>
      <c r="M425207" s="472"/>
    </row>
    <row r="425279" spans="12:13" x14ac:dyDescent="0.25">
      <c r="L425279" s="472"/>
      <c r="M425279" s="472"/>
    </row>
    <row r="425280" spans="12:13" x14ac:dyDescent="0.25">
      <c r="L425280" s="472"/>
      <c r="M425280" s="472"/>
    </row>
    <row r="425281" spans="12:13" x14ac:dyDescent="0.25">
      <c r="L425281" s="472"/>
      <c r="M425281" s="472"/>
    </row>
    <row r="425353" spans="12:13" x14ac:dyDescent="0.25">
      <c r="L425353" s="472"/>
      <c r="M425353" s="472"/>
    </row>
    <row r="425354" spans="12:13" x14ac:dyDescent="0.25">
      <c r="L425354" s="472"/>
      <c r="M425354" s="472"/>
    </row>
    <row r="425355" spans="12:13" x14ac:dyDescent="0.25">
      <c r="L425355" s="472"/>
      <c r="M425355" s="472"/>
    </row>
    <row r="425427" spans="12:13" x14ac:dyDescent="0.25">
      <c r="L425427" s="472"/>
      <c r="M425427" s="472"/>
    </row>
    <row r="425428" spans="12:13" x14ac:dyDescent="0.25">
      <c r="L425428" s="472"/>
      <c r="M425428" s="472"/>
    </row>
    <row r="425429" spans="12:13" x14ac:dyDescent="0.25">
      <c r="L425429" s="472"/>
      <c r="M425429" s="472"/>
    </row>
    <row r="425501" spans="12:13" x14ac:dyDescent="0.25">
      <c r="L425501" s="472"/>
      <c r="M425501" s="472"/>
    </row>
    <row r="425502" spans="12:13" x14ac:dyDescent="0.25">
      <c r="L425502" s="472"/>
      <c r="M425502" s="472"/>
    </row>
    <row r="425503" spans="12:13" x14ac:dyDescent="0.25">
      <c r="L425503" s="472"/>
      <c r="M425503" s="472"/>
    </row>
    <row r="425575" spans="12:13" x14ac:dyDescent="0.25">
      <c r="L425575" s="472"/>
      <c r="M425575" s="472"/>
    </row>
    <row r="425576" spans="12:13" x14ac:dyDescent="0.25">
      <c r="L425576" s="472"/>
      <c r="M425576" s="472"/>
    </row>
    <row r="425577" spans="12:13" x14ac:dyDescent="0.25">
      <c r="L425577" s="472"/>
      <c r="M425577" s="472"/>
    </row>
    <row r="425649" spans="12:13" x14ac:dyDescent="0.25">
      <c r="L425649" s="472"/>
      <c r="M425649" s="472"/>
    </row>
    <row r="425650" spans="12:13" x14ac:dyDescent="0.25">
      <c r="L425650" s="472"/>
      <c r="M425650" s="472"/>
    </row>
    <row r="425651" spans="12:13" x14ac:dyDescent="0.25">
      <c r="L425651" s="472"/>
      <c r="M425651" s="472"/>
    </row>
    <row r="425723" spans="12:13" x14ac:dyDescent="0.25">
      <c r="L425723" s="472"/>
      <c r="M425723" s="472"/>
    </row>
    <row r="425724" spans="12:13" x14ac:dyDescent="0.25">
      <c r="L425724" s="472"/>
      <c r="M425724" s="472"/>
    </row>
    <row r="425725" spans="12:13" x14ac:dyDescent="0.25">
      <c r="L425725" s="472"/>
      <c r="M425725" s="472"/>
    </row>
    <row r="425797" spans="12:13" x14ac:dyDescent="0.25">
      <c r="L425797" s="472"/>
      <c r="M425797" s="472"/>
    </row>
    <row r="425798" spans="12:13" x14ac:dyDescent="0.25">
      <c r="L425798" s="472"/>
      <c r="M425798" s="472"/>
    </row>
    <row r="425799" spans="12:13" x14ac:dyDescent="0.25">
      <c r="L425799" s="472"/>
      <c r="M425799" s="472"/>
    </row>
    <row r="425871" spans="12:13" x14ac:dyDescent="0.25">
      <c r="L425871" s="472"/>
      <c r="M425871" s="472"/>
    </row>
    <row r="425872" spans="12:13" x14ac:dyDescent="0.25">
      <c r="L425872" s="472"/>
      <c r="M425872" s="472"/>
    </row>
    <row r="425873" spans="12:13" x14ac:dyDescent="0.25">
      <c r="L425873" s="472"/>
      <c r="M425873" s="472"/>
    </row>
    <row r="425945" spans="12:13" x14ac:dyDescent="0.25">
      <c r="L425945" s="472"/>
      <c r="M425945" s="472"/>
    </row>
    <row r="425946" spans="12:13" x14ac:dyDescent="0.25">
      <c r="L425946" s="472"/>
      <c r="M425946" s="472"/>
    </row>
    <row r="425947" spans="12:13" x14ac:dyDescent="0.25">
      <c r="L425947" s="472"/>
      <c r="M425947" s="472"/>
    </row>
    <row r="426019" spans="12:13" x14ac:dyDescent="0.25">
      <c r="L426019" s="472"/>
      <c r="M426019" s="472"/>
    </row>
    <row r="426020" spans="12:13" x14ac:dyDescent="0.25">
      <c r="L426020" s="472"/>
      <c r="M426020" s="472"/>
    </row>
    <row r="426021" spans="12:13" x14ac:dyDescent="0.25">
      <c r="L426021" s="472"/>
      <c r="M426021" s="472"/>
    </row>
    <row r="426093" spans="12:13" x14ac:dyDescent="0.25">
      <c r="L426093" s="472"/>
      <c r="M426093" s="472"/>
    </row>
    <row r="426094" spans="12:13" x14ac:dyDescent="0.25">
      <c r="L426094" s="472"/>
      <c r="M426094" s="472"/>
    </row>
    <row r="426095" spans="12:13" x14ac:dyDescent="0.25">
      <c r="L426095" s="472"/>
      <c r="M426095" s="472"/>
    </row>
    <row r="426167" spans="12:13" x14ac:dyDescent="0.25">
      <c r="L426167" s="472"/>
      <c r="M426167" s="472"/>
    </row>
    <row r="426168" spans="12:13" x14ac:dyDescent="0.25">
      <c r="L426168" s="472"/>
      <c r="M426168" s="472"/>
    </row>
    <row r="426169" spans="12:13" x14ac:dyDescent="0.25">
      <c r="L426169" s="472"/>
      <c r="M426169" s="472"/>
    </row>
    <row r="426241" spans="12:13" x14ac:dyDescent="0.25">
      <c r="L426241" s="472"/>
      <c r="M426241" s="472"/>
    </row>
    <row r="426242" spans="12:13" x14ac:dyDescent="0.25">
      <c r="L426242" s="472"/>
      <c r="M426242" s="472"/>
    </row>
    <row r="426243" spans="12:13" x14ac:dyDescent="0.25">
      <c r="L426243" s="472"/>
      <c r="M426243" s="472"/>
    </row>
    <row r="426315" spans="12:13" x14ac:dyDescent="0.25">
      <c r="L426315" s="472"/>
      <c r="M426315" s="472"/>
    </row>
    <row r="426316" spans="12:13" x14ac:dyDescent="0.25">
      <c r="L426316" s="472"/>
      <c r="M426316" s="472"/>
    </row>
    <row r="426317" spans="12:13" x14ac:dyDescent="0.25">
      <c r="L426317" s="472"/>
      <c r="M426317" s="472"/>
    </row>
    <row r="426389" spans="12:13" x14ac:dyDescent="0.25">
      <c r="L426389" s="472"/>
      <c r="M426389" s="472"/>
    </row>
    <row r="426390" spans="12:13" x14ac:dyDescent="0.25">
      <c r="L426390" s="472"/>
      <c r="M426390" s="472"/>
    </row>
    <row r="426391" spans="12:13" x14ac:dyDescent="0.25">
      <c r="L426391" s="472"/>
      <c r="M426391" s="472"/>
    </row>
    <row r="426463" spans="12:13" x14ac:dyDescent="0.25">
      <c r="L426463" s="472"/>
      <c r="M426463" s="472"/>
    </row>
    <row r="426464" spans="12:13" x14ac:dyDescent="0.25">
      <c r="L426464" s="472"/>
      <c r="M426464" s="472"/>
    </row>
    <row r="426465" spans="12:13" x14ac:dyDescent="0.25">
      <c r="L426465" s="472"/>
      <c r="M426465" s="472"/>
    </row>
    <row r="426537" spans="12:13" x14ac:dyDescent="0.25">
      <c r="L426537" s="472"/>
      <c r="M426537" s="472"/>
    </row>
    <row r="426538" spans="12:13" x14ac:dyDescent="0.25">
      <c r="L426538" s="472"/>
      <c r="M426538" s="472"/>
    </row>
    <row r="426539" spans="12:13" x14ac:dyDescent="0.25">
      <c r="L426539" s="472"/>
      <c r="M426539" s="472"/>
    </row>
    <row r="426611" spans="12:13" x14ac:dyDescent="0.25">
      <c r="L426611" s="472"/>
      <c r="M426611" s="472"/>
    </row>
    <row r="426612" spans="12:13" x14ac:dyDescent="0.25">
      <c r="L426612" s="472"/>
      <c r="M426612" s="472"/>
    </row>
    <row r="426613" spans="12:13" x14ac:dyDescent="0.25">
      <c r="L426613" s="472"/>
      <c r="M426613" s="472"/>
    </row>
    <row r="426685" spans="12:13" x14ac:dyDescent="0.25">
      <c r="L426685" s="472"/>
      <c r="M426685" s="472"/>
    </row>
    <row r="426686" spans="12:13" x14ac:dyDescent="0.25">
      <c r="L426686" s="472"/>
      <c r="M426686" s="472"/>
    </row>
    <row r="426687" spans="12:13" x14ac:dyDescent="0.25">
      <c r="L426687" s="472"/>
      <c r="M426687" s="472"/>
    </row>
    <row r="426759" spans="12:13" x14ac:dyDescent="0.25">
      <c r="L426759" s="472"/>
      <c r="M426759" s="472"/>
    </row>
    <row r="426760" spans="12:13" x14ac:dyDescent="0.25">
      <c r="L426760" s="472"/>
      <c r="M426760" s="472"/>
    </row>
    <row r="426761" spans="12:13" x14ac:dyDescent="0.25">
      <c r="L426761" s="472"/>
      <c r="M426761" s="472"/>
    </row>
    <row r="426833" spans="12:13" x14ac:dyDescent="0.25">
      <c r="L426833" s="472"/>
      <c r="M426833" s="472"/>
    </row>
    <row r="426834" spans="12:13" x14ac:dyDescent="0.25">
      <c r="L426834" s="472"/>
      <c r="M426834" s="472"/>
    </row>
    <row r="426835" spans="12:13" x14ac:dyDescent="0.25">
      <c r="L426835" s="472"/>
      <c r="M426835" s="472"/>
    </row>
    <row r="426907" spans="12:13" x14ac:dyDescent="0.25">
      <c r="L426907" s="472"/>
      <c r="M426907" s="472"/>
    </row>
    <row r="426908" spans="12:13" x14ac:dyDescent="0.25">
      <c r="L426908" s="472"/>
      <c r="M426908" s="472"/>
    </row>
    <row r="426909" spans="12:13" x14ac:dyDescent="0.25">
      <c r="L426909" s="472"/>
      <c r="M426909" s="472"/>
    </row>
    <row r="426981" spans="12:13" x14ac:dyDescent="0.25">
      <c r="L426981" s="472"/>
      <c r="M426981" s="472"/>
    </row>
    <row r="426982" spans="12:13" x14ac:dyDescent="0.25">
      <c r="L426982" s="472"/>
      <c r="M426982" s="472"/>
    </row>
    <row r="426983" spans="12:13" x14ac:dyDescent="0.25">
      <c r="L426983" s="472"/>
      <c r="M426983" s="472"/>
    </row>
    <row r="427055" spans="12:13" x14ac:dyDescent="0.25">
      <c r="L427055" s="472"/>
      <c r="M427055" s="472"/>
    </row>
    <row r="427056" spans="12:13" x14ac:dyDescent="0.25">
      <c r="L427056" s="472"/>
      <c r="M427056" s="472"/>
    </row>
    <row r="427057" spans="12:13" x14ac:dyDescent="0.25">
      <c r="L427057" s="472"/>
      <c r="M427057" s="472"/>
    </row>
    <row r="427129" spans="12:13" x14ac:dyDescent="0.25">
      <c r="L427129" s="472"/>
      <c r="M427129" s="472"/>
    </row>
    <row r="427130" spans="12:13" x14ac:dyDescent="0.25">
      <c r="L427130" s="472"/>
      <c r="M427130" s="472"/>
    </row>
    <row r="427131" spans="12:13" x14ac:dyDescent="0.25">
      <c r="L427131" s="472"/>
      <c r="M427131" s="472"/>
    </row>
    <row r="427203" spans="12:13" x14ac:dyDescent="0.25">
      <c r="L427203" s="472"/>
      <c r="M427203" s="472"/>
    </row>
    <row r="427204" spans="12:13" x14ac:dyDescent="0.25">
      <c r="L427204" s="472"/>
      <c r="M427204" s="472"/>
    </row>
    <row r="427205" spans="12:13" x14ac:dyDescent="0.25">
      <c r="L427205" s="472"/>
      <c r="M427205" s="472"/>
    </row>
    <row r="427277" spans="12:13" x14ac:dyDescent="0.25">
      <c r="L427277" s="472"/>
      <c r="M427277" s="472"/>
    </row>
    <row r="427278" spans="12:13" x14ac:dyDescent="0.25">
      <c r="L427278" s="472"/>
      <c r="M427278" s="472"/>
    </row>
    <row r="427279" spans="12:13" x14ac:dyDescent="0.25">
      <c r="L427279" s="472"/>
      <c r="M427279" s="472"/>
    </row>
    <row r="427351" spans="12:13" x14ac:dyDescent="0.25">
      <c r="L427351" s="472"/>
      <c r="M427351" s="472"/>
    </row>
    <row r="427352" spans="12:13" x14ac:dyDescent="0.25">
      <c r="L427352" s="472"/>
      <c r="M427352" s="472"/>
    </row>
    <row r="427353" spans="12:13" x14ac:dyDescent="0.25">
      <c r="L427353" s="472"/>
      <c r="M427353" s="472"/>
    </row>
    <row r="427425" spans="12:13" x14ac:dyDescent="0.25">
      <c r="L427425" s="472"/>
      <c r="M427425" s="472"/>
    </row>
    <row r="427426" spans="12:13" x14ac:dyDescent="0.25">
      <c r="L427426" s="472"/>
      <c r="M427426" s="472"/>
    </row>
    <row r="427427" spans="12:13" x14ac:dyDescent="0.25">
      <c r="L427427" s="472"/>
      <c r="M427427" s="472"/>
    </row>
    <row r="427499" spans="12:13" x14ac:dyDescent="0.25">
      <c r="L427499" s="472"/>
      <c r="M427499" s="472"/>
    </row>
    <row r="427500" spans="12:13" x14ac:dyDescent="0.25">
      <c r="L427500" s="472"/>
      <c r="M427500" s="472"/>
    </row>
    <row r="427501" spans="12:13" x14ac:dyDescent="0.25">
      <c r="L427501" s="472"/>
      <c r="M427501" s="472"/>
    </row>
    <row r="427573" spans="12:13" x14ac:dyDescent="0.25">
      <c r="L427573" s="472"/>
      <c r="M427573" s="472"/>
    </row>
    <row r="427574" spans="12:13" x14ac:dyDescent="0.25">
      <c r="L427574" s="472"/>
      <c r="M427574" s="472"/>
    </row>
    <row r="427575" spans="12:13" x14ac:dyDescent="0.25">
      <c r="L427575" s="472"/>
      <c r="M427575" s="472"/>
    </row>
    <row r="427647" spans="12:13" x14ac:dyDescent="0.25">
      <c r="L427647" s="472"/>
      <c r="M427647" s="472"/>
    </row>
    <row r="427648" spans="12:13" x14ac:dyDescent="0.25">
      <c r="L427648" s="472"/>
      <c r="M427648" s="472"/>
    </row>
    <row r="427649" spans="12:13" x14ac:dyDescent="0.25">
      <c r="L427649" s="472"/>
      <c r="M427649" s="472"/>
    </row>
    <row r="427721" spans="12:13" x14ac:dyDescent="0.25">
      <c r="L427721" s="472"/>
      <c r="M427721" s="472"/>
    </row>
    <row r="427722" spans="12:13" x14ac:dyDescent="0.25">
      <c r="L427722" s="472"/>
      <c r="M427722" s="472"/>
    </row>
    <row r="427723" spans="12:13" x14ac:dyDescent="0.25">
      <c r="L427723" s="472"/>
      <c r="M427723" s="472"/>
    </row>
    <row r="427795" spans="12:13" x14ac:dyDescent="0.25">
      <c r="L427795" s="472"/>
      <c r="M427795" s="472"/>
    </row>
    <row r="427796" spans="12:13" x14ac:dyDescent="0.25">
      <c r="L427796" s="472"/>
      <c r="M427796" s="472"/>
    </row>
    <row r="427797" spans="12:13" x14ac:dyDescent="0.25">
      <c r="L427797" s="472"/>
      <c r="M427797" s="472"/>
    </row>
    <row r="427869" spans="12:13" x14ac:dyDescent="0.25">
      <c r="L427869" s="472"/>
      <c r="M427869" s="472"/>
    </row>
    <row r="427870" spans="12:13" x14ac:dyDescent="0.25">
      <c r="L427870" s="472"/>
      <c r="M427870" s="472"/>
    </row>
    <row r="427871" spans="12:13" x14ac:dyDescent="0.25">
      <c r="L427871" s="472"/>
      <c r="M427871" s="472"/>
    </row>
    <row r="427943" spans="12:13" x14ac:dyDescent="0.25">
      <c r="L427943" s="472"/>
      <c r="M427943" s="472"/>
    </row>
    <row r="427944" spans="12:13" x14ac:dyDescent="0.25">
      <c r="L427944" s="472"/>
      <c r="M427944" s="472"/>
    </row>
    <row r="427945" spans="12:13" x14ac:dyDescent="0.25">
      <c r="L427945" s="472"/>
      <c r="M427945" s="472"/>
    </row>
    <row r="428017" spans="12:13" x14ac:dyDescent="0.25">
      <c r="L428017" s="472"/>
      <c r="M428017" s="472"/>
    </row>
    <row r="428018" spans="12:13" x14ac:dyDescent="0.25">
      <c r="L428018" s="472"/>
      <c r="M428018" s="472"/>
    </row>
    <row r="428019" spans="12:13" x14ac:dyDescent="0.25">
      <c r="L428019" s="472"/>
      <c r="M428019" s="472"/>
    </row>
    <row r="428091" spans="12:13" x14ac:dyDescent="0.25">
      <c r="L428091" s="472"/>
      <c r="M428091" s="472"/>
    </row>
    <row r="428092" spans="12:13" x14ac:dyDescent="0.25">
      <c r="L428092" s="472"/>
      <c r="M428092" s="472"/>
    </row>
    <row r="428093" spans="12:13" x14ac:dyDescent="0.25">
      <c r="L428093" s="472"/>
      <c r="M428093" s="472"/>
    </row>
    <row r="428165" spans="12:13" x14ac:dyDescent="0.25">
      <c r="L428165" s="472"/>
      <c r="M428165" s="472"/>
    </row>
    <row r="428166" spans="12:13" x14ac:dyDescent="0.25">
      <c r="L428166" s="472"/>
      <c r="M428166" s="472"/>
    </row>
    <row r="428167" spans="12:13" x14ac:dyDescent="0.25">
      <c r="L428167" s="472"/>
      <c r="M428167" s="472"/>
    </row>
    <row r="428239" spans="12:13" x14ac:dyDescent="0.25">
      <c r="L428239" s="472"/>
      <c r="M428239" s="472"/>
    </row>
    <row r="428240" spans="12:13" x14ac:dyDescent="0.25">
      <c r="L428240" s="472"/>
      <c r="M428240" s="472"/>
    </row>
    <row r="428241" spans="12:13" x14ac:dyDescent="0.25">
      <c r="L428241" s="472"/>
      <c r="M428241" s="472"/>
    </row>
    <row r="428313" spans="12:13" x14ac:dyDescent="0.25">
      <c r="L428313" s="472"/>
      <c r="M428313" s="472"/>
    </row>
    <row r="428314" spans="12:13" x14ac:dyDescent="0.25">
      <c r="L428314" s="472"/>
      <c r="M428314" s="472"/>
    </row>
    <row r="428315" spans="12:13" x14ac:dyDescent="0.25">
      <c r="L428315" s="472"/>
      <c r="M428315" s="472"/>
    </row>
    <row r="428387" spans="12:13" x14ac:dyDescent="0.25">
      <c r="L428387" s="472"/>
      <c r="M428387" s="472"/>
    </row>
    <row r="428388" spans="12:13" x14ac:dyDescent="0.25">
      <c r="L428388" s="472"/>
      <c r="M428388" s="472"/>
    </row>
    <row r="428389" spans="12:13" x14ac:dyDescent="0.25">
      <c r="L428389" s="472"/>
      <c r="M428389" s="472"/>
    </row>
    <row r="428461" spans="12:13" x14ac:dyDescent="0.25">
      <c r="L428461" s="472"/>
      <c r="M428461" s="472"/>
    </row>
    <row r="428462" spans="12:13" x14ac:dyDescent="0.25">
      <c r="L428462" s="472"/>
      <c r="M428462" s="472"/>
    </row>
    <row r="428463" spans="12:13" x14ac:dyDescent="0.25">
      <c r="L428463" s="472"/>
      <c r="M428463" s="472"/>
    </row>
    <row r="428535" spans="12:13" x14ac:dyDescent="0.25">
      <c r="L428535" s="472"/>
      <c r="M428535" s="472"/>
    </row>
    <row r="428536" spans="12:13" x14ac:dyDescent="0.25">
      <c r="L428536" s="472"/>
      <c r="M428536" s="472"/>
    </row>
    <row r="428537" spans="12:13" x14ac:dyDescent="0.25">
      <c r="L428537" s="472"/>
      <c r="M428537" s="472"/>
    </row>
    <row r="428609" spans="12:13" x14ac:dyDescent="0.25">
      <c r="L428609" s="472"/>
      <c r="M428609" s="472"/>
    </row>
    <row r="428610" spans="12:13" x14ac:dyDescent="0.25">
      <c r="L428610" s="472"/>
      <c r="M428610" s="472"/>
    </row>
    <row r="428611" spans="12:13" x14ac:dyDescent="0.25">
      <c r="L428611" s="472"/>
      <c r="M428611" s="472"/>
    </row>
    <row r="428683" spans="12:13" x14ac:dyDescent="0.25">
      <c r="L428683" s="472"/>
      <c r="M428683" s="472"/>
    </row>
    <row r="428684" spans="12:13" x14ac:dyDescent="0.25">
      <c r="L428684" s="472"/>
      <c r="M428684" s="472"/>
    </row>
    <row r="428685" spans="12:13" x14ac:dyDescent="0.25">
      <c r="L428685" s="472"/>
      <c r="M428685" s="472"/>
    </row>
    <row r="428757" spans="12:13" x14ac:dyDescent="0.25">
      <c r="L428757" s="472"/>
      <c r="M428757" s="472"/>
    </row>
    <row r="428758" spans="12:13" x14ac:dyDescent="0.25">
      <c r="L428758" s="472"/>
      <c r="M428758" s="472"/>
    </row>
    <row r="428759" spans="12:13" x14ac:dyDescent="0.25">
      <c r="L428759" s="472"/>
      <c r="M428759" s="472"/>
    </row>
    <row r="428831" spans="12:13" x14ac:dyDescent="0.25">
      <c r="L428831" s="472"/>
      <c r="M428831" s="472"/>
    </row>
    <row r="428832" spans="12:13" x14ac:dyDescent="0.25">
      <c r="L428832" s="472"/>
      <c r="M428832" s="472"/>
    </row>
    <row r="428833" spans="12:13" x14ac:dyDescent="0.25">
      <c r="L428833" s="472"/>
      <c r="M428833" s="472"/>
    </row>
    <row r="428905" spans="12:13" x14ac:dyDescent="0.25">
      <c r="L428905" s="472"/>
      <c r="M428905" s="472"/>
    </row>
    <row r="428906" spans="12:13" x14ac:dyDescent="0.25">
      <c r="L428906" s="472"/>
      <c r="M428906" s="472"/>
    </row>
    <row r="428907" spans="12:13" x14ac:dyDescent="0.25">
      <c r="L428907" s="472"/>
      <c r="M428907" s="472"/>
    </row>
    <row r="428979" spans="12:13" x14ac:dyDescent="0.25">
      <c r="L428979" s="472"/>
      <c r="M428979" s="472"/>
    </row>
    <row r="428980" spans="12:13" x14ac:dyDescent="0.25">
      <c r="L428980" s="472"/>
      <c r="M428980" s="472"/>
    </row>
    <row r="428981" spans="12:13" x14ac:dyDescent="0.25">
      <c r="L428981" s="472"/>
      <c r="M428981" s="472"/>
    </row>
    <row r="429053" spans="12:13" x14ac:dyDescent="0.25">
      <c r="L429053" s="472"/>
      <c r="M429053" s="472"/>
    </row>
    <row r="429054" spans="12:13" x14ac:dyDescent="0.25">
      <c r="L429054" s="472"/>
      <c r="M429054" s="472"/>
    </row>
    <row r="429055" spans="12:13" x14ac:dyDescent="0.25">
      <c r="L429055" s="472"/>
      <c r="M429055" s="472"/>
    </row>
    <row r="429127" spans="12:13" x14ac:dyDescent="0.25">
      <c r="L429127" s="472"/>
      <c r="M429127" s="472"/>
    </row>
    <row r="429128" spans="12:13" x14ac:dyDescent="0.25">
      <c r="L429128" s="472"/>
      <c r="M429128" s="472"/>
    </row>
    <row r="429129" spans="12:13" x14ac:dyDescent="0.25">
      <c r="L429129" s="472"/>
      <c r="M429129" s="472"/>
    </row>
    <row r="429201" spans="12:13" x14ac:dyDescent="0.25">
      <c r="L429201" s="472"/>
      <c r="M429201" s="472"/>
    </row>
    <row r="429202" spans="12:13" x14ac:dyDescent="0.25">
      <c r="L429202" s="472"/>
      <c r="M429202" s="472"/>
    </row>
    <row r="429203" spans="12:13" x14ac:dyDescent="0.25">
      <c r="L429203" s="472"/>
      <c r="M429203" s="472"/>
    </row>
    <row r="429275" spans="12:13" x14ac:dyDescent="0.25">
      <c r="L429275" s="472"/>
      <c r="M429275" s="472"/>
    </row>
    <row r="429276" spans="12:13" x14ac:dyDescent="0.25">
      <c r="L429276" s="472"/>
      <c r="M429276" s="472"/>
    </row>
    <row r="429277" spans="12:13" x14ac:dyDescent="0.25">
      <c r="L429277" s="472"/>
      <c r="M429277" s="472"/>
    </row>
    <row r="429349" spans="12:13" x14ac:dyDescent="0.25">
      <c r="L429349" s="472"/>
      <c r="M429349" s="472"/>
    </row>
    <row r="429350" spans="12:13" x14ac:dyDescent="0.25">
      <c r="L429350" s="472"/>
      <c r="M429350" s="472"/>
    </row>
    <row r="429351" spans="12:13" x14ac:dyDescent="0.25">
      <c r="L429351" s="472"/>
      <c r="M429351" s="472"/>
    </row>
    <row r="429423" spans="12:13" x14ac:dyDescent="0.25">
      <c r="L429423" s="472"/>
      <c r="M429423" s="472"/>
    </row>
    <row r="429424" spans="12:13" x14ac:dyDescent="0.25">
      <c r="L429424" s="472"/>
      <c r="M429424" s="472"/>
    </row>
    <row r="429425" spans="12:13" x14ac:dyDescent="0.25">
      <c r="L429425" s="472"/>
      <c r="M429425" s="472"/>
    </row>
    <row r="429497" spans="12:13" x14ac:dyDescent="0.25">
      <c r="L429497" s="472"/>
      <c r="M429497" s="472"/>
    </row>
    <row r="429498" spans="12:13" x14ac:dyDescent="0.25">
      <c r="L429498" s="472"/>
      <c r="M429498" s="472"/>
    </row>
    <row r="429499" spans="12:13" x14ac:dyDescent="0.25">
      <c r="L429499" s="472"/>
      <c r="M429499" s="472"/>
    </row>
    <row r="429571" spans="12:13" x14ac:dyDescent="0.25">
      <c r="L429571" s="472"/>
      <c r="M429571" s="472"/>
    </row>
    <row r="429572" spans="12:13" x14ac:dyDescent="0.25">
      <c r="L429572" s="472"/>
      <c r="M429572" s="472"/>
    </row>
    <row r="429573" spans="12:13" x14ac:dyDescent="0.25">
      <c r="L429573" s="472"/>
      <c r="M429573" s="472"/>
    </row>
    <row r="429645" spans="12:13" x14ac:dyDescent="0.25">
      <c r="L429645" s="472"/>
      <c r="M429645" s="472"/>
    </row>
    <row r="429646" spans="12:13" x14ac:dyDescent="0.25">
      <c r="L429646" s="472"/>
      <c r="M429646" s="472"/>
    </row>
    <row r="429647" spans="12:13" x14ac:dyDescent="0.25">
      <c r="L429647" s="472"/>
      <c r="M429647" s="472"/>
    </row>
    <row r="429719" spans="12:13" x14ac:dyDescent="0.25">
      <c r="L429719" s="472"/>
      <c r="M429719" s="472"/>
    </row>
    <row r="429720" spans="12:13" x14ac:dyDescent="0.25">
      <c r="L429720" s="472"/>
      <c r="M429720" s="472"/>
    </row>
    <row r="429721" spans="12:13" x14ac:dyDescent="0.25">
      <c r="L429721" s="472"/>
      <c r="M429721" s="472"/>
    </row>
    <row r="429793" spans="12:13" x14ac:dyDescent="0.25">
      <c r="L429793" s="472"/>
      <c r="M429793" s="472"/>
    </row>
    <row r="429794" spans="12:13" x14ac:dyDescent="0.25">
      <c r="L429794" s="472"/>
      <c r="M429794" s="472"/>
    </row>
    <row r="429795" spans="12:13" x14ac:dyDescent="0.25">
      <c r="L429795" s="472"/>
      <c r="M429795" s="472"/>
    </row>
    <row r="429867" spans="12:13" x14ac:dyDescent="0.25">
      <c r="L429867" s="472"/>
      <c r="M429867" s="472"/>
    </row>
    <row r="429868" spans="12:13" x14ac:dyDescent="0.25">
      <c r="L429868" s="472"/>
      <c r="M429868" s="472"/>
    </row>
    <row r="429869" spans="12:13" x14ac:dyDescent="0.25">
      <c r="L429869" s="472"/>
      <c r="M429869" s="472"/>
    </row>
    <row r="429941" spans="12:13" x14ac:dyDescent="0.25">
      <c r="L429941" s="472"/>
      <c r="M429941" s="472"/>
    </row>
    <row r="429942" spans="12:13" x14ac:dyDescent="0.25">
      <c r="L429942" s="472"/>
      <c r="M429942" s="472"/>
    </row>
    <row r="429943" spans="12:13" x14ac:dyDescent="0.25">
      <c r="L429943" s="472"/>
      <c r="M429943" s="472"/>
    </row>
    <row r="430015" spans="12:13" x14ac:dyDescent="0.25">
      <c r="L430015" s="472"/>
      <c r="M430015" s="472"/>
    </row>
    <row r="430016" spans="12:13" x14ac:dyDescent="0.25">
      <c r="L430016" s="472"/>
      <c r="M430016" s="472"/>
    </row>
    <row r="430017" spans="12:13" x14ac:dyDescent="0.25">
      <c r="L430017" s="472"/>
      <c r="M430017" s="472"/>
    </row>
    <row r="430089" spans="12:13" x14ac:dyDescent="0.25">
      <c r="L430089" s="472"/>
      <c r="M430089" s="472"/>
    </row>
    <row r="430090" spans="12:13" x14ac:dyDescent="0.25">
      <c r="L430090" s="472"/>
      <c r="M430090" s="472"/>
    </row>
    <row r="430091" spans="12:13" x14ac:dyDescent="0.25">
      <c r="L430091" s="472"/>
      <c r="M430091" s="472"/>
    </row>
    <row r="430163" spans="12:13" x14ac:dyDescent="0.25">
      <c r="L430163" s="472"/>
      <c r="M430163" s="472"/>
    </row>
    <row r="430164" spans="12:13" x14ac:dyDescent="0.25">
      <c r="L430164" s="472"/>
      <c r="M430164" s="472"/>
    </row>
    <row r="430165" spans="12:13" x14ac:dyDescent="0.25">
      <c r="L430165" s="472"/>
      <c r="M430165" s="472"/>
    </row>
    <row r="430237" spans="12:13" x14ac:dyDescent="0.25">
      <c r="L430237" s="472"/>
      <c r="M430237" s="472"/>
    </row>
    <row r="430238" spans="12:13" x14ac:dyDescent="0.25">
      <c r="L430238" s="472"/>
      <c r="M430238" s="472"/>
    </row>
    <row r="430239" spans="12:13" x14ac:dyDescent="0.25">
      <c r="L430239" s="472"/>
      <c r="M430239" s="472"/>
    </row>
    <row r="430311" spans="12:13" x14ac:dyDescent="0.25">
      <c r="L430311" s="472"/>
      <c r="M430311" s="472"/>
    </row>
    <row r="430312" spans="12:13" x14ac:dyDescent="0.25">
      <c r="L430312" s="472"/>
      <c r="M430312" s="472"/>
    </row>
    <row r="430313" spans="12:13" x14ac:dyDescent="0.25">
      <c r="L430313" s="472"/>
      <c r="M430313" s="472"/>
    </row>
    <row r="430385" spans="12:13" x14ac:dyDescent="0.25">
      <c r="L430385" s="472"/>
      <c r="M430385" s="472"/>
    </row>
    <row r="430386" spans="12:13" x14ac:dyDescent="0.25">
      <c r="L430386" s="472"/>
      <c r="M430386" s="472"/>
    </row>
    <row r="430387" spans="12:13" x14ac:dyDescent="0.25">
      <c r="L430387" s="472"/>
      <c r="M430387" s="472"/>
    </row>
    <row r="430459" spans="12:13" x14ac:dyDescent="0.25">
      <c r="L430459" s="472"/>
      <c r="M430459" s="472"/>
    </row>
    <row r="430460" spans="12:13" x14ac:dyDescent="0.25">
      <c r="L430460" s="472"/>
      <c r="M430460" s="472"/>
    </row>
    <row r="430461" spans="12:13" x14ac:dyDescent="0.25">
      <c r="L430461" s="472"/>
      <c r="M430461" s="472"/>
    </row>
    <row r="430533" spans="12:13" x14ac:dyDescent="0.25">
      <c r="L430533" s="472"/>
      <c r="M430533" s="472"/>
    </row>
    <row r="430534" spans="12:13" x14ac:dyDescent="0.25">
      <c r="L430534" s="472"/>
      <c r="M430534" s="472"/>
    </row>
    <row r="430535" spans="12:13" x14ac:dyDescent="0.25">
      <c r="L430535" s="472"/>
      <c r="M430535" s="472"/>
    </row>
    <row r="430607" spans="12:13" x14ac:dyDescent="0.25">
      <c r="L430607" s="472"/>
      <c r="M430607" s="472"/>
    </row>
    <row r="430608" spans="12:13" x14ac:dyDescent="0.25">
      <c r="L430608" s="472"/>
      <c r="M430608" s="472"/>
    </row>
    <row r="430609" spans="12:13" x14ac:dyDescent="0.25">
      <c r="L430609" s="472"/>
      <c r="M430609" s="472"/>
    </row>
    <row r="430681" spans="12:13" x14ac:dyDescent="0.25">
      <c r="L430681" s="472"/>
      <c r="M430681" s="472"/>
    </row>
    <row r="430682" spans="12:13" x14ac:dyDescent="0.25">
      <c r="L430682" s="472"/>
      <c r="M430682" s="472"/>
    </row>
    <row r="430683" spans="12:13" x14ac:dyDescent="0.25">
      <c r="L430683" s="472"/>
      <c r="M430683" s="472"/>
    </row>
    <row r="430755" spans="12:13" x14ac:dyDescent="0.25">
      <c r="L430755" s="472"/>
      <c r="M430755" s="472"/>
    </row>
    <row r="430756" spans="12:13" x14ac:dyDescent="0.25">
      <c r="L430756" s="472"/>
      <c r="M430756" s="472"/>
    </row>
    <row r="430757" spans="12:13" x14ac:dyDescent="0.25">
      <c r="L430757" s="472"/>
      <c r="M430757" s="472"/>
    </row>
    <row r="430829" spans="12:13" x14ac:dyDescent="0.25">
      <c r="L430829" s="472"/>
      <c r="M430829" s="472"/>
    </row>
    <row r="430830" spans="12:13" x14ac:dyDescent="0.25">
      <c r="L430830" s="472"/>
      <c r="M430830" s="472"/>
    </row>
    <row r="430831" spans="12:13" x14ac:dyDescent="0.25">
      <c r="L430831" s="472"/>
      <c r="M430831" s="472"/>
    </row>
    <row r="430903" spans="12:13" x14ac:dyDescent="0.25">
      <c r="L430903" s="472"/>
      <c r="M430903" s="472"/>
    </row>
    <row r="430904" spans="12:13" x14ac:dyDescent="0.25">
      <c r="L430904" s="472"/>
      <c r="M430904" s="472"/>
    </row>
    <row r="430905" spans="12:13" x14ac:dyDescent="0.25">
      <c r="L430905" s="472"/>
      <c r="M430905" s="472"/>
    </row>
    <row r="430977" spans="12:13" x14ac:dyDescent="0.25">
      <c r="L430977" s="472"/>
      <c r="M430977" s="472"/>
    </row>
    <row r="430978" spans="12:13" x14ac:dyDescent="0.25">
      <c r="L430978" s="472"/>
      <c r="M430978" s="472"/>
    </row>
    <row r="430979" spans="12:13" x14ac:dyDescent="0.25">
      <c r="L430979" s="472"/>
      <c r="M430979" s="472"/>
    </row>
    <row r="431051" spans="12:13" x14ac:dyDescent="0.25">
      <c r="L431051" s="472"/>
      <c r="M431051" s="472"/>
    </row>
    <row r="431052" spans="12:13" x14ac:dyDescent="0.25">
      <c r="L431052" s="472"/>
      <c r="M431052" s="472"/>
    </row>
    <row r="431053" spans="12:13" x14ac:dyDescent="0.25">
      <c r="L431053" s="472"/>
      <c r="M431053" s="472"/>
    </row>
    <row r="431125" spans="12:13" x14ac:dyDescent="0.25">
      <c r="L431125" s="472"/>
      <c r="M431125" s="472"/>
    </row>
    <row r="431126" spans="12:13" x14ac:dyDescent="0.25">
      <c r="L431126" s="472"/>
      <c r="M431126" s="472"/>
    </row>
    <row r="431127" spans="12:13" x14ac:dyDescent="0.25">
      <c r="L431127" s="472"/>
      <c r="M431127" s="472"/>
    </row>
    <row r="431199" spans="12:13" x14ac:dyDescent="0.25">
      <c r="L431199" s="472"/>
      <c r="M431199" s="472"/>
    </row>
    <row r="431200" spans="12:13" x14ac:dyDescent="0.25">
      <c r="L431200" s="472"/>
      <c r="M431200" s="472"/>
    </row>
    <row r="431201" spans="12:13" x14ac:dyDescent="0.25">
      <c r="L431201" s="472"/>
      <c r="M431201" s="472"/>
    </row>
    <row r="431273" spans="12:13" x14ac:dyDescent="0.25">
      <c r="L431273" s="472"/>
      <c r="M431273" s="472"/>
    </row>
    <row r="431274" spans="12:13" x14ac:dyDescent="0.25">
      <c r="L431274" s="472"/>
      <c r="M431274" s="472"/>
    </row>
    <row r="431275" spans="12:13" x14ac:dyDescent="0.25">
      <c r="L431275" s="472"/>
      <c r="M431275" s="472"/>
    </row>
    <row r="431347" spans="12:13" x14ac:dyDescent="0.25">
      <c r="L431347" s="472"/>
      <c r="M431347" s="472"/>
    </row>
    <row r="431348" spans="12:13" x14ac:dyDescent="0.25">
      <c r="L431348" s="472"/>
      <c r="M431348" s="472"/>
    </row>
    <row r="431349" spans="12:13" x14ac:dyDescent="0.25">
      <c r="L431349" s="472"/>
      <c r="M431349" s="472"/>
    </row>
    <row r="431421" spans="12:13" x14ac:dyDescent="0.25">
      <c r="L431421" s="472"/>
      <c r="M431421" s="472"/>
    </row>
    <row r="431422" spans="12:13" x14ac:dyDescent="0.25">
      <c r="L431422" s="472"/>
      <c r="M431422" s="472"/>
    </row>
    <row r="431423" spans="12:13" x14ac:dyDescent="0.25">
      <c r="L431423" s="472"/>
      <c r="M431423" s="472"/>
    </row>
    <row r="431495" spans="12:13" x14ac:dyDescent="0.25">
      <c r="L431495" s="472"/>
      <c r="M431495" s="472"/>
    </row>
    <row r="431496" spans="12:13" x14ac:dyDescent="0.25">
      <c r="L431496" s="472"/>
      <c r="M431496" s="472"/>
    </row>
    <row r="431497" spans="12:13" x14ac:dyDescent="0.25">
      <c r="L431497" s="472"/>
      <c r="M431497" s="472"/>
    </row>
    <row r="431569" spans="12:13" x14ac:dyDescent="0.25">
      <c r="L431569" s="472"/>
      <c r="M431569" s="472"/>
    </row>
    <row r="431570" spans="12:13" x14ac:dyDescent="0.25">
      <c r="L431570" s="472"/>
      <c r="M431570" s="472"/>
    </row>
    <row r="431571" spans="12:13" x14ac:dyDescent="0.25">
      <c r="L431571" s="472"/>
      <c r="M431571" s="472"/>
    </row>
    <row r="431643" spans="12:13" x14ac:dyDescent="0.25">
      <c r="L431643" s="472"/>
      <c r="M431643" s="472"/>
    </row>
    <row r="431644" spans="12:13" x14ac:dyDescent="0.25">
      <c r="L431644" s="472"/>
      <c r="M431644" s="472"/>
    </row>
    <row r="431645" spans="12:13" x14ac:dyDescent="0.25">
      <c r="L431645" s="472"/>
      <c r="M431645" s="472"/>
    </row>
    <row r="431717" spans="12:13" x14ac:dyDescent="0.25">
      <c r="L431717" s="472"/>
      <c r="M431717" s="472"/>
    </row>
    <row r="431718" spans="12:13" x14ac:dyDescent="0.25">
      <c r="L431718" s="472"/>
      <c r="M431718" s="472"/>
    </row>
    <row r="431719" spans="12:13" x14ac:dyDescent="0.25">
      <c r="L431719" s="472"/>
      <c r="M431719" s="472"/>
    </row>
    <row r="431791" spans="12:13" x14ac:dyDescent="0.25">
      <c r="L431791" s="472"/>
      <c r="M431791" s="472"/>
    </row>
    <row r="431792" spans="12:13" x14ac:dyDescent="0.25">
      <c r="L431792" s="472"/>
      <c r="M431792" s="472"/>
    </row>
    <row r="431793" spans="12:13" x14ac:dyDescent="0.25">
      <c r="L431793" s="472"/>
      <c r="M431793" s="472"/>
    </row>
    <row r="431865" spans="12:13" x14ac:dyDescent="0.25">
      <c r="L431865" s="472"/>
      <c r="M431865" s="472"/>
    </row>
    <row r="431866" spans="12:13" x14ac:dyDescent="0.25">
      <c r="L431866" s="472"/>
      <c r="M431866" s="472"/>
    </row>
    <row r="431867" spans="12:13" x14ac:dyDescent="0.25">
      <c r="L431867" s="472"/>
      <c r="M431867" s="472"/>
    </row>
    <row r="431939" spans="12:13" x14ac:dyDescent="0.25">
      <c r="L431939" s="472"/>
      <c r="M431939" s="472"/>
    </row>
    <row r="431940" spans="12:13" x14ac:dyDescent="0.25">
      <c r="L431940" s="472"/>
      <c r="M431940" s="472"/>
    </row>
    <row r="431941" spans="12:13" x14ac:dyDescent="0.25">
      <c r="L431941" s="472"/>
      <c r="M431941" s="472"/>
    </row>
    <row r="432013" spans="12:13" x14ac:dyDescent="0.25">
      <c r="L432013" s="472"/>
      <c r="M432013" s="472"/>
    </row>
    <row r="432014" spans="12:13" x14ac:dyDescent="0.25">
      <c r="L432014" s="472"/>
      <c r="M432014" s="472"/>
    </row>
    <row r="432015" spans="12:13" x14ac:dyDescent="0.25">
      <c r="L432015" s="472"/>
      <c r="M432015" s="472"/>
    </row>
    <row r="432087" spans="12:13" x14ac:dyDescent="0.25">
      <c r="L432087" s="472"/>
      <c r="M432087" s="472"/>
    </row>
    <row r="432088" spans="12:13" x14ac:dyDescent="0.25">
      <c r="L432088" s="472"/>
      <c r="M432088" s="472"/>
    </row>
    <row r="432089" spans="12:13" x14ac:dyDescent="0.25">
      <c r="L432089" s="472"/>
      <c r="M432089" s="472"/>
    </row>
    <row r="432161" spans="12:13" x14ac:dyDescent="0.25">
      <c r="L432161" s="472"/>
      <c r="M432161" s="472"/>
    </row>
    <row r="432162" spans="12:13" x14ac:dyDescent="0.25">
      <c r="L432162" s="472"/>
      <c r="M432162" s="472"/>
    </row>
    <row r="432163" spans="12:13" x14ac:dyDescent="0.25">
      <c r="L432163" s="472"/>
      <c r="M432163" s="472"/>
    </row>
    <row r="432235" spans="12:13" x14ac:dyDescent="0.25">
      <c r="L432235" s="472"/>
      <c r="M432235" s="472"/>
    </row>
    <row r="432236" spans="12:13" x14ac:dyDescent="0.25">
      <c r="L432236" s="472"/>
      <c r="M432236" s="472"/>
    </row>
    <row r="432237" spans="12:13" x14ac:dyDescent="0.25">
      <c r="L432237" s="472"/>
      <c r="M432237" s="472"/>
    </row>
    <row r="432309" spans="12:13" x14ac:dyDescent="0.25">
      <c r="L432309" s="472"/>
      <c r="M432309" s="472"/>
    </row>
    <row r="432310" spans="12:13" x14ac:dyDescent="0.25">
      <c r="L432310" s="472"/>
      <c r="M432310" s="472"/>
    </row>
    <row r="432311" spans="12:13" x14ac:dyDescent="0.25">
      <c r="L432311" s="472"/>
      <c r="M432311" s="472"/>
    </row>
    <row r="432383" spans="12:13" x14ac:dyDescent="0.25">
      <c r="L432383" s="472"/>
      <c r="M432383" s="472"/>
    </row>
    <row r="432384" spans="12:13" x14ac:dyDescent="0.25">
      <c r="L432384" s="472"/>
      <c r="M432384" s="472"/>
    </row>
    <row r="432385" spans="12:13" x14ac:dyDescent="0.25">
      <c r="L432385" s="472"/>
      <c r="M432385" s="472"/>
    </row>
    <row r="432457" spans="12:13" x14ac:dyDescent="0.25">
      <c r="L432457" s="472"/>
      <c r="M432457" s="472"/>
    </row>
    <row r="432458" spans="12:13" x14ac:dyDescent="0.25">
      <c r="L432458" s="472"/>
      <c r="M432458" s="472"/>
    </row>
    <row r="432459" spans="12:13" x14ac:dyDescent="0.25">
      <c r="L432459" s="472"/>
      <c r="M432459" s="472"/>
    </row>
    <row r="432531" spans="12:13" x14ac:dyDescent="0.25">
      <c r="L432531" s="472"/>
      <c r="M432531" s="472"/>
    </row>
    <row r="432532" spans="12:13" x14ac:dyDescent="0.25">
      <c r="L432532" s="472"/>
      <c r="M432532" s="472"/>
    </row>
    <row r="432533" spans="12:13" x14ac:dyDescent="0.25">
      <c r="L432533" s="472"/>
      <c r="M432533" s="472"/>
    </row>
    <row r="432605" spans="12:13" x14ac:dyDescent="0.25">
      <c r="L432605" s="472"/>
      <c r="M432605" s="472"/>
    </row>
    <row r="432606" spans="12:13" x14ac:dyDescent="0.25">
      <c r="L432606" s="472"/>
      <c r="M432606" s="472"/>
    </row>
    <row r="432607" spans="12:13" x14ac:dyDescent="0.25">
      <c r="L432607" s="472"/>
      <c r="M432607" s="472"/>
    </row>
    <row r="432679" spans="12:13" x14ac:dyDescent="0.25">
      <c r="L432679" s="472"/>
      <c r="M432679" s="472"/>
    </row>
    <row r="432680" spans="12:13" x14ac:dyDescent="0.25">
      <c r="L432680" s="472"/>
      <c r="M432680" s="472"/>
    </row>
    <row r="432681" spans="12:13" x14ac:dyDescent="0.25">
      <c r="L432681" s="472"/>
      <c r="M432681" s="472"/>
    </row>
    <row r="432753" spans="12:13" x14ac:dyDescent="0.25">
      <c r="L432753" s="472"/>
      <c r="M432753" s="472"/>
    </row>
    <row r="432754" spans="12:13" x14ac:dyDescent="0.25">
      <c r="L432754" s="472"/>
      <c r="M432754" s="472"/>
    </row>
    <row r="432755" spans="12:13" x14ac:dyDescent="0.25">
      <c r="L432755" s="472"/>
      <c r="M432755" s="472"/>
    </row>
    <row r="432827" spans="12:13" x14ac:dyDescent="0.25">
      <c r="L432827" s="472"/>
      <c r="M432827" s="472"/>
    </row>
    <row r="432828" spans="12:13" x14ac:dyDescent="0.25">
      <c r="L432828" s="472"/>
      <c r="M432828" s="472"/>
    </row>
    <row r="432829" spans="12:13" x14ac:dyDescent="0.25">
      <c r="L432829" s="472"/>
      <c r="M432829" s="472"/>
    </row>
    <row r="432901" spans="12:13" x14ac:dyDescent="0.25">
      <c r="L432901" s="472"/>
      <c r="M432901" s="472"/>
    </row>
    <row r="432902" spans="12:13" x14ac:dyDescent="0.25">
      <c r="L432902" s="472"/>
      <c r="M432902" s="472"/>
    </row>
    <row r="432903" spans="12:13" x14ac:dyDescent="0.25">
      <c r="L432903" s="472"/>
      <c r="M432903" s="472"/>
    </row>
    <row r="432975" spans="12:13" x14ac:dyDescent="0.25">
      <c r="L432975" s="472"/>
      <c r="M432975" s="472"/>
    </row>
    <row r="432976" spans="12:13" x14ac:dyDescent="0.25">
      <c r="L432976" s="472"/>
      <c r="M432976" s="472"/>
    </row>
    <row r="432977" spans="12:13" x14ac:dyDescent="0.25">
      <c r="L432977" s="472"/>
      <c r="M432977" s="472"/>
    </row>
    <row r="433049" spans="12:13" x14ac:dyDescent="0.25">
      <c r="L433049" s="472"/>
      <c r="M433049" s="472"/>
    </row>
    <row r="433050" spans="12:13" x14ac:dyDescent="0.25">
      <c r="L433050" s="472"/>
      <c r="M433050" s="472"/>
    </row>
    <row r="433051" spans="12:13" x14ac:dyDescent="0.25">
      <c r="L433051" s="472"/>
      <c r="M433051" s="472"/>
    </row>
    <row r="433123" spans="12:13" x14ac:dyDescent="0.25">
      <c r="L433123" s="472"/>
      <c r="M433123" s="472"/>
    </row>
    <row r="433124" spans="12:13" x14ac:dyDescent="0.25">
      <c r="L433124" s="472"/>
      <c r="M433124" s="472"/>
    </row>
    <row r="433125" spans="12:13" x14ac:dyDescent="0.25">
      <c r="L433125" s="472"/>
      <c r="M433125" s="472"/>
    </row>
    <row r="433197" spans="12:13" x14ac:dyDescent="0.25">
      <c r="L433197" s="472"/>
      <c r="M433197" s="472"/>
    </row>
    <row r="433198" spans="12:13" x14ac:dyDescent="0.25">
      <c r="L433198" s="472"/>
      <c r="M433198" s="472"/>
    </row>
    <row r="433199" spans="12:13" x14ac:dyDescent="0.25">
      <c r="L433199" s="472"/>
      <c r="M433199" s="472"/>
    </row>
    <row r="433271" spans="12:13" x14ac:dyDescent="0.25">
      <c r="L433271" s="472"/>
      <c r="M433271" s="472"/>
    </row>
    <row r="433272" spans="12:13" x14ac:dyDescent="0.25">
      <c r="L433272" s="472"/>
      <c r="M433272" s="472"/>
    </row>
    <row r="433273" spans="12:13" x14ac:dyDescent="0.25">
      <c r="L433273" s="472"/>
      <c r="M433273" s="472"/>
    </row>
    <row r="433345" spans="12:13" x14ac:dyDescent="0.25">
      <c r="L433345" s="472"/>
      <c r="M433345" s="472"/>
    </row>
    <row r="433346" spans="12:13" x14ac:dyDescent="0.25">
      <c r="L433346" s="472"/>
      <c r="M433346" s="472"/>
    </row>
    <row r="433347" spans="12:13" x14ac:dyDescent="0.25">
      <c r="L433347" s="472"/>
      <c r="M433347" s="472"/>
    </row>
    <row r="433419" spans="12:13" x14ac:dyDescent="0.25">
      <c r="L433419" s="472"/>
      <c r="M433419" s="472"/>
    </row>
    <row r="433420" spans="12:13" x14ac:dyDescent="0.25">
      <c r="L433420" s="472"/>
      <c r="M433420" s="472"/>
    </row>
    <row r="433421" spans="12:13" x14ac:dyDescent="0.25">
      <c r="L433421" s="472"/>
      <c r="M433421" s="472"/>
    </row>
    <row r="433493" spans="12:13" x14ac:dyDescent="0.25">
      <c r="L433493" s="472"/>
      <c r="M433493" s="472"/>
    </row>
    <row r="433494" spans="12:13" x14ac:dyDescent="0.25">
      <c r="L433494" s="472"/>
      <c r="M433494" s="472"/>
    </row>
    <row r="433495" spans="12:13" x14ac:dyDescent="0.25">
      <c r="L433495" s="472"/>
      <c r="M433495" s="472"/>
    </row>
    <row r="433567" spans="12:13" x14ac:dyDescent="0.25">
      <c r="L433567" s="472"/>
      <c r="M433567" s="472"/>
    </row>
    <row r="433568" spans="12:13" x14ac:dyDescent="0.25">
      <c r="L433568" s="472"/>
      <c r="M433568" s="472"/>
    </row>
    <row r="433569" spans="12:13" x14ac:dyDescent="0.25">
      <c r="L433569" s="472"/>
      <c r="M433569" s="472"/>
    </row>
    <row r="433641" spans="12:13" x14ac:dyDescent="0.25">
      <c r="L433641" s="472"/>
      <c r="M433641" s="472"/>
    </row>
    <row r="433642" spans="12:13" x14ac:dyDescent="0.25">
      <c r="L433642" s="472"/>
      <c r="M433642" s="472"/>
    </row>
    <row r="433643" spans="12:13" x14ac:dyDescent="0.25">
      <c r="L433643" s="472"/>
      <c r="M433643" s="472"/>
    </row>
    <row r="433715" spans="12:13" x14ac:dyDescent="0.25">
      <c r="L433715" s="472"/>
      <c r="M433715" s="472"/>
    </row>
    <row r="433716" spans="12:13" x14ac:dyDescent="0.25">
      <c r="L433716" s="472"/>
      <c r="M433716" s="472"/>
    </row>
    <row r="433717" spans="12:13" x14ac:dyDescent="0.25">
      <c r="L433717" s="472"/>
      <c r="M433717" s="472"/>
    </row>
    <row r="433789" spans="12:13" x14ac:dyDescent="0.25">
      <c r="L433789" s="472"/>
      <c r="M433789" s="472"/>
    </row>
    <row r="433790" spans="12:13" x14ac:dyDescent="0.25">
      <c r="L433790" s="472"/>
      <c r="M433790" s="472"/>
    </row>
    <row r="433791" spans="12:13" x14ac:dyDescent="0.25">
      <c r="L433791" s="472"/>
      <c r="M433791" s="472"/>
    </row>
    <row r="433863" spans="12:13" x14ac:dyDescent="0.25">
      <c r="L433863" s="472"/>
      <c r="M433863" s="472"/>
    </row>
    <row r="433864" spans="12:13" x14ac:dyDescent="0.25">
      <c r="L433864" s="472"/>
      <c r="M433864" s="472"/>
    </row>
    <row r="433865" spans="12:13" x14ac:dyDescent="0.25">
      <c r="L433865" s="472"/>
      <c r="M433865" s="472"/>
    </row>
    <row r="433937" spans="12:13" x14ac:dyDescent="0.25">
      <c r="L433937" s="472"/>
      <c r="M433937" s="472"/>
    </row>
    <row r="433938" spans="12:13" x14ac:dyDescent="0.25">
      <c r="L433938" s="472"/>
      <c r="M433938" s="472"/>
    </row>
    <row r="433939" spans="12:13" x14ac:dyDescent="0.25">
      <c r="L433939" s="472"/>
      <c r="M433939" s="472"/>
    </row>
    <row r="434011" spans="12:13" x14ac:dyDescent="0.25">
      <c r="L434011" s="472"/>
      <c r="M434011" s="472"/>
    </row>
    <row r="434012" spans="12:13" x14ac:dyDescent="0.25">
      <c r="L434012" s="472"/>
      <c r="M434012" s="472"/>
    </row>
    <row r="434013" spans="12:13" x14ac:dyDescent="0.25">
      <c r="L434013" s="472"/>
      <c r="M434013" s="472"/>
    </row>
    <row r="434085" spans="12:13" x14ac:dyDescent="0.25">
      <c r="L434085" s="472"/>
      <c r="M434085" s="472"/>
    </row>
    <row r="434086" spans="12:13" x14ac:dyDescent="0.25">
      <c r="L434086" s="472"/>
      <c r="M434086" s="472"/>
    </row>
    <row r="434087" spans="12:13" x14ac:dyDescent="0.25">
      <c r="L434087" s="472"/>
      <c r="M434087" s="472"/>
    </row>
    <row r="434159" spans="12:13" x14ac:dyDescent="0.25">
      <c r="L434159" s="472"/>
      <c r="M434159" s="472"/>
    </row>
    <row r="434160" spans="12:13" x14ac:dyDescent="0.25">
      <c r="L434160" s="472"/>
      <c r="M434160" s="472"/>
    </row>
    <row r="434161" spans="12:13" x14ac:dyDescent="0.25">
      <c r="L434161" s="472"/>
      <c r="M434161" s="472"/>
    </row>
    <row r="434233" spans="12:13" x14ac:dyDescent="0.25">
      <c r="L434233" s="472"/>
      <c r="M434233" s="472"/>
    </row>
    <row r="434234" spans="12:13" x14ac:dyDescent="0.25">
      <c r="L434234" s="472"/>
      <c r="M434234" s="472"/>
    </row>
    <row r="434235" spans="12:13" x14ac:dyDescent="0.25">
      <c r="L434235" s="472"/>
      <c r="M434235" s="472"/>
    </row>
    <row r="434307" spans="12:13" x14ac:dyDescent="0.25">
      <c r="L434307" s="472"/>
      <c r="M434307" s="472"/>
    </row>
    <row r="434308" spans="12:13" x14ac:dyDescent="0.25">
      <c r="L434308" s="472"/>
      <c r="M434308" s="472"/>
    </row>
    <row r="434309" spans="12:13" x14ac:dyDescent="0.25">
      <c r="L434309" s="472"/>
      <c r="M434309" s="472"/>
    </row>
    <row r="434381" spans="12:13" x14ac:dyDescent="0.25">
      <c r="L434381" s="472"/>
      <c r="M434381" s="472"/>
    </row>
    <row r="434382" spans="12:13" x14ac:dyDescent="0.25">
      <c r="L434382" s="472"/>
      <c r="M434382" s="472"/>
    </row>
    <row r="434383" spans="12:13" x14ac:dyDescent="0.25">
      <c r="L434383" s="472"/>
      <c r="M434383" s="472"/>
    </row>
    <row r="434455" spans="12:13" x14ac:dyDescent="0.25">
      <c r="L434455" s="472"/>
      <c r="M434455" s="472"/>
    </row>
    <row r="434456" spans="12:13" x14ac:dyDescent="0.25">
      <c r="L434456" s="472"/>
      <c r="M434456" s="472"/>
    </row>
    <row r="434457" spans="12:13" x14ac:dyDescent="0.25">
      <c r="L434457" s="472"/>
      <c r="M434457" s="472"/>
    </row>
    <row r="434529" spans="12:13" x14ac:dyDescent="0.25">
      <c r="L434529" s="472"/>
      <c r="M434529" s="472"/>
    </row>
    <row r="434530" spans="12:13" x14ac:dyDescent="0.25">
      <c r="L434530" s="472"/>
      <c r="M434530" s="472"/>
    </row>
    <row r="434531" spans="12:13" x14ac:dyDescent="0.25">
      <c r="L434531" s="472"/>
      <c r="M434531" s="472"/>
    </row>
    <row r="434603" spans="12:13" x14ac:dyDescent="0.25">
      <c r="L434603" s="472"/>
      <c r="M434603" s="472"/>
    </row>
    <row r="434604" spans="12:13" x14ac:dyDescent="0.25">
      <c r="L434604" s="472"/>
      <c r="M434604" s="472"/>
    </row>
    <row r="434605" spans="12:13" x14ac:dyDescent="0.25">
      <c r="L434605" s="472"/>
      <c r="M434605" s="472"/>
    </row>
    <row r="434677" spans="12:13" x14ac:dyDescent="0.25">
      <c r="L434677" s="472"/>
      <c r="M434677" s="472"/>
    </row>
    <row r="434678" spans="12:13" x14ac:dyDescent="0.25">
      <c r="L434678" s="472"/>
      <c r="M434678" s="472"/>
    </row>
    <row r="434679" spans="12:13" x14ac:dyDescent="0.25">
      <c r="L434679" s="472"/>
      <c r="M434679" s="472"/>
    </row>
    <row r="434751" spans="12:13" x14ac:dyDescent="0.25">
      <c r="L434751" s="472"/>
      <c r="M434751" s="472"/>
    </row>
    <row r="434752" spans="12:13" x14ac:dyDescent="0.25">
      <c r="L434752" s="472"/>
      <c r="M434752" s="472"/>
    </row>
    <row r="434753" spans="12:13" x14ac:dyDescent="0.25">
      <c r="L434753" s="472"/>
      <c r="M434753" s="472"/>
    </row>
    <row r="434825" spans="12:13" x14ac:dyDescent="0.25">
      <c r="L434825" s="472"/>
      <c r="M434825" s="472"/>
    </row>
    <row r="434826" spans="12:13" x14ac:dyDescent="0.25">
      <c r="L434826" s="472"/>
      <c r="M434826" s="472"/>
    </row>
    <row r="434827" spans="12:13" x14ac:dyDescent="0.25">
      <c r="L434827" s="472"/>
      <c r="M434827" s="472"/>
    </row>
    <row r="434899" spans="12:13" x14ac:dyDescent="0.25">
      <c r="L434899" s="472"/>
      <c r="M434899" s="472"/>
    </row>
    <row r="434900" spans="12:13" x14ac:dyDescent="0.25">
      <c r="L434900" s="472"/>
      <c r="M434900" s="472"/>
    </row>
    <row r="434901" spans="12:13" x14ac:dyDescent="0.25">
      <c r="L434901" s="472"/>
      <c r="M434901" s="472"/>
    </row>
    <row r="434973" spans="12:13" x14ac:dyDescent="0.25">
      <c r="L434973" s="472"/>
      <c r="M434973" s="472"/>
    </row>
    <row r="434974" spans="12:13" x14ac:dyDescent="0.25">
      <c r="L434974" s="472"/>
      <c r="M434974" s="472"/>
    </row>
    <row r="434975" spans="12:13" x14ac:dyDescent="0.25">
      <c r="L434975" s="472"/>
      <c r="M434975" s="472"/>
    </row>
    <row r="435047" spans="12:13" x14ac:dyDescent="0.25">
      <c r="L435047" s="472"/>
      <c r="M435047" s="472"/>
    </row>
    <row r="435048" spans="12:13" x14ac:dyDescent="0.25">
      <c r="L435048" s="472"/>
      <c r="M435048" s="472"/>
    </row>
    <row r="435049" spans="12:13" x14ac:dyDescent="0.25">
      <c r="L435049" s="472"/>
      <c r="M435049" s="472"/>
    </row>
    <row r="435121" spans="12:13" x14ac:dyDescent="0.25">
      <c r="L435121" s="472"/>
      <c r="M435121" s="472"/>
    </row>
    <row r="435122" spans="12:13" x14ac:dyDescent="0.25">
      <c r="L435122" s="472"/>
      <c r="M435122" s="472"/>
    </row>
    <row r="435123" spans="12:13" x14ac:dyDescent="0.25">
      <c r="L435123" s="472"/>
      <c r="M435123" s="472"/>
    </row>
    <row r="435195" spans="12:13" x14ac:dyDescent="0.25">
      <c r="L435195" s="472"/>
      <c r="M435195" s="472"/>
    </row>
    <row r="435196" spans="12:13" x14ac:dyDescent="0.25">
      <c r="L435196" s="472"/>
      <c r="M435196" s="472"/>
    </row>
    <row r="435197" spans="12:13" x14ac:dyDescent="0.25">
      <c r="L435197" s="472"/>
      <c r="M435197" s="472"/>
    </row>
    <row r="435269" spans="12:13" x14ac:dyDescent="0.25">
      <c r="L435269" s="472"/>
      <c r="M435269" s="472"/>
    </row>
    <row r="435270" spans="12:13" x14ac:dyDescent="0.25">
      <c r="L435270" s="472"/>
      <c r="M435270" s="472"/>
    </row>
    <row r="435271" spans="12:13" x14ac:dyDescent="0.25">
      <c r="L435271" s="472"/>
      <c r="M435271" s="472"/>
    </row>
    <row r="435343" spans="12:13" x14ac:dyDescent="0.25">
      <c r="L435343" s="472"/>
      <c r="M435343" s="472"/>
    </row>
    <row r="435344" spans="12:13" x14ac:dyDescent="0.25">
      <c r="L435344" s="472"/>
      <c r="M435344" s="472"/>
    </row>
    <row r="435345" spans="12:13" x14ac:dyDescent="0.25">
      <c r="L435345" s="472"/>
      <c r="M435345" s="472"/>
    </row>
    <row r="435417" spans="12:13" x14ac:dyDescent="0.25">
      <c r="L435417" s="472"/>
      <c r="M435417" s="472"/>
    </row>
    <row r="435418" spans="12:13" x14ac:dyDescent="0.25">
      <c r="L435418" s="472"/>
      <c r="M435418" s="472"/>
    </row>
    <row r="435419" spans="12:13" x14ac:dyDescent="0.25">
      <c r="L435419" s="472"/>
      <c r="M435419" s="472"/>
    </row>
    <row r="435491" spans="12:13" x14ac:dyDescent="0.25">
      <c r="L435491" s="472"/>
      <c r="M435491" s="472"/>
    </row>
    <row r="435492" spans="12:13" x14ac:dyDescent="0.25">
      <c r="L435492" s="472"/>
      <c r="M435492" s="472"/>
    </row>
    <row r="435493" spans="12:13" x14ac:dyDescent="0.25">
      <c r="L435493" s="472"/>
      <c r="M435493" s="472"/>
    </row>
    <row r="435565" spans="12:13" x14ac:dyDescent="0.25">
      <c r="L435565" s="472"/>
      <c r="M435565" s="472"/>
    </row>
    <row r="435566" spans="12:13" x14ac:dyDescent="0.25">
      <c r="L435566" s="472"/>
      <c r="M435566" s="472"/>
    </row>
    <row r="435567" spans="12:13" x14ac:dyDescent="0.25">
      <c r="L435567" s="472"/>
      <c r="M435567" s="472"/>
    </row>
    <row r="435639" spans="12:13" x14ac:dyDescent="0.25">
      <c r="L435639" s="472"/>
      <c r="M435639" s="472"/>
    </row>
    <row r="435640" spans="12:13" x14ac:dyDescent="0.25">
      <c r="L435640" s="472"/>
      <c r="M435640" s="472"/>
    </row>
    <row r="435641" spans="12:13" x14ac:dyDescent="0.25">
      <c r="L435641" s="472"/>
      <c r="M435641" s="472"/>
    </row>
    <row r="435713" spans="12:13" x14ac:dyDescent="0.25">
      <c r="L435713" s="472"/>
      <c r="M435713" s="472"/>
    </row>
    <row r="435714" spans="12:13" x14ac:dyDescent="0.25">
      <c r="L435714" s="472"/>
      <c r="M435714" s="472"/>
    </row>
    <row r="435715" spans="12:13" x14ac:dyDescent="0.25">
      <c r="L435715" s="472"/>
      <c r="M435715" s="472"/>
    </row>
    <row r="435787" spans="12:13" x14ac:dyDescent="0.25">
      <c r="L435787" s="472"/>
      <c r="M435787" s="472"/>
    </row>
    <row r="435788" spans="12:13" x14ac:dyDescent="0.25">
      <c r="L435788" s="472"/>
      <c r="M435788" s="472"/>
    </row>
    <row r="435789" spans="12:13" x14ac:dyDescent="0.25">
      <c r="L435789" s="472"/>
      <c r="M435789" s="472"/>
    </row>
    <row r="435861" spans="12:13" x14ac:dyDescent="0.25">
      <c r="L435861" s="472"/>
      <c r="M435861" s="472"/>
    </row>
    <row r="435862" spans="12:13" x14ac:dyDescent="0.25">
      <c r="L435862" s="472"/>
      <c r="M435862" s="472"/>
    </row>
    <row r="435863" spans="12:13" x14ac:dyDescent="0.25">
      <c r="L435863" s="472"/>
      <c r="M435863" s="472"/>
    </row>
    <row r="435935" spans="12:13" x14ac:dyDescent="0.25">
      <c r="L435935" s="472"/>
      <c r="M435935" s="472"/>
    </row>
    <row r="435936" spans="12:13" x14ac:dyDescent="0.25">
      <c r="L435936" s="472"/>
      <c r="M435936" s="472"/>
    </row>
    <row r="435937" spans="12:13" x14ac:dyDescent="0.25">
      <c r="L435937" s="472"/>
      <c r="M435937" s="472"/>
    </row>
    <row r="436009" spans="12:13" x14ac:dyDescent="0.25">
      <c r="L436009" s="472"/>
      <c r="M436009" s="472"/>
    </row>
    <row r="436010" spans="12:13" x14ac:dyDescent="0.25">
      <c r="L436010" s="472"/>
      <c r="M436010" s="472"/>
    </row>
    <row r="436011" spans="12:13" x14ac:dyDescent="0.25">
      <c r="L436011" s="472"/>
      <c r="M436011" s="472"/>
    </row>
    <row r="436083" spans="12:13" x14ac:dyDescent="0.25">
      <c r="L436083" s="472"/>
      <c r="M436083" s="472"/>
    </row>
    <row r="436084" spans="12:13" x14ac:dyDescent="0.25">
      <c r="L436084" s="472"/>
      <c r="M436084" s="472"/>
    </row>
    <row r="436085" spans="12:13" x14ac:dyDescent="0.25">
      <c r="L436085" s="472"/>
      <c r="M436085" s="472"/>
    </row>
    <row r="436157" spans="12:13" x14ac:dyDescent="0.25">
      <c r="L436157" s="472"/>
      <c r="M436157" s="472"/>
    </row>
    <row r="436158" spans="12:13" x14ac:dyDescent="0.25">
      <c r="L436158" s="472"/>
      <c r="M436158" s="472"/>
    </row>
    <row r="436159" spans="12:13" x14ac:dyDescent="0.25">
      <c r="L436159" s="472"/>
      <c r="M436159" s="472"/>
    </row>
    <row r="436231" spans="12:13" x14ac:dyDescent="0.25">
      <c r="L436231" s="472"/>
      <c r="M436231" s="472"/>
    </row>
    <row r="436232" spans="12:13" x14ac:dyDescent="0.25">
      <c r="L436232" s="472"/>
      <c r="M436232" s="472"/>
    </row>
    <row r="436233" spans="12:13" x14ac:dyDescent="0.25">
      <c r="L436233" s="472"/>
      <c r="M436233" s="472"/>
    </row>
    <row r="436305" spans="12:13" x14ac:dyDescent="0.25">
      <c r="L436305" s="472"/>
      <c r="M436305" s="472"/>
    </row>
    <row r="436306" spans="12:13" x14ac:dyDescent="0.25">
      <c r="L436306" s="472"/>
      <c r="M436306" s="472"/>
    </row>
    <row r="436307" spans="12:13" x14ac:dyDescent="0.25">
      <c r="L436307" s="472"/>
      <c r="M436307" s="472"/>
    </row>
    <row r="436379" spans="12:13" x14ac:dyDescent="0.25">
      <c r="L436379" s="472"/>
      <c r="M436379" s="472"/>
    </row>
    <row r="436380" spans="12:13" x14ac:dyDescent="0.25">
      <c r="L436380" s="472"/>
      <c r="M436380" s="472"/>
    </row>
    <row r="436381" spans="12:13" x14ac:dyDescent="0.25">
      <c r="L436381" s="472"/>
      <c r="M436381" s="472"/>
    </row>
    <row r="436453" spans="12:13" x14ac:dyDescent="0.25">
      <c r="L436453" s="472"/>
      <c r="M436453" s="472"/>
    </row>
    <row r="436454" spans="12:13" x14ac:dyDescent="0.25">
      <c r="L436454" s="472"/>
      <c r="M436454" s="472"/>
    </row>
    <row r="436455" spans="12:13" x14ac:dyDescent="0.25">
      <c r="L436455" s="472"/>
      <c r="M436455" s="472"/>
    </row>
    <row r="436527" spans="12:13" x14ac:dyDescent="0.25">
      <c r="L436527" s="472"/>
      <c r="M436527" s="472"/>
    </row>
    <row r="436528" spans="12:13" x14ac:dyDescent="0.25">
      <c r="L436528" s="472"/>
      <c r="M436528" s="472"/>
    </row>
    <row r="436529" spans="12:13" x14ac:dyDescent="0.25">
      <c r="L436529" s="472"/>
      <c r="M436529" s="472"/>
    </row>
    <row r="436601" spans="12:13" x14ac:dyDescent="0.25">
      <c r="L436601" s="472"/>
      <c r="M436601" s="472"/>
    </row>
    <row r="436602" spans="12:13" x14ac:dyDescent="0.25">
      <c r="L436602" s="472"/>
      <c r="M436602" s="472"/>
    </row>
    <row r="436603" spans="12:13" x14ac:dyDescent="0.25">
      <c r="L436603" s="472"/>
      <c r="M436603" s="472"/>
    </row>
    <row r="436675" spans="12:13" x14ac:dyDescent="0.25">
      <c r="L436675" s="472"/>
      <c r="M436675" s="472"/>
    </row>
    <row r="436676" spans="12:13" x14ac:dyDescent="0.25">
      <c r="L436676" s="472"/>
      <c r="M436676" s="472"/>
    </row>
    <row r="436677" spans="12:13" x14ac:dyDescent="0.25">
      <c r="L436677" s="472"/>
      <c r="M436677" s="472"/>
    </row>
    <row r="436749" spans="12:13" x14ac:dyDescent="0.25">
      <c r="L436749" s="472"/>
      <c r="M436749" s="472"/>
    </row>
    <row r="436750" spans="12:13" x14ac:dyDescent="0.25">
      <c r="L436750" s="472"/>
      <c r="M436750" s="472"/>
    </row>
    <row r="436751" spans="12:13" x14ac:dyDescent="0.25">
      <c r="L436751" s="472"/>
      <c r="M436751" s="472"/>
    </row>
    <row r="436823" spans="12:13" x14ac:dyDescent="0.25">
      <c r="L436823" s="472"/>
      <c r="M436823" s="472"/>
    </row>
    <row r="436824" spans="12:13" x14ac:dyDescent="0.25">
      <c r="L436824" s="472"/>
      <c r="M436824" s="472"/>
    </row>
    <row r="436825" spans="12:13" x14ac:dyDescent="0.25">
      <c r="L436825" s="472"/>
      <c r="M436825" s="472"/>
    </row>
    <row r="436897" spans="12:13" x14ac:dyDescent="0.25">
      <c r="L436897" s="472"/>
      <c r="M436897" s="472"/>
    </row>
    <row r="436898" spans="12:13" x14ac:dyDescent="0.25">
      <c r="L436898" s="472"/>
      <c r="M436898" s="472"/>
    </row>
    <row r="436899" spans="12:13" x14ac:dyDescent="0.25">
      <c r="L436899" s="472"/>
      <c r="M436899" s="472"/>
    </row>
    <row r="436971" spans="12:13" x14ac:dyDescent="0.25">
      <c r="L436971" s="472"/>
      <c r="M436971" s="472"/>
    </row>
    <row r="436972" spans="12:13" x14ac:dyDescent="0.25">
      <c r="L436972" s="472"/>
      <c r="M436972" s="472"/>
    </row>
    <row r="436973" spans="12:13" x14ac:dyDescent="0.25">
      <c r="L436973" s="472"/>
      <c r="M436973" s="472"/>
    </row>
    <row r="437045" spans="12:13" x14ac:dyDescent="0.25">
      <c r="L437045" s="472"/>
      <c r="M437045" s="472"/>
    </row>
    <row r="437046" spans="12:13" x14ac:dyDescent="0.25">
      <c r="L437046" s="472"/>
      <c r="M437046" s="472"/>
    </row>
    <row r="437047" spans="12:13" x14ac:dyDescent="0.25">
      <c r="L437047" s="472"/>
      <c r="M437047" s="472"/>
    </row>
    <row r="437119" spans="12:13" x14ac:dyDescent="0.25">
      <c r="L437119" s="472"/>
      <c r="M437119" s="472"/>
    </row>
    <row r="437120" spans="12:13" x14ac:dyDescent="0.25">
      <c r="L437120" s="472"/>
      <c r="M437120" s="472"/>
    </row>
    <row r="437121" spans="12:13" x14ac:dyDescent="0.25">
      <c r="L437121" s="472"/>
      <c r="M437121" s="472"/>
    </row>
    <row r="437193" spans="12:13" x14ac:dyDescent="0.25">
      <c r="L437193" s="472"/>
      <c r="M437193" s="472"/>
    </row>
    <row r="437194" spans="12:13" x14ac:dyDescent="0.25">
      <c r="L437194" s="472"/>
      <c r="M437194" s="472"/>
    </row>
    <row r="437195" spans="12:13" x14ac:dyDescent="0.25">
      <c r="L437195" s="472"/>
      <c r="M437195" s="472"/>
    </row>
    <row r="437267" spans="12:13" x14ac:dyDescent="0.25">
      <c r="L437267" s="472"/>
      <c r="M437267" s="472"/>
    </row>
    <row r="437268" spans="12:13" x14ac:dyDescent="0.25">
      <c r="L437268" s="472"/>
      <c r="M437268" s="472"/>
    </row>
    <row r="437269" spans="12:13" x14ac:dyDescent="0.25">
      <c r="L437269" s="472"/>
      <c r="M437269" s="472"/>
    </row>
    <row r="437341" spans="12:13" x14ac:dyDescent="0.25">
      <c r="L437341" s="472"/>
      <c r="M437341" s="472"/>
    </row>
    <row r="437342" spans="12:13" x14ac:dyDescent="0.25">
      <c r="L437342" s="472"/>
      <c r="M437342" s="472"/>
    </row>
    <row r="437343" spans="12:13" x14ac:dyDescent="0.25">
      <c r="L437343" s="472"/>
      <c r="M437343" s="472"/>
    </row>
    <row r="437415" spans="12:13" x14ac:dyDescent="0.25">
      <c r="L437415" s="472"/>
      <c r="M437415" s="472"/>
    </row>
    <row r="437416" spans="12:13" x14ac:dyDescent="0.25">
      <c r="L437416" s="472"/>
      <c r="M437416" s="472"/>
    </row>
    <row r="437417" spans="12:13" x14ac:dyDescent="0.25">
      <c r="L437417" s="472"/>
      <c r="M437417" s="472"/>
    </row>
    <row r="437489" spans="12:13" x14ac:dyDescent="0.25">
      <c r="L437489" s="472"/>
      <c r="M437489" s="472"/>
    </row>
    <row r="437490" spans="12:13" x14ac:dyDescent="0.25">
      <c r="L437490" s="472"/>
      <c r="M437490" s="472"/>
    </row>
    <row r="437491" spans="12:13" x14ac:dyDescent="0.25">
      <c r="L437491" s="472"/>
      <c r="M437491" s="472"/>
    </row>
    <row r="437563" spans="12:13" x14ac:dyDescent="0.25">
      <c r="L437563" s="472"/>
      <c r="M437563" s="472"/>
    </row>
    <row r="437564" spans="12:13" x14ac:dyDescent="0.25">
      <c r="L437564" s="472"/>
      <c r="M437564" s="472"/>
    </row>
    <row r="437565" spans="12:13" x14ac:dyDescent="0.25">
      <c r="L437565" s="472"/>
      <c r="M437565" s="472"/>
    </row>
    <row r="437637" spans="12:13" x14ac:dyDescent="0.25">
      <c r="L437637" s="472"/>
      <c r="M437637" s="472"/>
    </row>
    <row r="437638" spans="12:13" x14ac:dyDescent="0.25">
      <c r="L437638" s="472"/>
      <c r="M437638" s="472"/>
    </row>
    <row r="437639" spans="12:13" x14ac:dyDescent="0.25">
      <c r="L437639" s="472"/>
      <c r="M437639" s="472"/>
    </row>
    <row r="437711" spans="12:13" x14ac:dyDescent="0.25">
      <c r="L437711" s="472"/>
      <c r="M437711" s="472"/>
    </row>
    <row r="437712" spans="12:13" x14ac:dyDescent="0.25">
      <c r="L437712" s="472"/>
      <c r="M437712" s="472"/>
    </row>
    <row r="437713" spans="12:13" x14ac:dyDescent="0.25">
      <c r="L437713" s="472"/>
      <c r="M437713" s="472"/>
    </row>
    <row r="437785" spans="12:13" x14ac:dyDescent="0.25">
      <c r="L437785" s="472"/>
      <c r="M437785" s="472"/>
    </row>
    <row r="437786" spans="12:13" x14ac:dyDescent="0.25">
      <c r="L437786" s="472"/>
      <c r="M437786" s="472"/>
    </row>
    <row r="437787" spans="12:13" x14ac:dyDescent="0.25">
      <c r="L437787" s="472"/>
      <c r="M437787" s="472"/>
    </row>
    <row r="437859" spans="12:13" x14ac:dyDescent="0.25">
      <c r="L437859" s="472"/>
      <c r="M437859" s="472"/>
    </row>
    <row r="437860" spans="12:13" x14ac:dyDescent="0.25">
      <c r="L437860" s="472"/>
      <c r="M437860" s="472"/>
    </row>
    <row r="437861" spans="12:13" x14ac:dyDescent="0.25">
      <c r="L437861" s="472"/>
      <c r="M437861" s="472"/>
    </row>
    <row r="437933" spans="12:13" x14ac:dyDescent="0.25">
      <c r="L437933" s="472"/>
      <c r="M437933" s="472"/>
    </row>
    <row r="437934" spans="12:13" x14ac:dyDescent="0.25">
      <c r="L437934" s="472"/>
      <c r="M437934" s="472"/>
    </row>
    <row r="437935" spans="12:13" x14ac:dyDescent="0.25">
      <c r="L437935" s="472"/>
      <c r="M437935" s="472"/>
    </row>
    <row r="438007" spans="12:13" x14ac:dyDescent="0.25">
      <c r="L438007" s="472"/>
      <c r="M438007" s="472"/>
    </row>
    <row r="438008" spans="12:13" x14ac:dyDescent="0.25">
      <c r="L438008" s="472"/>
      <c r="M438008" s="472"/>
    </row>
    <row r="438009" spans="12:13" x14ac:dyDescent="0.25">
      <c r="L438009" s="472"/>
      <c r="M438009" s="472"/>
    </row>
    <row r="438081" spans="12:13" x14ac:dyDescent="0.25">
      <c r="L438081" s="472"/>
      <c r="M438081" s="472"/>
    </row>
    <row r="438082" spans="12:13" x14ac:dyDescent="0.25">
      <c r="L438082" s="472"/>
      <c r="M438082" s="472"/>
    </row>
    <row r="438083" spans="12:13" x14ac:dyDescent="0.25">
      <c r="L438083" s="472"/>
      <c r="M438083" s="472"/>
    </row>
    <row r="438155" spans="12:13" x14ac:dyDescent="0.25">
      <c r="L438155" s="472"/>
      <c r="M438155" s="472"/>
    </row>
    <row r="438156" spans="12:13" x14ac:dyDescent="0.25">
      <c r="L438156" s="472"/>
      <c r="M438156" s="472"/>
    </row>
    <row r="438157" spans="12:13" x14ac:dyDescent="0.25">
      <c r="L438157" s="472"/>
      <c r="M438157" s="472"/>
    </row>
    <row r="438229" spans="12:13" x14ac:dyDescent="0.25">
      <c r="L438229" s="472"/>
      <c r="M438229" s="472"/>
    </row>
    <row r="438230" spans="12:13" x14ac:dyDescent="0.25">
      <c r="L438230" s="472"/>
      <c r="M438230" s="472"/>
    </row>
    <row r="438231" spans="12:13" x14ac:dyDescent="0.25">
      <c r="L438231" s="472"/>
      <c r="M438231" s="472"/>
    </row>
    <row r="438303" spans="12:13" x14ac:dyDescent="0.25">
      <c r="L438303" s="472"/>
      <c r="M438303" s="472"/>
    </row>
    <row r="438304" spans="12:13" x14ac:dyDescent="0.25">
      <c r="L438304" s="472"/>
      <c r="M438304" s="472"/>
    </row>
    <row r="438305" spans="12:13" x14ac:dyDescent="0.25">
      <c r="L438305" s="472"/>
      <c r="M438305" s="472"/>
    </row>
    <row r="438377" spans="12:13" x14ac:dyDescent="0.25">
      <c r="L438377" s="472"/>
      <c r="M438377" s="472"/>
    </row>
    <row r="438378" spans="12:13" x14ac:dyDescent="0.25">
      <c r="L438378" s="472"/>
      <c r="M438378" s="472"/>
    </row>
    <row r="438379" spans="12:13" x14ac:dyDescent="0.25">
      <c r="L438379" s="472"/>
      <c r="M438379" s="472"/>
    </row>
    <row r="438451" spans="12:13" x14ac:dyDescent="0.25">
      <c r="L438451" s="472"/>
      <c r="M438451" s="472"/>
    </row>
    <row r="438452" spans="12:13" x14ac:dyDescent="0.25">
      <c r="L438452" s="472"/>
      <c r="M438452" s="472"/>
    </row>
    <row r="438453" spans="12:13" x14ac:dyDescent="0.25">
      <c r="L438453" s="472"/>
      <c r="M438453" s="472"/>
    </row>
    <row r="438525" spans="12:13" x14ac:dyDescent="0.25">
      <c r="L438525" s="472"/>
      <c r="M438525" s="472"/>
    </row>
    <row r="438526" spans="12:13" x14ac:dyDescent="0.25">
      <c r="L438526" s="472"/>
      <c r="M438526" s="472"/>
    </row>
    <row r="438527" spans="12:13" x14ac:dyDescent="0.25">
      <c r="L438527" s="472"/>
      <c r="M438527" s="472"/>
    </row>
    <row r="438599" spans="12:13" x14ac:dyDescent="0.25">
      <c r="L438599" s="472"/>
      <c r="M438599" s="472"/>
    </row>
    <row r="438600" spans="12:13" x14ac:dyDescent="0.25">
      <c r="L438600" s="472"/>
      <c r="M438600" s="472"/>
    </row>
    <row r="438601" spans="12:13" x14ac:dyDescent="0.25">
      <c r="L438601" s="472"/>
      <c r="M438601" s="472"/>
    </row>
    <row r="438673" spans="12:13" x14ac:dyDescent="0.25">
      <c r="L438673" s="472"/>
      <c r="M438673" s="472"/>
    </row>
    <row r="438674" spans="12:13" x14ac:dyDescent="0.25">
      <c r="L438674" s="472"/>
      <c r="M438674" s="472"/>
    </row>
    <row r="438675" spans="12:13" x14ac:dyDescent="0.25">
      <c r="L438675" s="472"/>
      <c r="M438675" s="472"/>
    </row>
    <row r="438747" spans="12:13" x14ac:dyDescent="0.25">
      <c r="L438747" s="472"/>
      <c r="M438747" s="472"/>
    </row>
    <row r="438748" spans="12:13" x14ac:dyDescent="0.25">
      <c r="L438748" s="472"/>
      <c r="M438748" s="472"/>
    </row>
    <row r="438749" spans="12:13" x14ac:dyDescent="0.25">
      <c r="L438749" s="472"/>
      <c r="M438749" s="472"/>
    </row>
    <row r="438821" spans="12:13" x14ac:dyDescent="0.25">
      <c r="L438821" s="472"/>
      <c r="M438821" s="472"/>
    </row>
    <row r="438822" spans="12:13" x14ac:dyDescent="0.25">
      <c r="L438822" s="472"/>
      <c r="M438822" s="472"/>
    </row>
    <row r="438823" spans="12:13" x14ac:dyDescent="0.25">
      <c r="L438823" s="472"/>
      <c r="M438823" s="472"/>
    </row>
    <row r="438895" spans="12:13" x14ac:dyDescent="0.25">
      <c r="L438895" s="472"/>
      <c r="M438895" s="472"/>
    </row>
    <row r="438896" spans="12:13" x14ac:dyDescent="0.25">
      <c r="L438896" s="472"/>
      <c r="M438896" s="472"/>
    </row>
    <row r="438897" spans="12:13" x14ac:dyDescent="0.25">
      <c r="L438897" s="472"/>
      <c r="M438897" s="472"/>
    </row>
    <row r="438969" spans="12:13" x14ac:dyDescent="0.25">
      <c r="L438969" s="472"/>
      <c r="M438969" s="472"/>
    </row>
    <row r="438970" spans="12:13" x14ac:dyDescent="0.25">
      <c r="L438970" s="472"/>
      <c r="M438970" s="472"/>
    </row>
    <row r="438971" spans="12:13" x14ac:dyDescent="0.25">
      <c r="L438971" s="472"/>
      <c r="M438971" s="472"/>
    </row>
    <row r="439043" spans="12:13" x14ac:dyDescent="0.25">
      <c r="L439043" s="472"/>
      <c r="M439043" s="472"/>
    </row>
    <row r="439044" spans="12:13" x14ac:dyDescent="0.25">
      <c r="L439044" s="472"/>
      <c r="M439044" s="472"/>
    </row>
    <row r="439045" spans="12:13" x14ac:dyDescent="0.25">
      <c r="L439045" s="472"/>
      <c r="M439045" s="472"/>
    </row>
    <row r="439117" spans="12:13" x14ac:dyDescent="0.25">
      <c r="L439117" s="472"/>
      <c r="M439117" s="472"/>
    </row>
    <row r="439118" spans="12:13" x14ac:dyDescent="0.25">
      <c r="L439118" s="472"/>
      <c r="M439118" s="472"/>
    </row>
    <row r="439119" spans="12:13" x14ac:dyDescent="0.25">
      <c r="L439119" s="472"/>
      <c r="M439119" s="472"/>
    </row>
    <row r="439191" spans="12:13" x14ac:dyDescent="0.25">
      <c r="L439191" s="472"/>
      <c r="M439191" s="472"/>
    </row>
    <row r="439192" spans="12:13" x14ac:dyDescent="0.25">
      <c r="L439192" s="472"/>
      <c r="M439192" s="472"/>
    </row>
    <row r="439193" spans="12:13" x14ac:dyDescent="0.25">
      <c r="L439193" s="472"/>
      <c r="M439193" s="472"/>
    </row>
    <row r="439265" spans="12:13" x14ac:dyDescent="0.25">
      <c r="L439265" s="472"/>
      <c r="M439265" s="472"/>
    </row>
    <row r="439266" spans="12:13" x14ac:dyDescent="0.25">
      <c r="L439266" s="472"/>
      <c r="M439266" s="472"/>
    </row>
    <row r="439267" spans="12:13" x14ac:dyDescent="0.25">
      <c r="L439267" s="472"/>
      <c r="M439267" s="472"/>
    </row>
    <row r="439339" spans="12:13" x14ac:dyDescent="0.25">
      <c r="L439339" s="472"/>
      <c r="M439339" s="472"/>
    </row>
    <row r="439340" spans="12:13" x14ac:dyDescent="0.25">
      <c r="L439340" s="472"/>
      <c r="M439340" s="472"/>
    </row>
    <row r="439341" spans="12:13" x14ac:dyDescent="0.25">
      <c r="L439341" s="472"/>
      <c r="M439341" s="472"/>
    </row>
    <row r="439413" spans="12:13" x14ac:dyDescent="0.25">
      <c r="L439413" s="472"/>
      <c r="M439413" s="472"/>
    </row>
    <row r="439414" spans="12:13" x14ac:dyDescent="0.25">
      <c r="L439414" s="472"/>
      <c r="M439414" s="472"/>
    </row>
    <row r="439415" spans="12:13" x14ac:dyDescent="0.25">
      <c r="L439415" s="472"/>
      <c r="M439415" s="472"/>
    </row>
    <row r="439487" spans="12:13" x14ac:dyDescent="0.25">
      <c r="L439487" s="472"/>
      <c r="M439487" s="472"/>
    </row>
    <row r="439488" spans="12:13" x14ac:dyDescent="0.25">
      <c r="L439488" s="472"/>
      <c r="M439488" s="472"/>
    </row>
    <row r="439489" spans="12:13" x14ac:dyDescent="0.25">
      <c r="L439489" s="472"/>
      <c r="M439489" s="472"/>
    </row>
    <row r="439561" spans="12:13" x14ac:dyDescent="0.25">
      <c r="L439561" s="472"/>
      <c r="M439561" s="472"/>
    </row>
    <row r="439562" spans="12:13" x14ac:dyDescent="0.25">
      <c r="L439562" s="472"/>
      <c r="M439562" s="472"/>
    </row>
    <row r="439563" spans="12:13" x14ac:dyDescent="0.25">
      <c r="L439563" s="472"/>
      <c r="M439563" s="472"/>
    </row>
    <row r="439635" spans="12:13" x14ac:dyDescent="0.25">
      <c r="L439635" s="472"/>
      <c r="M439635" s="472"/>
    </row>
    <row r="439636" spans="12:13" x14ac:dyDescent="0.25">
      <c r="L439636" s="472"/>
      <c r="M439636" s="472"/>
    </row>
    <row r="439637" spans="12:13" x14ac:dyDescent="0.25">
      <c r="L439637" s="472"/>
      <c r="M439637" s="472"/>
    </row>
    <row r="439709" spans="12:13" x14ac:dyDescent="0.25">
      <c r="L439709" s="472"/>
      <c r="M439709" s="472"/>
    </row>
    <row r="439710" spans="12:13" x14ac:dyDescent="0.25">
      <c r="L439710" s="472"/>
      <c r="M439710" s="472"/>
    </row>
    <row r="439711" spans="12:13" x14ac:dyDescent="0.25">
      <c r="L439711" s="472"/>
      <c r="M439711" s="472"/>
    </row>
    <row r="439783" spans="12:13" x14ac:dyDescent="0.25">
      <c r="L439783" s="472"/>
      <c r="M439783" s="472"/>
    </row>
    <row r="439784" spans="12:13" x14ac:dyDescent="0.25">
      <c r="L439784" s="472"/>
      <c r="M439784" s="472"/>
    </row>
    <row r="439785" spans="12:13" x14ac:dyDescent="0.25">
      <c r="L439785" s="472"/>
      <c r="M439785" s="472"/>
    </row>
    <row r="439857" spans="12:13" x14ac:dyDescent="0.25">
      <c r="L439857" s="472"/>
      <c r="M439857" s="472"/>
    </row>
    <row r="439858" spans="12:13" x14ac:dyDescent="0.25">
      <c r="L439858" s="472"/>
      <c r="M439858" s="472"/>
    </row>
    <row r="439859" spans="12:13" x14ac:dyDescent="0.25">
      <c r="L439859" s="472"/>
      <c r="M439859" s="472"/>
    </row>
    <row r="439931" spans="12:13" x14ac:dyDescent="0.25">
      <c r="L439931" s="472"/>
      <c r="M439931" s="472"/>
    </row>
    <row r="439932" spans="12:13" x14ac:dyDescent="0.25">
      <c r="L439932" s="472"/>
      <c r="M439932" s="472"/>
    </row>
    <row r="439933" spans="12:13" x14ac:dyDescent="0.25">
      <c r="L439933" s="472"/>
      <c r="M439933" s="472"/>
    </row>
    <row r="440005" spans="12:13" x14ac:dyDescent="0.25">
      <c r="L440005" s="472"/>
      <c r="M440005" s="472"/>
    </row>
    <row r="440006" spans="12:13" x14ac:dyDescent="0.25">
      <c r="L440006" s="472"/>
      <c r="M440006" s="472"/>
    </row>
    <row r="440007" spans="12:13" x14ac:dyDescent="0.25">
      <c r="L440007" s="472"/>
      <c r="M440007" s="472"/>
    </row>
    <row r="440079" spans="12:13" x14ac:dyDescent="0.25">
      <c r="L440079" s="472"/>
      <c r="M440079" s="472"/>
    </row>
    <row r="440080" spans="12:13" x14ac:dyDescent="0.25">
      <c r="L440080" s="472"/>
      <c r="M440080" s="472"/>
    </row>
    <row r="440081" spans="12:13" x14ac:dyDescent="0.25">
      <c r="L440081" s="472"/>
      <c r="M440081" s="472"/>
    </row>
    <row r="440153" spans="12:13" x14ac:dyDescent="0.25">
      <c r="L440153" s="472"/>
      <c r="M440153" s="472"/>
    </row>
    <row r="440154" spans="12:13" x14ac:dyDescent="0.25">
      <c r="L440154" s="472"/>
      <c r="M440154" s="472"/>
    </row>
    <row r="440155" spans="12:13" x14ac:dyDescent="0.25">
      <c r="L440155" s="472"/>
      <c r="M440155" s="472"/>
    </row>
    <row r="440227" spans="12:13" x14ac:dyDescent="0.25">
      <c r="L440227" s="472"/>
      <c r="M440227" s="472"/>
    </row>
    <row r="440228" spans="12:13" x14ac:dyDescent="0.25">
      <c r="L440228" s="472"/>
      <c r="M440228" s="472"/>
    </row>
    <row r="440229" spans="12:13" x14ac:dyDescent="0.25">
      <c r="L440229" s="472"/>
      <c r="M440229" s="472"/>
    </row>
    <row r="440301" spans="12:13" x14ac:dyDescent="0.25">
      <c r="L440301" s="472"/>
      <c r="M440301" s="472"/>
    </row>
    <row r="440302" spans="12:13" x14ac:dyDescent="0.25">
      <c r="L440302" s="472"/>
      <c r="M440302" s="472"/>
    </row>
    <row r="440303" spans="12:13" x14ac:dyDescent="0.25">
      <c r="L440303" s="472"/>
      <c r="M440303" s="472"/>
    </row>
    <row r="440375" spans="12:13" x14ac:dyDescent="0.25">
      <c r="L440375" s="472"/>
      <c r="M440375" s="472"/>
    </row>
    <row r="440376" spans="12:13" x14ac:dyDescent="0.25">
      <c r="L440376" s="472"/>
      <c r="M440376" s="472"/>
    </row>
    <row r="440377" spans="12:13" x14ac:dyDescent="0.25">
      <c r="L440377" s="472"/>
      <c r="M440377" s="472"/>
    </row>
    <row r="440449" spans="12:13" x14ac:dyDescent="0.25">
      <c r="L440449" s="472"/>
      <c r="M440449" s="472"/>
    </row>
    <row r="440450" spans="12:13" x14ac:dyDescent="0.25">
      <c r="L440450" s="472"/>
      <c r="M440450" s="472"/>
    </row>
    <row r="440451" spans="12:13" x14ac:dyDescent="0.25">
      <c r="L440451" s="472"/>
      <c r="M440451" s="472"/>
    </row>
    <row r="440523" spans="12:13" x14ac:dyDescent="0.25">
      <c r="L440523" s="472"/>
      <c r="M440523" s="472"/>
    </row>
    <row r="440524" spans="12:13" x14ac:dyDescent="0.25">
      <c r="L440524" s="472"/>
      <c r="M440524" s="472"/>
    </row>
    <row r="440525" spans="12:13" x14ac:dyDescent="0.25">
      <c r="L440525" s="472"/>
      <c r="M440525" s="472"/>
    </row>
    <row r="440597" spans="12:13" x14ac:dyDescent="0.25">
      <c r="L440597" s="472"/>
      <c r="M440597" s="472"/>
    </row>
    <row r="440598" spans="12:13" x14ac:dyDescent="0.25">
      <c r="L440598" s="472"/>
      <c r="M440598" s="472"/>
    </row>
    <row r="440599" spans="12:13" x14ac:dyDescent="0.25">
      <c r="L440599" s="472"/>
      <c r="M440599" s="472"/>
    </row>
    <row r="440671" spans="12:13" x14ac:dyDescent="0.25">
      <c r="L440671" s="472"/>
      <c r="M440671" s="472"/>
    </row>
    <row r="440672" spans="12:13" x14ac:dyDescent="0.25">
      <c r="L440672" s="472"/>
      <c r="M440672" s="472"/>
    </row>
    <row r="440673" spans="12:13" x14ac:dyDescent="0.25">
      <c r="L440673" s="472"/>
      <c r="M440673" s="472"/>
    </row>
    <row r="440745" spans="12:13" x14ac:dyDescent="0.25">
      <c r="L440745" s="472"/>
      <c r="M440745" s="472"/>
    </row>
    <row r="440746" spans="12:13" x14ac:dyDescent="0.25">
      <c r="L440746" s="472"/>
      <c r="M440746" s="472"/>
    </row>
    <row r="440747" spans="12:13" x14ac:dyDescent="0.25">
      <c r="L440747" s="472"/>
      <c r="M440747" s="472"/>
    </row>
    <row r="440819" spans="12:13" x14ac:dyDescent="0.25">
      <c r="L440819" s="472"/>
      <c r="M440819" s="472"/>
    </row>
    <row r="440820" spans="12:13" x14ac:dyDescent="0.25">
      <c r="L440820" s="472"/>
      <c r="M440820" s="472"/>
    </row>
    <row r="440821" spans="12:13" x14ac:dyDescent="0.25">
      <c r="L440821" s="472"/>
      <c r="M440821" s="472"/>
    </row>
    <row r="440893" spans="12:13" x14ac:dyDescent="0.25">
      <c r="L440893" s="472"/>
      <c r="M440893" s="472"/>
    </row>
    <row r="440894" spans="12:13" x14ac:dyDescent="0.25">
      <c r="L440894" s="472"/>
      <c r="M440894" s="472"/>
    </row>
    <row r="440895" spans="12:13" x14ac:dyDescent="0.25">
      <c r="L440895" s="472"/>
      <c r="M440895" s="472"/>
    </row>
    <row r="440967" spans="12:13" x14ac:dyDescent="0.25">
      <c r="L440967" s="472"/>
      <c r="M440967" s="472"/>
    </row>
    <row r="440968" spans="12:13" x14ac:dyDescent="0.25">
      <c r="L440968" s="472"/>
      <c r="M440968" s="472"/>
    </row>
    <row r="440969" spans="12:13" x14ac:dyDescent="0.25">
      <c r="L440969" s="472"/>
      <c r="M440969" s="472"/>
    </row>
    <row r="441041" spans="12:13" x14ac:dyDescent="0.25">
      <c r="L441041" s="472"/>
      <c r="M441041" s="472"/>
    </row>
    <row r="441042" spans="12:13" x14ac:dyDescent="0.25">
      <c r="L441042" s="472"/>
      <c r="M441042" s="472"/>
    </row>
    <row r="441043" spans="12:13" x14ac:dyDescent="0.25">
      <c r="L441043" s="472"/>
      <c r="M441043" s="472"/>
    </row>
    <row r="441115" spans="12:13" x14ac:dyDescent="0.25">
      <c r="L441115" s="472"/>
      <c r="M441115" s="472"/>
    </row>
    <row r="441116" spans="12:13" x14ac:dyDescent="0.25">
      <c r="L441116" s="472"/>
      <c r="M441116" s="472"/>
    </row>
    <row r="441117" spans="12:13" x14ac:dyDescent="0.25">
      <c r="L441117" s="472"/>
      <c r="M441117" s="472"/>
    </row>
    <row r="441189" spans="12:13" x14ac:dyDescent="0.25">
      <c r="L441189" s="472"/>
      <c r="M441189" s="472"/>
    </row>
    <row r="441190" spans="12:13" x14ac:dyDescent="0.25">
      <c r="L441190" s="472"/>
      <c r="M441190" s="472"/>
    </row>
    <row r="441191" spans="12:13" x14ac:dyDescent="0.25">
      <c r="L441191" s="472"/>
      <c r="M441191" s="472"/>
    </row>
    <row r="441263" spans="12:13" x14ac:dyDescent="0.25">
      <c r="L441263" s="472"/>
      <c r="M441263" s="472"/>
    </row>
    <row r="441264" spans="12:13" x14ac:dyDescent="0.25">
      <c r="L441264" s="472"/>
      <c r="M441264" s="472"/>
    </row>
    <row r="441265" spans="12:13" x14ac:dyDescent="0.25">
      <c r="L441265" s="472"/>
      <c r="M441265" s="472"/>
    </row>
    <row r="441337" spans="12:13" x14ac:dyDescent="0.25">
      <c r="L441337" s="472"/>
      <c r="M441337" s="472"/>
    </row>
    <row r="441338" spans="12:13" x14ac:dyDescent="0.25">
      <c r="L441338" s="472"/>
      <c r="M441338" s="472"/>
    </row>
    <row r="441339" spans="12:13" x14ac:dyDescent="0.25">
      <c r="L441339" s="472"/>
      <c r="M441339" s="472"/>
    </row>
    <row r="441411" spans="12:13" x14ac:dyDescent="0.25">
      <c r="L441411" s="472"/>
      <c r="M441411" s="472"/>
    </row>
    <row r="441412" spans="12:13" x14ac:dyDescent="0.25">
      <c r="L441412" s="472"/>
      <c r="M441412" s="472"/>
    </row>
    <row r="441413" spans="12:13" x14ac:dyDescent="0.25">
      <c r="L441413" s="472"/>
      <c r="M441413" s="472"/>
    </row>
    <row r="441485" spans="12:13" x14ac:dyDescent="0.25">
      <c r="L441485" s="472"/>
      <c r="M441485" s="472"/>
    </row>
    <row r="441486" spans="12:13" x14ac:dyDescent="0.25">
      <c r="L441486" s="472"/>
      <c r="M441486" s="472"/>
    </row>
    <row r="441487" spans="12:13" x14ac:dyDescent="0.25">
      <c r="L441487" s="472"/>
      <c r="M441487" s="472"/>
    </row>
    <row r="441559" spans="12:13" x14ac:dyDescent="0.25">
      <c r="L441559" s="472"/>
      <c r="M441559" s="472"/>
    </row>
    <row r="441560" spans="12:13" x14ac:dyDescent="0.25">
      <c r="L441560" s="472"/>
      <c r="M441560" s="472"/>
    </row>
    <row r="441561" spans="12:13" x14ac:dyDescent="0.25">
      <c r="L441561" s="472"/>
      <c r="M441561" s="472"/>
    </row>
    <row r="441633" spans="12:13" x14ac:dyDescent="0.25">
      <c r="L441633" s="472"/>
      <c r="M441633" s="472"/>
    </row>
    <row r="441634" spans="12:13" x14ac:dyDescent="0.25">
      <c r="L441634" s="472"/>
      <c r="M441634" s="472"/>
    </row>
    <row r="441635" spans="12:13" x14ac:dyDescent="0.25">
      <c r="L441635" s="472"/>
      <c r="M441635" s="472"/>
    </row>
    <row r="441707" spans="12:13" x14ac:dyDescent="0.25">
      <c r="L441707" s="472"/>
      <c r="M441707" s="472"/>
    </row>
    <row r="441708" spans="12:13" x14ac:dyDescent="0.25">
      <c r="L441708" s="472"/>
      <c r="M441708" s="472"/>
    </row>
    <row r="441709" spans="12:13" x14ac:dyDescent="0.25">
      <c r="L441709" s="472"/>
      <c r="M441709" s="472"/>
    </row>
    <row r="441781" spans="12:13" x14ac:dyDescent="0.25">
      <c r="L441781" s="472"/>
      <c r="M441781" s="472"/>
    </row>
    <row r="441782" spans="12:13" x14ac:dyDescent="0.25">
      <c r="L441782" s="472"/>
      <c r="M441782" s="472"/>
    </row>
    <row r="441783" spans="12:13" x14ac:dyDescent="0.25">
      <c r="L441783" s="472"/>
      <c r="M441783" s="472"/>
    </row>
    <row r="441855" spans="12:13" x14ac:dyDescent="0.25">
      <c r="L441855" s="472"/>
      <c r="M441855" s="472"/>
    </row>
    <row r="441856" spans="12:13" x14ac:dyDescent="0.25">
      <c r="L441856" s="472"/>
      <c r="M441856" s="472"/>
    </row>
    <row r="441857" spans="12:13" x14ac:dyDescent="0.25">
      <c r="L441857" s="472"/>
      <c r="M441857" s="472"/>
    </row>
    <row r="441929" spans="12:13" x14ac:dyDescent="0.25">
      <c r="L441929" s="472"/>
      <c r="M441929" s="472"/>
    </row>
    <row r="441930" spans="12:13" x14ac:dyDescent="0.25">
      <c r="L441930" s="472"/>
      <c r="M441930" s="472"/>
    </row>
    <row r="441931" spans="12:13" x14ac:dyDescent="0.25">
      <c r="L441931" s="472"/>
      <c r="M441931" s="472"/>
    </row>
    <row r="442003" spans="12:13" x14ac:dyDescent="0.25">
      <c r="L442003" s="472"/>
      <c r="M442003" s="472"/>
    </row>
    <row r="442004" spans="12:13" x14ac:dyDescent="0.25">
      <c r="L442004" s="472"/>
      <c r="M442004" s="472"/>
    </row>
    <row r="442005" spans="12:13" x14ac:dyDescent="0.25">
      <c r="L442005" s="472"/>
      <c r="M442005" s="472"/>
    </row>
    <row r="442077" spans="12:13" x14ac:dyDescent="0.25">
      <c r="L442077" s="472"/>
      <c r="M442077" s="472"/>
    </row>
    <row r="442078" spans="12:13" x14ac:dyDescent="0.25">
      <c r="L442078" s="472"/>
      <c r="M442078" s="472"/>
    </row>
    <row r="442079" spans="12:13" x14ac:dyDescent="0.25">
      <c r="L442079" s="472"/>
      <c r="M442079" s="472"/>
    </row>
    <row r="442151" spans="12:13" x14ac:dyDescent="0.25">
      <c r="L442151" s="472"/>
      <c r="M442151" s="472"/>
    </row>
    <row r="442152" spans="12:13" x14ac:dyDescent="0.25">
      <c r="L442152" s="472"/>
      <c r="M442152" s="472"/>
    </row>
    <row r="442153" spans="12:13" x14ac:dyDescent="0.25">
      <c r="L442153" s="472"/>
      <c r="M442153" s="472"/>
    </row>
    <row r="442225" spans="12:13" x14ac:dyDescent="0.25">
      <c r="L442225" s="472"/>
      <c r="M442225" s="472"/>
    </row>
    <row r="442226" spans="12:13" x14ac:dyDescent="0.25">
      <c r="L442226" s="472"/>
      <c r="M442226" s="472"/>
    </row>
    <row r="442227" spans="12:13" x14ac:dyDescent="0.25">
      <c r="L442227" s="472"/>
      <c r="M442227" s="472"/>
    </row>
    <row r="442299" spans="12:13" x14ac:dyDescent="0.25">
      <c r="L442299" s="472"/>
      <c r="M442299" s="472"/>
    </row>
    <row r="442300" spans="12:13" x14ac:dyDescent="0.25">
      <c r="L442300" s="472"/>
      <c r="M442300" s="472"/>
    </row>
    <row r="442301" spans="12:13" x14ac:dyDescent="0.25">
      <c r="L442301" s="472"/>
      <c r="M442301" s="472"/>
    </row>
    <row r="442373" spans="12:13" x14ac:dyDescent="0.25">
      <c r="L442373" s="472"/>
      <c r="M442373" s="472"/>
    </row>
    <row r="442374" spans="12:13" x14ac:dyDescent="0.25">
      <c r="L442374" s="472"/>
      <c r="M442374" s="472"/>
    </row>
    <row r="442375" spans="12:13" x14ac:dyDescent="0.25">
      <c r="L442375" s="472"/>
      <c r="M442375" s="472"/>
    </row>
    <row r="442447" spans="12:13" x14ac:dyDescent="0.25">
      <c r="L442447" s="472"/>
      <c r="M442447" s="472"/>
    </row>
    <row r="442448" spans="12:13" x14ac:dyDescent="0.25">
      <c r="L442448" s="472"/>
      <c r="M442448" s="472"/>
    </row>
    <row r="442449" spans="12:13" x14ac:dyDescent="0.25">
      <c r="L442449" s="472"/>
      <c r="M442449" s="472"/>
    </row>
    <row r="442521" spans="12:13" x14ac:dyDescent="0.25">
      <c r="L442521" s="472"/>
      <c r="M442521" s="472"/>
    </row>
    <row r="442522" spans="12:13" x14ac:dyDescent="0.25">
      <c r="L442522" s="472"/>
      <c r="M442522" s="472"/>
    </row>
    <row r="442523" spans="12:13" x14ac:dyDescent="0.25">
      <c r="L442523" s="472"/>
      <c r="M442523" s="472"/>
    </row>
    <row r="442595" spans="12:13" x14ac:dyDescent="0.25">
      <c r="L442595" s="472"/>
      <c r="M442595" s="472"/>
    </row>
    <row r="442596" spans="12:13" x14ac:dyDescent="0.25">
      <c r="L442596" s="472"/>
      <c r="M442596" s="472"/>
    </row>
    <row r="442597" spans="12:13" x14ac:dyDescent="0.25">
      <c r="L442597" s="472"/>
      <c r="M442597" s="472"/>
    </row>
    <row r="442669" spans="12:13" x14ac:dyDescent="0.25">
      <c r="L442669" s="472"/>
      <c r="M442669" s="472"/>
    </row>
    <row r="442670" spans="12:13" x14ac:dyDescent="0.25">
      <c r="L442670" s="472"/>
      <c r="M442670" s="472"/>
    </row>
    <row r="442671" spans="12:13" x14ac:dyDescent="0.25">
      <c r="L442671" s="472"/>
      <c r="M442671" s="472"/>
    </row>
    <row r="442743" spans="12:13" x14ac:dyDescent="0.25">
      <c r="L442743" s="472"/>
      <c r="M442743" s="472"/>
    </row>
    <row r="442744" spans="12:13" x14ac:dyDescent="0.25">
      <c r="L442744" s="472"/>
      <c r="M442744" s="472"/>
    </row>
    <row r="442745" spans="12:13" x14ac:dyDescent="0.25">
      <c r="L442745" s="472"/>
      <c r="M442745" s="472"/>
    </row>
    <row r="442817" spans="12:13" x14ac:dyDescent="0.25">
      <c r="L442817" s="472"/>
      <c r="M442817" s="472"/>
    </row>
    <row r="442818" spans="12:13" x14ac:dyDescent="0.25">
      <c r="L442818" s="472"/>
      <c r="M442818" s="472"/>
    </row>
    <row r="442819" spans="12:13" x14ac:dyDescent="0.25">
      <c r="L442819" s="472"/>
      <c r="M442819" s="472"/>
    </row>
    <row r="442891" spans="12:13" x14ac:dyDescent="0.25">
      <c r="L442891" s="472"/>
      <c r="M442891" s="472"/>
    </row>
    <row r="442892" spans="12:13" x14ac:dyDescent="0.25">
      <c r="L442892" s="472"/>
      <c r="M442892" s="472"/>
    </row>
    <row r="442893" spans="12:13" x14ac:dyDescent="0.25">
      <c r="L442893" s="472"/>
      <c r="M442893" s="472"/>
    </row>
    <row r="442965" spans="12:13" x14ac:dyDescent="0.25">
      <c r="L442965" s="472"/>
      <c r="M442965" s="472"/>
    </row>
    <row r="442966" spans="12:13" x14ac:dyDescent="0.25">
      <c r="L442966" s="472"/>
      <c r="M442966" s="472"/>
    </row>
    <row r="442967" spans="12:13" x14ac:dyDescent="0.25">
      <c r="L442967" s="472"/>
      <c r="M442967" s="472"/>
    </row>
    <row r="443039" spans="12:13" x14ac:dyDescent="0.25">
      <c r="L443039" s="472"/>
      <c r="M443039" s="472"/>
    </row>
    <row r="443040" spans="12:13" x14ac:dyDescent="0.25">
      <c r="L443040" s="472"/>
      <c r="M443040" s="472"/>
    </row>
    <row r="443041" spans="12:13" x14ac:dyDescent="0.25">
      <c r="L443041" s="472"/>
      <c r="M443041" s="472"/>
    </row>
    <row r="443113" spans="12:13" x14ac:dyDescent="0.25">
      <c r="L443113" s="472"/>
      <c r="M443113" s="472"/>
    </row>
    <row r="443114" spans="12:13" x14ac:dyDescent="0.25">
      <c r="L443114" s="472"/>
      <c r="M443114" s="472"/>
    </row>
    <row r="443115" spans="12:13" x14ac:dyDescent="0.25">
      <c r="L443115" s="472"/>
      <c r="M443115" s="472"/>
    </row>
    <row r="443187" spans="12:13" x14ac:dyDescent="0.25">
      <c r="L443187" s="472"/>
      <c r="M443187" s="472"/>
    </row>
    <row r="443188" spans="12:13" x14ac:dyDescent="0.25">
      <c r="L443188" s="472"/>
      <c r="M443188" s="472"/>
    </row>
    <row r="443189" spans="12:13" x14ac:dyDescent="0.25">
      <c r="L443189" s="472"/>
      <c r="M443189" s="472"/>
    </row>
    <row r="443261" spans="12:13" x14ac:dyDescent="0.25">
      <c r="L443261" s="472"/>
      <c r="M443261" s="472"/>
    </row>
    <row r="443262" spans="12:13" x14ac:dyDescent="0.25">
      <c r="L443262" s="472"/>
      <c r="M443262" s="472"/>
    </row>
    <row r="443263" spans="12:13" x14ac:dyDescent="0.25">
      <c r="L443263" s="472"/>
      <c r="M443263" s="472"/>
    </row>
    <row r="443335" spans="12:13" x14ac:dyDescent="0.25">
      <c r="L443335" s="472"/>
      <c r="M443335" s="472"/>
    </row>
    <row r="443336" spans="12:13" x14ac:dyDescent="0.25">
      <c r="L443336" s="472"/>
      <c r="M443336" s="472"/>
    </row>
    <row r="443337" spans="12:13" x14ac:dyDescent="0.25">
      <c r="L443337" s="472"/>
      <c r="M443337" s="472"/>
    </row>
    <row r="443409" spans="12:13" x14ac:dyDescent="0.25">
      <c r="L443409" s="472"/>
      <c r="M443409" s="472"/>
    </row>
    <row r="443410" spans="12:13" x14ac:dyDescent="0.25">
      <c r="L443410" s="472"/>
      <c r="M443410" s="472"/>
    </row>
    <row r="443411" spans="12:13" x14ac:dyDescent="0.25">
      <c r="L443411" s="472"/>
      <c r="M443411" s="472"/>
    </row>
    <row r="443483" spans="12:13" x14ac:dyDescent="0.25">
      <c r="L443483" s="472"/>
      <c r="M443483" s="472"/>
    </row>
    <row r="443484" spans="12:13" x14ac:dyDescent="0.25">
      <c r="L443484" s="472"/>
      <c r="M443484" s="472"/>
    </row>
    <row r="443485" spans="12:13" x14ac:dyDescent="0.25">
      <c r="L443485" s="472"/>
      <c r="M443485" s="472"/>
    </row>
    <row r="443557" spans="12:13" x14ac:dyDescent="0.25">
      <c r="L443557" s="472"/>
      <c r="M443557" s="472"/>
    </row>
    <row r="443558" spans="12:13" x14ac:dyDescent="0.25">
      <c r="L443558" s="472"/>
      <c r="M443558" s="472"/>
    </row>
    <row r="443559" spans="12:13" x14ac:dyDescent="0.25">
      <c r="L443559" s="472"/>
      <c r="M443559" s="472"/>
    </row>
    <row r="443631" spans="12:13" x14ac:dyDescent="0.25">
      <c r="L443631" s="472"/>
      <c r="M443631" s="472"/>
    </row>
    <row r="443632" spans="12:13" x14ac:dyDescent="0.25">
      <c r="L443632" s="472"/>
      <c r="M443632" s="472"/>
    </row>
    <row r="443633" spans="12:13" x14ac:dyDescent="0.25">
      <c r="L443633" s="472"/>
      <c r="M443633" s="472"/>
    </row>
    <row r="443705" spans="12:13" x14ac:dyDescent="0.25">
      <c r="L443705" s="472"/>
      <c r="M443705" s="472"/>
    </row>
    <row r="443706" spans="12:13" x14ac:dyDescent="0.25">
      <c r="L443706" s="472"/>
      <c r="M443706" s="472"/>
    </row>
    <row r="443707" spans="12:13" x14ac:dyDescent="0.25">
      <c r="L443707" s="472"/>
      <c r="M443707" s="472"/>
    </row>
    <row r="443779" spans="12:13" x14ac:dyDescent="0.25">
      <c r="L443779" s="472"/>
      <c r="M443779" s="472"/>
    </row>
    <row r="443780" spans="12:13" x14ac:dyDescent="0.25">
      <c r="L443780" s="472"/>
      <c r="M443780" s="472"/>
    </row>
    <row r="443781" spans="12:13" x14ac:dyDescent="0.25">
      <c r="L443781" s="472"/>
      <c r="M443781" s="472"/>
    </row>
    <row r="443853" spans="12:13" x14ac:dyDescent="0.25">
      <c r="L443853" s="472"/>
      <c r="M443853" s="472"/>
    </row>
    <row r="443854" spans="12:13" x14ac:dyDescent="0.25">
      <c r="L443854" s="472"/>
      <c r="M443854" s="472"/>
    </row>
    <row r="443855" spans="12:13" x14ac:dyDescent="0.25">
      <c r="L443855" s="472"/>
      <c r="M443855" s="472"/>
    </row>
    <row r="443927" spans="12:13" x14ac:dyDescent="0.25">
      <c r="L443927" s="472"/>
      <c r="M443927" s="472"/>
    </row>
    <row r="443928" spans="12:13" x14ac:dyDescent="0.25">
      <c r="L443928" s="472"/>
      <c r="M443928" s="472"/>
    </row>
    <row r="443929" spans="12:13" x14ac:dyDescent="0.25">
      <c r="L443929" s="472"/>
      <c r="M443929" s="472"/>
    </row>
    <row r="444001" spans="12:13" x14ac:dyDescent="0.25">
      <c r="L444001" s="472"/>
      <c r="M444001" s="472"/>
    </row>
    <row r="444002" spans="12:13" x14ac:dyDescent="0.25">
      <c r="L444002" s="472"/>
      <c r="M444002" s="472"/>
    </row>
    <row r="444003" spans="12:13" x14ac:dyDescent="0.25">
      <c r="L444003" s="472"/>
      <c r="M444003" s="472"/>
    </row>
    <row r="444075" spans="12:13" x14ac:dyDescent="0.25">
      <c r="L444075" s="472"/>
      <c r="M444075" s="472"/>
    </row>
    <row r="444076" spans="12:13" x14ac:dyDescent="0.25">
      <c r="L444076" s="472"/>
      <c r="M444076" s="472"/>
    </row>
    <row r="444077" spans="12:13" x14ac:dyDescent="0.25">
      <c r="L444077" s="472"/>
      <c r="M444077" s="472"/>
    </row>
    <row r="444149" spans="12:13" x14ac:dyDescent="0.25">
      <c r="L444149" s="472"/>
      <c r="M444149" s="472"/>
    </row>
    <row r="444150" spans="12:13" x14ac:dyDescent="0.25">
      <c r="L444150" s="472"/>
      <c r="M444150" s="472"/>
    </row>
    <row r="444151" spans="12:13" x14ac:dyDescent="0.25">
      <c r="L444151" s="472"/>
      <c r="M444151" s="472"/>
    </row>
    <row r="444223" spans="12:13" x14ac:dyDescent="0.25">
      <c r="L444223" s="472"/>
      <c r="M444223" s="472"/>
    </row>
    <row r="444224" spans="12:13" x14ac:dyDescent="0.25">
      <c r="L444224" s="472"/>
      <c r="M444224" s="472"/>
    </row>
    <row r="444225" spans="12:13" x14ac:dyDescent="0.25">
      <c r="L444225" s="472"/>
      <c r="M444225" s="472"/>
    </row>
    <row r="444297" spans="12:13" x14ac:dyDescent="0.25">
      <c r="L444297" s="472"/>
      <c r="M444297" s="472"/>
    </row>
    <row r="444298" spans="12:13" x14ac:dyDescent="0.25">
      <c r="L444298" s="472"/>
      <c r="M444298" s="472"/>
    </row>
    <row r="444299" spans="12:13" x14ac:dyDescent="0.25">
      <c r="L444299" s="472"/>
      <c r="M444299" s="472"/>
    </row>
    <row r="444371" spans="12:13" x14ac:dyDescent="0.25">
      <c r="L444371" s="472"/>
      <c r="M444371" s="472"/>
    </row>
    <row r="444372" spans="12:13" x14ac:dyDescent="0.25">
      <c r="L444372" s="472"/>
      <c r="M444372" s="472"/>
    </row>
    <row r="444373" spans="12:13" x14ac:dyDescent="0.25">
      <c r="L444373" s="472"/>
      <c r="M444373" s="472"/>
    </row>
    <row r="444445" spans="12:13" x14ac:dyDescent="0.25">
      <c r="L444445" s="472"/>
      <c r="M444445" s="472"/>
    </row>
    <row r="444446" spans="12:13" x14ac:dyDescent="0.25">
      <c r="L444446" s="472"/>
      <c r="M444446" s="472"/>
    </row>
    <row r="444447" spans="12:13" x14ac:dyDescent="0.25">
      <c r="L444447" s="472"/>
      <c r="M444447" s="472"/>
    </row>
    <row r="444519" spans="12:13" x14ac:dyDescent="0.25">
      <c r="L444519" s="472"/>
      <c r="M444519" s="472"/>
    </row>
    <row r="444520" spans="12:13" x14ac:dyDescent="0.25">
      <c r="L444520" s="472"/>
      <c r="M444520" s="472"/>
    </row>
    <row r="444521" spans="12:13" x14ac:dyDescent="0.25">
      <c r="L444521" s="472"/>
      <c r="M444521" s="472"/>
    </row>
    <row r="444593" spans="12:13" x14ac:dyDescent="0.25">
      <c r="L444593" s="472"/>
      <c r="M444593" s="472"/>
    </row>
    <row r="444594" spans="12:13" x14ac:dyDescent="0.25">
      <c r="L444594" s="472"/>
      <c r="M444594" s="472"/>
    </row>
    <row r="444595" spans="12:13" x14ac:dyDescent="0.25">
      <c r="L444595" s="472"/>
      <c r="M444595" s="472"/>
    </row>
    <row r="444667" spans="12:13" x14ac:dyDescent="0.25">
      <c r="L444667" s="472"/>
      <c r="M444667" s="472"/>
    </row>
    <row r="444668" spans="12:13" x14ac:dyDescent="0.25">
      <c r="L444668" s="472"/>
      <c r="M444668" s="472"/>
    </row>
    <row r="444669" spans="12:13" x14ac:dyDescent="0.25">
      <c r="L444669" s="472"/>
      <c r="M444669" s="472"/>
    </row>
    <row r="444741" spans="12:13" x14ac:dyDescent="0.25">
      <c r="L444741" s="472"/>
      <c r="M444741" s="472"/>
    </row>
    <row r="444742" spans="12:13" x14ac:dyDescent="0.25">
      <c r="L444742" s="472"/>
      <c r="M444742" s="472"/>
    </row>
    <row r="444743" spans="12:13" x14ac:dyDescent="0.25">
      <c r="L444743" s="472"/>
      <c r="M444743" s="472"/>
    </row>
    <row r="444815" spans="12:13" x14ac:dyDescent="0.25">
      <c r="L444815" s="472"/>
      <c r="M444815" s="472"/>
    </row>
    <row r="444816" spans="12:13" x14ac:dyDescent="0.25">
      <c r="L444816" s="472"/>
      <c r="M444816" s="472"/>
    </row>
    <row r="444817" spans="12:13" x14ac:dyDescent="0.25">
      <c r="L444817" s="472"/>
      <c r="M444817" s="472"/>
    </row>
    <row r="444889" spans="12:13" x14ac:dyDescent="0.25">
      <c r="L444889" s="472"/>
      <c r="M444889" s="472"/>
    </row>
    <row r="444890" spans="12:13" x14ac:dyDescent="0.25">
      <c r="L444890" s="472"/>
      <c r="M444890" s="472"/>
    </row>
    <row r="444891" spans="12:13" x14ac:dyDescent="0.25">
      <c r="L444891" s="472"/>
      <c r="M444891" s="472"/>
    </row>
    <row r="444963" spans="12:13" x14ac:dyDescent="0.25">
      <c r="L444963" s="472"/>
      <c r="M444963" s="472"/>
    </row>
    <row r="444964" spans="12:13" x14ac:dyDescent="0.25">
      <c r="L444964" s="472"/>
      <c r="M444964" s="472"/>
    </row>
    <row r="444965" spans="12:13" x14ac:dyDescent="0.25">
      <c r="L444965" s="472"/>
      <c r="M444965" s="472"/>
    </row>
    <row r="445037" spans="12:13" x14ac:dyDescent="0.25">
      <c r="L445037" s="472"/>
      <c r="M445037" s="472"/>
    </row>
    <row r="445038" spans="12:13" x14ac:dyDescent="0.25">
      <c r="L445038" s="472"/>
      <c r="M445038" s="472"/>
    </row>
    <row r="445039" spans="12:13" x14ac:dyDescent="0.25">
      <c r="L445039" s="472"/>
      <c r="M445039" s="472"/>
    </row>
    <row r="445111" spans="12:13" x14ac:dyDescent="0.25">
      <c r="L445111" s="472"/>
      <c r="M445111" s="472"/>
    </row>
    <row r="445112" spans="12:13" x14ac:dyDescent="0.25">
      <c r="L445112" s="472"/>
      <c r="M445112" s="472"/>
    </row>
    <row r="445113" spans="12:13" x14ac:dyDescent="0.25">
      <c r="L445113" s="472"/>
      <c r="M445113" s="472"/>
    </row>
    <row r="445185" spans="12:13" x14ac:dyDescent="0.25">
      <c r="L445185" s="472"/>
      <c r="M445185" s="472"/>
    </row>
    <row r="445186" spans="12:13" x14ac:dyDescent="0.25">
      <c r="L445186" s="472"/>
      <c r="M445186" s="472"/>
    </row>
    <row r="445187" spans="12:13" x14ac:dyDescent="0.25">
      <c r="L445187" s="472"/>
      <c r="M445187" s="472"/>
    </row>
    <row r="445259" spans="12:13" x14ac:dyDescent="0.25">
      <c r="L445259" s="472"/>
      <c r="M445259" s="472"/>
    </row>
    <row r="445260" spans="12:13" x14ac:dyDescent="0.25">
      <c r="L445260" s="472"/>
      <c r="M445260" s="472"/>
    </row>
    <row r="445261" spans="12:13" x14ac:dyDescent="0.25">
      <c r="L445261" s="472"/>
      <c r="M445261" s="472"/>
    </row>
    <row r="445333" spans="12:13" x14ac:dyDescent="0.25">
      <c r="L445333" s="472"/>
      <c r="M445333" s="472"/>
    </row>
    <row r="445334" spans="12:13" x14ac:dyDescent="0.25">
      <c r="L445334" s="472"/>
      <c r="M445334" s="472"/>
    </row>
    <row r="445335" spans="12:13" x14ac:dyDescent="0.25">
      <c r="L445335" s="472"/>
      <c r="M445335" s="472"/>
    </row>
    <row r="445407" spans="12:13" x14ac:dyDescent="0.25">
      <c r="L445407" s="472"/>
      <c r="M445407" s="472"/>
    </row>
    <row r="445408" spans="12:13" x14ac:dyDescent="0.25">
      <c r="L445408" s="472"/>
      <c r="M445408" s="472"/>
    </row>
    <row r="445409" spans="12:13" x14ac:dyDescent="0.25">
      <c r="L445409" s="472"/>
      <c r="M445409" s="472"/>
    </row>
    <row r="445481" spans="12:13" x14ac:dyDescent="0.25">
      <c r="L445481" s="472"/>
      <c r="M445481" s="472"/>
    </row>
    <row r="445482" spans="12:13" x14ac:dyDescent="0.25">
      <c r="L445482" s="472"/>
      <c r="M445482" s="472"/>
    </row>
    <row r="445483" spans="12:13" x14ac:dyDescent="0.25">
      <c r="L445483" s="472"/>
      <c r="M445483" s="472"/>
    </row>
    <row r="445555" spans="12:13" x14ac:dyDescent="0.25">
      <c r="L445555" s="472"/>
      <c r="M445555" s="472"/>
    </row>
    <row r="445556" spans="12:13" x14ac:dyDescent="0.25">
      <c r="L445556" s="472"/>
      <c r="M445556" s="472"/>
    </row>
    <row r="445557" spans="12:13" x14ac:dyDescent="0.25">
      <c r="L445557" s="472"/>
      <c r="M445557" s="472"/>
    </row>
    <row r="445629" spans="12:13" x14ac:dyDescent="0.25">
      <c r="L445629" s="472"/>
      <c r="M445629" s="472"/>
    </row>
    <row r="445630" spans="12:13" x14ac:dyDescent="0.25">
      <c r="L445630" s="472"/>
      <c r="M445630" s="472"/>
    </row>
    <row r="445631" spans="12:13" x14ac:dyDescent="0.25">
      <c r="L445631" s="472"/>
      <c r="M445631" s="472"/>
    </row>
    <row r="445703" spans="12:13" x14ac:dyDescent="0.25">
      <c r="L445703" s="472"/>
      <c r="M445703" s="472"/>
    </row>
    <row r="445704" spans="12:13" x14ac:dyDescent="0.25">
      <c r="L445704" s="472"/>
      <c r="M445704" s="472"/>
    </row>
    <row r="445705" spans="12:13" x14ac:dyDescent="0.25">
      <c r="L445705" s="472"/>
      <c r="M445705" s="472"/>
    </row>
    <row r="445777" spans="12:13" x14ac:dyDescent="0.25">
      <c r="L445777" s="472"/>
      <c r="M445777" s="472"/>
    </row>
    <row r="445778" spans="12:13" x14ac:dyDescent="0.25">
      <c r="L445778" s="472"/>
      <c r="M445778" s="472"/>
    </row>
    <row r="445779" spans="12:13" x14ac:dyDescent="0.25">
      <c r="L445779" s="472"/>
      <c r="M445779" s="472"/>
    </row>
    <row r="445851" spans="12:13" x14ac:dyDescent="0.25">
      <c r="L445851" s="472"/>
      <c r="M445851" s="472"/>
    </row>
    <row r="445852" spans="12:13" x14ac:dyDescent="0.25">
      <c r="L445852" s="472"/>
      <c r="M445852" s="472"/>
    </row>
    <row r="445853" spans="12:13" x14ac:dyDescent="0.25">
      <c r="L445853" s="472"/>
      <c r="M445853" s="472"/>
    </row>
    <row r="445925" spans="12:13" x14ac:dyDescent="0.25">
      <c r="L445925" s="472"/>
      <c r="M445925" s="472"/>
    </row>
    <row r="445926" spans="12:13" x14ac:dyDescent="0.25">
      <c r="L445926" s="472"/>
      <c r="M445926" s="472"/>
    </row>
    <row r="445927" spans="12:13" x14ac:dyDescent="0.25">
      <c r="L445927" s="472"/>
      <c r="M445927" s="472"/>
    </row>
    <row r="445999" spans="12:13" x14ac:dyDescent="0.25">
      <c r="L445999" s="472"/>
      <c r="M445999" s="472"/>
    </row>
    <row r="446000" spans="12:13" x14ac:dyDescent="0.25">
      <c r="L446000" s="472"/>
      <c r="M446000" s="472"/>
    </row>
    <row r="446001" spans="12:13" x14ac:dyDescent="0.25">
      <c r="L446001" s="472"/>
      <c r="M446001" s="472"/>
    </row>
    <row r="446073" spans="12:13" x14ac:dyDescent="0.25">
      <c r="L446073" s="472"/>
      <c r="M446073" s="472"/>
    </row>
    <row r="446074" spans="12:13" x14ac:dyDescent="0.25">
      <c r="L446074" s="472"/>
      <c r="M446074" s="472"/>
    </row>
    <row r="446075" spans="12:13" x14ac:dyDescent="0.25">
      <c r="L446075" s="472"/>
      <c r="M446075" s="472"/>
    </row>
    <row r="446147" spans="12:13" x14ac:dyDescent="0.25">
      <c r="L446147" s="472"/>
      <c r="M446147" s="472"/>
    </row>
    <row r="446148" spans="12:13" x14ac:dyDescent="0.25">
      <c r="L446148" s="472"/>
      <c r="M446148" s="472"/>
    </row>
    <row r="446149" spans="12:13" x14ac:dyDescent="0.25">
      <c r="L446149" s="472"/>
      <c r="M446149" s="472"/>
    </row>
    <row r="446221" spans="12:13" x14ac:dyDescent="0.25">
      <c r="L446221" s="472"/>
      <c r="M446221" s="472"/>
    </row>
    <row r="446222" spans="12:13" x14ac:dyDescent="0.25">
      <c r="L446222" s="472"/>
      <c r="M446222" s="472"/>
    </row>
    <row r="446223" spans="12:13" x14ac:dyDescent="0.25">
      <c r="L446223" s="472"/>
      <c r="M446223" s="472"/>
    </row>
    <row r="446295" spans="12:13" x14ac:dyDescent="0.25">
      <c r="L446295" s="472"/>
      <c r="M446295" s="472"/>
    </row>
    <row r="446296" spans="12:13" x14ac:dyDescent="0.25">
      <c r="L446296" s="472"/>
      <c r="M446296" s="472"/>
    </row>
    <row r="446297" spans="12:13" x14ac:dyDescent="0.25">
      <c r="L446297" s="472"/>
      <c r="M446297" s="472"/>
    </row>
    <row r="446369" spans="12:13" x14ac:dyDescent="0.25">
      <c r="L446369" s="472"/>
      <c r="M446369" s="472"/>
    </row>
    <row r="446370" spans="12:13" x14ac:dyDescent="0.25">
      <c r="L446370" s="472"/>
      <c r="M446370" s="472"/>
    </row>
    <row r="446371" spans="12:13" x14ac:dyDescent="0.25">
      <c r="L446371" s="472"/>
      <c r="M446371" s="472"/>
    </row>
    <row r="446443" spans="12:13" x14ac:dyDescent="0.25">
      <c r="L446443" s="472"/>
      <c r="M446443" s="472"/>
    </row>
    <row r="446444" spans="12:13" x14ac:dyDescent="0.25">
      <c r="L446444" s="472"/>
      <c r="M446444" s="472"/>
    </row>
    <row r="446445" spans="12:13" x14ac:dyDescent="0.25">
      <c r="L446445" s="472"/>
      <c r="M446445" s="472"/>
    </row>
    <row r="446517" spans="12:13" x14ac:dyDescent="0.25">
      <c r="L446517" s="472"/>
      <c r="M446517" s="472"/>
    </row>
    <row r="446518" spans="12:13" x14ac:dyDescent="0.25">
      <c r="L446518" s="472"/>
      <c r="M446518" s="472"/>
    </row>
    <row r="446519" spans="12:13" x14ac:dyDescent="0.25">
      <c r="L446519" s="472"/>
      <c r="M446519" s="472"/>
    </row>
    <row r="446591" spans="12:13" x14ac:dyDescent="0.25">
      <c r="L446591" s="472"/>
      <c r="M446591" s="472"/>
    </row>
    <row r="446592" spans="12:13" x14ac:dyDescent="0.25">
      <c r="L446592" s="472"/>
      <c r="M446592" s="472"/>
    </row>
    <row r="446593" spans="12:13" x14ac:dyDescent="0.25">
      <c r="L446593" s="472"/>
      <c r="M446593" s="472"/>
    </row>
    <row r="446665" spans="12:13" x14ac:dyDescent="0.25">
      <c r="L446665" s="472"/>
      <c r="M446665" s="472"/>
    </row>
    <row r="446666" spans="12:13" x14ac:dyDescent="0.25">
      <c r="L446666" s="472"/>
      <c r="M446666" s="472"/>
    </row>
    <row r="446667" spans="12:13" x14ac:dyDescent="0.25">
      <c r="L446667" s="472"/>
      <c r="M446667" s="472"/>
    </row>
    <row r="446739" spans="12:13" x14ac:dyDescent="0.25">
      <c r="L446739" s="472"/>
      <c r="M446739" s="472"/>
    </row>
    <row r="446740" spans="12:13" x14ac:dyDescent="0.25">
      <c r="L446740" s="472"/>
      <c r="M446740" s="472"/>
    </row>
    <row r="446741" spans="12:13" x14ac:dyDescent="0.25">
      <c r="L446741" s="472"/>
      <c r="M446741" s="472"/>
    </row>
    <row r="446813" spans="12:13" x14ac:dyDescent="0.25">
      <c r="L446813" s="472"/>
      <c r="M446813" s="472"/>
    </row>
    <row r="446814" spans="12:13" x14ac:dyDescent="0.25">
      <c r="L446814" s="472"/>
      <c r="M446814" s="472"/>
    </row>
    <row r="446815" spans="12:13" x14ac:dyDescent="0.25">
      <c r="L446815" s="472"/>
      <c r="M446815" s="472"/>
    </row>
    <row r="446887" spans="12:13" x14ac:dyDescent="0.25">
      <c r="L446887" s="472"/>
      <c r="M446887" s="472"/>
    </row>
    <row r="446888" spans="12:13" x14ac:dyDescent="0.25">
      <c r="L446888" s="472"/>
      <c r="M446888" s="472"/>
    </row>
    <row r="446889" spans="12:13" x14ac:dyDescent="0.25">
      <c r="L446889" s="472"/>
      <c r="M446889" s="472"/>
    </row>
    <row r="446961" spans="12:13" x14ac:dyDescent="0.25">
      <c r="L446961" s="472"/>
      <c r="M446961" s="472"/>
    </row>
    <row r="446962" spans="12:13" x14ac:dyDescent="0.25">
      <c r="L446962" s="472"/>
      <c r="M446962" s="472"/>
    </row>
    <row r="446963" spans="12:13" x14ac:dyDescent="0.25">
      <c r="L446963" s="472"/>
      <c r="M446963" s="472"/>
    </row>
    <row r="447035" spans="12:13" x14ac:dyDescent="0.25">
      <c r="L447035" s="472"/>
      <c r="M447035" s="472"/>
    </row>
    <row r="447036" spans="12:13" x14ac:dyDescent="0.25">
      <c r="L447036" s="472"/>
      <c r="M447036" s="472"/>
    </row>
    <row r="447037" spans="12:13" x14ac:dyDescent="0.25">
      <c r="L447037" s="472"/>
      <c r="M447037" s="472"/>
    </row>
    <row r="447109" spans="12:13" x14ac:dyDescent="0.25">
      <c r="L447109" s="472"/>
      <c r="M447109" s="472"/>
    </row>
    <row r="447110" spans="12:13" x14ac:dyDescent="0.25">
      <c r="L447110" s="472"/>
      <c r="M447110" s="472"/>
    </row>
    <row r="447111" spans="12:13" x14ac:dyDescent="0.25">
      <c r="L447111" s="472"/>
      <c r="M447111" s="472"/>
    </row>
    <row r="447183" spans="12:13" x14ac:dyDescent="0.25">
      <c r="L447183" s="472"/>
      <c r="M447183" s="472"/>
    </row>
    <row r="447184" spans="12:13" x14ac:dyDescent="0.25">
      <c r="L447184" s="472"/>
      <c r="M447184" s="472"/>
    </row>
    <row r="447185" spans="12:13" x14ac:dyDescent="0.25">
      <c r="L447185" s="472"/>
      <c r="M447185" s="472"/>
    </row>
    <row r="447257" spans="12:13" x14ac:dyDescent="0.25">
      <c r="L447257" s="472"/>
      <c r="M447257" s="472"/>
    </row>
    <row r="447258" spans="12:13" x14ac:dyDescent="0.25">
      <c r="L447258" s="472"/>
      <c r="M447258" s="472"/>
    </row>
    <row r="447259" spans="12:13" x14ac:dyDescent="0.25">
      <c r="L447259" s="472"/>
      <c r="M447259" s="472"/>
    </row>
    <row r="447331" spans="12:13" x14ac:dyDescent="0.25">
      <c r="L447331" s="472"/>
      <c r="M447331" s="472"/>
    </row>
    <row r="447332" spans="12:13" x14ac:dyDescent="0.25">
      <c r="L447332" s="472"/>
      <c r="M447332" s="472"/>
    </row>
    <row r="447333" spans="12:13" x14ac:dyDescent="0.25">
      <c r="L447333" s="472"/>
      <c r="M447333" s="472"/>
    </row>
    <row r="447405" spans="12:13" x14ac:dyDescent="0.25">
      <c r="L447405" s="472"/>
      <c r="M447405" s="472"/>
    </row>
    <row r="447406" spans="12:13" x14ac:dyDescent="0.25">
      <c r="L447406" s="472"/>
      <c r="M447406" s="472"/>
    </row>
    <row r="447407" spans="12:13" x14ac:dyDescent="0.25">
      <c r="L447407" s="472"/>
      <c r="M447407" s="472"/>
    </row>
    <row r="447479" spans="12:13" x14ac:dyDescent="0.25">
      <c r="L447479" s="472"/>
      <c r="M447479" s="472"/>
    </row>
    <row r="447480" spans="12:13" x14ac:dyDescent="0.25">
      <c r="L447480" s="472"/>
      <c r="M447480" s="472"/>
    </row>
    <row r="447481" spans="12:13" x14ac:dyDescent="0.25">
      <c r="L447481" s="472"/>
      <c r="M447481" s="472"/>
    </row>
    <row r="447553" spans="12:13" x14ac:dyDescent="0.25">
      <c r="L447553" s="472"/>
      <c r="M447553" s="472"/>
    </row>
    <row r="447554" spans="12:13" x14ac:dyDescent="0.25">
      <c r="L447554" s="472"/>
      <c r="M447554" s="472"/>
    </row>
    <row r="447555" spans="12:13" x14ac:dyDescent="0.25">
      <c r="L447555" s="472"/>
      <c r="M447555" s="472"/>
    </row>
    <row r="447627" spans="12:13" x14ac:dyDescent="0.25">
      <c r="L447627" s="472"/>
      <c r="M447627" s="472"/>
    </row>
    <row r="447628" spans="12:13" x14ac:dyDescent="0.25">
      <c r="L447628" s="472"/>
      <c r="M447628" s="472"/>
    </row>
    <row r="447629" spans="12:13" x14ac:dyDescent="0.25">
      <c r="L447629" s="472"/>
      <c r="M447629" s="472"/>
    </row>
    <row r="447701" spans="12:13" x14ac:dyDescent="0.25">
      <c r="L447701" s="472"/>
      <c r="M447701" s="472"/>
    </row>
    <row r="447702" spans="12:13" x14ac:dyDescent="0.25">
      <c r="L447702" s="472"/>
      <c r="M447702" s="472"/>
    </row>
    <row r="447703" spans="12:13" x14ac:dyDescent="0.25">
      <c r="L447703" s="472"/>
      <c r="M447703" s="472"/>
    </row>
    <row r="447775" spans="12:13" x14ac:dyDescent="0.25">
      <c r="L447775" s="472"/>
      <c r="M447775" s="472"/>
    </row>
    <row r="447776" spans="12:13" x14ac:dyDescent="0.25">
      <c r="L447776" s="472"/>
      <c r="M447776" s="472"/>
    </row>
    <row r="447777" spans="12:13" x14ac:dyDescent="0.25">
      <c r="L447777" s="472"/>
      <c r="M447777" s="472"/>
    </row>
    <row r="447849" spans="12:13" x14ac:dyDescent="0.25">
      <c r="L447849" s="472"/>
      <c r="M447849" s="472"/>
    </row>
    <row r="447850" spans="12:13" x14ac:dyDescent="0.25">
      <c r="L447850" s="472"/>
      <c r="M447850" s="472"/>
    </row>
    <row r="447851" spans="12:13" x14ac:dyDescent="0.25">
      <c r="L447851" s="472"/>
      <c r="M447851" s="472"/>
    </row>
    <row r="447923" spans="12:13" x14ac:dyDescent="0.25">
      <c r="L447923" s="472"/>
      <c r="M447923" s="472"/>
    </row>
    <row r="447924" spans="12:13" x14ac:dyDescent="0.25">
      <c r="L447924" s="472"/>
      <c r="M447924" s="472"/>
    </row>
    <row r="447925" spans="12:13" x14ac:dyDescent="0.25">
      <c r="L447925" s="472"/>
      <c r="M447925" s="472"/>
    </row>
    <row r="447997" spans="12:13" x14ac:dyDescent="0.25">
      <c r="L447997" s="472"/>
      <c r="M447997" s="472"/>
    </row>
    <row r="447998" spans="12:13" x14ac:dyDescent="0.25">
      <c r="L447998" s="472"/>
      <c r="M447998" s="472"/>
    </row>
    <row r="447999" spans="12:13" x14ac:dyDescent="0.25">
      <c r="L447999" s="472"/>
      <c r="M447999" s="472"/>
    </row>
    <row r="448071" spans="12:13" x14ac:dyDescent="0.25">
      <c r="L448071" s="472"/>
      <c r="M448071" s="472"/>
    </row>
    <row r="448072" spans="12:13" x14ac:dyDescent="0.25">
      <c r="L448072" s="472"/>
      <c r="M448072" s="472"/>
    </row>
    <row r="448073" spans="12:13" x14ac:dyDescent="0.25">
      <c r="L448073" s="472"/>
      <c r="M448073" s="472"/>
    </row>
    <row r="448145" spans="12:13" x14ac:dyDescent="0.25">
      <c r="L448145" s="472"/>
      <c r="M448145" s="472"/>
    </row>
    <row r="448146" spans="12:13" x14ac:dyDescent="0.25">
      <c r="L448146" s="472"/>
      <c r="M448146" s="472"/>
    </row>
    <row r="448147" spans="12:13" x14ac:dyDescent="0.25">
      <c r="L448147" s="472"/>
      <c r="M448147" s="472"/>
    </row>
    <row r="448219" spans="12:13" x14ac:dyDescent="0.25">
      <c r="L448219" s="472"/>
      <c r="M448219" s="472"/>
    </row>
    <row r="448220" spans="12:13" x14ac:dyDescent="0.25">
      <c r="L448220" s="472"/>
      <c r="M448220" s="472"/>
    </row>
    <row r="448221" spans="12:13" x14ac:dyDescent="0.25">
      <c r="L448221" s="472"/>
      <c r="M448221" s="472"/>
    </row>
    <row r="448293" spans="12:13" x14ac:dyDescent="0.25">
      <c r="L448293" s="472"/>
      <c r="M448293" s="472"/>
    </row>
    <row r="448294" spans="12:13" x14ac:dyDescent="0.25">
      <c r="L448294" s="472"/>
      <c r="M448294" s="472"/>
    </row>
    <row r="448295" spans="12:13" x14ac:dyDescent="0.25">
      <c r="L448295" s="472"/>
      <c r="M448295" s="472"/>
    </row>
    <row r="448367" spans="12:13" x14ac:dyDescent="0.25">
      <c r="L448367" s="472"/>
      <c r="M448367" s="472"/>
    </row>
    <row r="448368" spans="12:13" x14ac:dyDescent="0.25">
      <c r="L448368" s="472"/>
      <c r="M448368" s="472"/>
    </row>
    <row r="448369" spans="12:13" x14ac:dyDescent="0.25">
      <c r="L448369" s="472"/>
      <c r="M448369" s="472"/>
    </row>
    <row r="448441" spans="12:13" x14ac:dyDescent="0.25">
      <c r="L448441" s="472"/>
      <c r="M448441" s="472"/>
    </row>
    <row r="448442" spans="12:13" x14ac:dyDescent="0.25">
      <c r="L448442" s="472"/>
      <c r="M448442" s="472"/>
    </row>
    <row r="448443" spans="12:13" x14ac:dyDescent="0.25">
      <c r="L448443" s="472"/>
      <c r="M448443" s="472"/>
    </row>
    <row r="448515" spans="12:13" x14ac:dyDescent="0.25">
      <c r="L448515" s="472"/>
      <c r="M448515" s="472"/>
    </row>
    <row r="448516" spans="12:13" x14ac:dyDescent="0.25">
      <c r="L448516" s="472"/>
      <c r="M448516" s="472"/>
    </row>
    <row r="448517" spans="12:13" x14ac:dyDescent="0.25">
      <c r="L448517" s="472"/>
      <c r="M448517" s="472"/>
    </row>
    <row r="448589" spans="12:13" x14ac:dyDescent="0.25">
      <c r="L448589" s="472"/>
      <c r="M448589" s="472"/>
    </row>
    <row r="448590" spans="12:13" x14ac:dyDescent="0.25">
      <c r="L448590" s="472"/>
      <c r="M448590" s="472"/>
    </row>
    <row r="448591" spans="12:13" x14ac:dyDescent="0.25">
      <c r="L448591" s="472"/>
      <c r="M448591" s="472"/>
    </row>
    <row r="448663" spans="12:13" x14ac:dyDescent="0.25">
      <c r="L448663" s="472"/>
      <c r="M448663" s="472"/>
    </row>
    <row r="448664" spans="12:13" x14ac:dyDescent="0.25">
      <c r="L448664" s="472"/>
      <c r="M448664" s="472"/>
    </row>
    <row r="448665" spans="12:13" x14ac:dyDescent="0.25">
      <c r="L448665" s="472"/>
      <c r="M448665" s="472"/>
    </row>
    <row r="448737" spans="12:13" x14ac:dyDescent="0.25">
      <c r="L448737" s="472"/>
      <c r="M448737" s="472"/>
    </row>
    <row r="448738" spans="12:13" x14ac:dyDescent="0.25">
      <c r="L448738" s="472"/>
      <c r="M448738" s="472"/>
    </row>
    <row r="448739" spans="12:13" x14ac:dyDescent="0.25">
      <c r="L448739" s="472"/>
      <c r="M448739" s="472"/>
    </row>
    <row r="448811" spans="12:13" x14ac:dyDescent="0.25">
      <c r="L448811" s="472"/>
      <c r="M448811" s="472"/>
    </row>
    <row r="448812" spans="12:13" x14ac:dyDescent="0.25">
      <c r="L448812" s="472"/>
      <c r="M448812" s="472"/>
    </row>
    <row r="448813" spans="12:13" x14ac:dyDescent="0.25">
      <c r="L448813" s="472"/>
      <c r="M448813" s="472"/>
    </row>
    <row r="448885" spans="12:13" x14ac:dyDescent="0.25">
      <c r="L448885" s="472"/>
      <c r="M448885" s="472"/>
    </row>
    <row r="448886" spans="12:13" x14ac:dyDescent="0.25">
      <c r="L448886" s="472"/>
      <c r="M448886" s="472"/>
    </row>
    <row r="448887" spans="12:13" x14ac:dyDescent="0.25">
      <c r="L448887" s="472"/>
      <c r="M448887" s="472"/>
    </row>
    <row r="448959" spans="12:13" x14ac:dyDescent="0.25">
      <c r="L448959" s="472"/>
      <c r="M448959" s="472"/>
    </row>
    <row r="448960" spans="12:13" x14ac:dyDescent="0.25">
      <c r="L448960" s="472"/>
      <c r="M448960" s="472"/>
    </row>
    <row r="448961" spans="12:13" x14ac:dyDescent="0.25">
      <c r="L448961" s="472"/>
      <c r="M448961" s="472"/>
    </row>
    <row r="449033" spans="12:13" x14ac:dyDescent="0.25">
      <c r="L449033" s="472"/>
      <c r="M449033" s="472"/>
    </row>
    <row r="449034" spans="12:13" x14ac:dyDescent="0.25">
      <c r="L449034" s="472"/>
      <c r="M449034" s="472"/>
    </row>
    <row r="449035" spans="12:13" x14ac:dyDescent="0.25">
      <c r="L449035" s="472"/>
      <c r="M449035" s="472"/>
    </row>
    <row r="449107" spans="12:13" x14ac:dyDescent="0.25">
      <c r="L449107" s="472"/>
      <c r="M449107" s="472"/>
    </row>
    <row r="449108" spans="12:13" x14ac:dyDescent="0.25">
      <c r="L449108" s="472"/>
      <c r="M449108" s="472"/>
    </row>
    <row r="449109" spans="12:13" x14ac:dyDescent="0.25">
      <c r="L449109" s="472"/>
      <c r="M449109" s="472"/>
    </row>
    <row r="449181" spans="12:13" x14ac:dyDescent="0.25">
      <c r="L449181" s="472"/>
      <c r="M449181" s="472"/>
    </row>
    <row r="449182" spans="12:13" x14ac:dyDescent="0.25">
      <c r="L449182" s="472"/>
      <c r="M449182" s="472"/>
    </row>
    <row r="449183" spans="12:13" x14ac:dyDescent="0.25">
      <c r="L449183" s="472"/>
      <c r="M449183" s="472"/>
    </row>
    <row r="449255" spans="12:13" x14ac:dyDescent="0.25">
      <c r="L449255" s="472"/>
      <c r="M449255" s="472"/>
    </row>
    <row r="449256" spans="12:13" x14ac:dyDescent="0.25">
      <c r="L449256" s="472"/>
      <c r="M449256" s="472"/>
    </row>
    <row r="449257" spans="12:13" x14ac:dyDescent="0.25">
      <c r="L449257" s="472"/>
      <c r="M449257" s="472"/>
    </row>
    <row r="449329" spans="12:13" x14ac:dyDescent="0.25">
      <c r="L449329" s="472"/>
      <c r="M449329" s="472"/>
    </row>
    <row r="449330" spans="12:13" x14ac:dyDescent="0.25">
      <c r="L449330" s="472"/>
      <c r="M449330" s="472"/>
    </row>
    <row r="449331" spans="12:13" x14ac:dyDescent="0.25">
      <c r="L449331" s="472"/>
      <c r="M449331" s="472"/>
    </row>
    <row r="449403" spans="12:13" x14ac:dyDescent="0.25">
      <c r="L449403" s="472"/>
      <c r="M449403" s="472"/>
    </row>
    <row r="449404" spans="12:13" x14ac:dyDescent="0.25">
      <c r="L449404" s="472"/>
      <c r="M449404" s="472"/>
    </row>
    <row r="449405" spans="12:13" x14ac:dyDescent="0.25">
      <c r="L449405" s="472"/>
      <c r="M449405" s="472"/>
    </row>
    <row r="449477" spans="12:13" x14ac:dyDescent="0.25">
      <c r="L449477" s="472"/>
      <c r="M449477" s="472"/>
    </row>
    <row r="449478" spans="12:13" x14ac:dyDescent="0.25">
      <c r="L449478" s="472"/>
      <c r="M449478" s="472"/>
    </row>
    <row r="449479" spans="12:13" x14ac:dyDescent="0.25">
      <c r="L449479" s="472"/>
      <c r="M449479" s="472"/>
    </row>
    <row r="449551" spans="12:13" x14ac:dyDescent="0.25">
      <c r="L449551" s="472"/>
      <c r="M449551" s="472"/>
    </row>
    <row r="449552" spans="12:13" x14ac:dyDescent="0.25">
      <c r="L449552" s="472"/>
      <c r="M449552" s="472"/>
    </row>
    <row r="449553" spans="12:13" x14ac:dyDescent="0.25">
      <c r="L449553" s="472"/>
      <c r="M449553" s="472"/>
    </row>
    <row r="449625" spans="12:13" x14ac:dyDescent="0.25">
      <c r="L449625" s="472"/>
      <c r="M449625" s="472"/>
    </row>
    <row r="449626" spans="12:13" x14ac:dyDescent="0.25">
      <c r="L449626" s="472"/>
      <c r="M449626" s="472"/>
    </row>
    <row r="449627" spans="12:13" x14ac:dyDescent="0.25">
      <c r="L449627" s="472"/>
      <c r="M449627" s="472"/>
    </row>
    <row r="449699" spans="12:13" x14ac:dyDescent="0.25">
      <c r="L449699" s="472"/>
      <c r="M449699" s="472"/>
    </row>
    <row r="449700" spans="12:13" x14ac:dyDescent="0.25">
      <c r="L449700" s="472"/>
      <c r="M449700" s="472"/>
    </row>
    <row r="449701" spans="12:13" x14ac:dyDescent="0.25">
      <c r="L449701" s="472"/>
      <c r="M449701" s="472"/>
    </row>
    <row r="449773" spans="12:13" x14ac:dyDescent="0.25">
      <c r="L449773" s="472"/>
      <c r="M449773" s="472"/>
    </row>
    <row r="449774" spans="12:13" x14ac:dyDescent="0.25">
      <c r="L449774" s="472"/>
      <c r="M449774" s="472"/>
    </row>
    <row r="449775" spans="12:13" x14ac:dyDescent="0.25">
      <c r="L449775" s="472"/>
      <c r="M449775" s="472"/>
    </row>
    <row r="449847" spans="12:13" x14ac:dyDescent="0.25">
      <c r="L449847" s="472"/>
      <c r="M449847" s="472"/>
    </row>
    <row r="449848" spans="12:13" x14ac:dyDescent="0.25">
      <c r="L449848" s="472"/>
      <c r="M449848" s="472"/>
    </row>
    <row r="449849" spans="12:13" x14ac:dyDescent="0.25">
      <c r="L449849" s="472"/>
      <c r="M449849" s="472"/>
    </row>
    <row r="449921" spans="12:13" x14ac:dyDescent="0.25">
      <c r="L449921" s="472"/>
      <c r="M449921" s="472"/>
    </row>
    <row r="449922" spans="12:13" x14ac:dyDescent="0.25">
      <c r="L449922" s="472"/>
      <c r="M449922" s="472"/>
    </row>
    <row r="449923" spans="12:13" x14ac:dyDescent="0.25">
      <c r="L449923" s="472"/>
      <c r="M449923" s="472"/>
    </row>
    <row r="449995" spans="12:13" x14ac:dyDescent="0.25">
      <c r="L449995" s="472"/>
      <c r="M449995" s="472"/>
    </row>
    <row r="449996" spans="12:13" x14ac:dyDescent="0.25">
      <c r="L449996" s="472"/>
      <c r="M449996" s="472"/>
    </row>
    <row r="449997" spans="12:13" x14ac:dyDescent="0.25">
      <c r="L449997" s="472"/>
      <c r="M449997" s="472"/>
    </row>
    <row r="450069" spans="12:13" x14ac:dyDescent="0.25">
      <c r="L450069" s="472"/>
      <c r="M450069" s="472"/>
    </row>
    <row r="450070" spans="12:13" x14ac:dyDescent="0.25">
      <c r="L450070" s="472"/>
      <c r="M450070" s="472"/>
    </row>
    <row r="450071" spans="12:13" x14ac:dyDescent="0.25">
      <c r="L450071" s="472"/>
      <c r="M450071" s="472"/>
    </row>
    <row r="450143" spans="12:13" x14ac:dyDescent="0.25">
      <c r="L450143" s="472"/>
      <c r="M450143" s="472"/>
    </row>
    <row r="450144" spans="12:13" x14ac:dyDescent="0.25">
      <c r="L450144" s="472"/>
      <c r="M450144" s="472"/>
    </row>
    <row r="450145" spans="12:13" x14ac:dyDescent="0.25">
      <c r="L450145" s="472"/>
      <c r="M450145" s="472"/>
    </row>
    <row r="450217" spans="12:13" x14ac:dyDescent="0.25">
      <c r="L450217" s="472"/>
      <c r="M450217" s="472"/>
    </row>
    <row r="450218" spans="12:13" x14ac:dyDescent="0.25">
      <c r="L450218" s="472"/>
      <c r="M450218" s="472"/>
    </row>
    <row r="450219" spans="12:13" x14ac:dyDescent="0.25">
      <c r="L450219" s="472"/>
      <c r="M450219" s="472"/>
    </row>
    <row r="450291" spans="12:13" x14ac:dyDescent="0.25">
      <c r="L450291" s="472"/>
      <c r="M450291" s="472"/>
    </row>
    <row r="450292" spans="12:13" x14ac:dyDescent="0.25">
      <c r="L450292" s="472"/>
      <c r="M450292" s="472"/>
    </row>
    <row r="450293" spans="12:13" x14ac:dyDescent="0.25">
      <c r="L450293" s="472"/>
      <c r="M450293" s="472"/>
    </row>
    <row r="450365" spans="12:13" x14ac:dyDescent="0.25">
      <c r="L450365" s="472"/>
      <c r="M450365" s="472"/>
    </row>
    <row r="450366" spans="12:13" x14ac:dyDescent="0.25">
      <c r="L450366" s="472"/>
      <c r="M450366" s="472"/>
    </row>
    <row r="450367" spans="12:13" x14ac:dyDescent="0.25">
      <c r="L450367" s="472"/>
      <c r="M450367" s="472"/>
    </row>
    <row r="450439" spans="12:13" x14ac:dyDescent="0.25">
      <c r="L450439" s="472"/>
      <c r="M450439" s="472"/>
    </row>
    <row r="450440" spans="12:13" x14ac:dyDescent="0.25">
      <c r="L450440" s="472"/>
      <c r="M450440" s="472"/>
    </row>
    <row r="450441" spans="12:13" x14ac:dyDescent="0.25">
      <c r="L450441" s="472"/>
      <c r="M450441" s="472"/>
    </row>
    <row r="450513" spans="12:13" x14ac:dyDescent="0.25">
      <c r="L450513" s="472"/>
      <c r="M450513" s="472"/>
    </row>
    <row r="450514" spans="12:13" x14ac:dyDescent="0.25">
      <c r="L450514" s="472"/>
      <c r="M450514" s="472"/>
    </row>
    <row r="450515" spans="12:13" x14ac:dyDescent="0.25">
      <c r="L450515" s="472"/>
      <c r="M450515" s="472"/>
    </row>
    <row r="450587" spans="12:13" x14ac:dyDescent="0.25">
      <c r="L450587" s="472"/>
      <c r="M450587" s="472"/>
    </row>
    <row r="450588" spans="12:13" x14ac:dyDescent="0.25">
      <c r="L450588" s="472"/>
      <c r="M450588" s="472"/>
    </row>
    <row r="450589" spans="12:13" x14ac:dyDescent="0.25">
      <c r="L450589" s="472"/>
      <c r="M450589" s="472"/>
    </row>
    <row r="450661" spans="12:13" x14ac:dyDescent="0.25">
      <c r="L450661" s="472"/>
      <c r="M450661" s="472"/>
    </row>
    <row r="450662" spans="12:13" x14ac:dyDescent="0.25">
      <c r="L450662" s="472"/>
      <c r="M450662" s="472"/>
    </row>
    <row r="450663" spans="12:13" x14ac:dyDescent="0.25">
      <c r="L450663" s="472"/>
      <c r="M450663" s="472"/>
    </row>
    <row r="450735" spans="12:13" x14ac:dyDescent="0.25">
      <c r="L450735" s="472"/>
      <c r="M450735" s="472"/>
    </row>
    <row r="450736" spans="12:13" x14ac:dyDescent="0.25">
      <c r="L450736" s="472"/>
      <c r="M450736" s="472"/>
    </row>
    <row r="450737" spans="12:13" x14ac:dyDescent="0.25">
      <c r="L450737" s="472"/>
      <c r="M450737" s="472"/>
    </row>
    <row r="450809" spans="12:13" x14ac:dyDescent="0.25">
      <c r="L450809" s="472"/>
      <c r="M450809" s="472"/>
    </row>
    <row r="450810" spans="12:13" x14ac:dyDescent="0.25">
      <c r="L450810" s="472"/>
      <c r="M450810" s="472"/>
    </row>
    <row r="450811" spans="12:13" x14ac:dyDescent="0.25">
      <c r="L450811" s="472"/>
      <c r="M450811" s="472"/>
    </row>
    <row r="450883" spans="12:13" x14ac:dyDescent="0.25">
      <c r="L450883" s="472"/>
      <c r="M450883" s="472"/>
    </row>
    <row r="450884" spans="12:13" x14ac:dyDescent="0.25">
      <c r="L450884" s="472"/>
      <c r="M450884" s="472"/>
    </row>
    <row r="450885" spans="12:13" x14ac:dyDescent="0.25">
      <c r="L450885" s="472"/>
      <c r="M450885" s="472"/>
    </row>
    <row r="450957" spans="12:13" x14ac:dyDescent="0.25">
      <c r="L450957" s="472"/>
      <c r="M450957" s="472"/>
    </row>
    <row r="450958" spans="12:13" x14ac:dyDescent="0.25">
      <c r="L450958" s="472"/>
      <c r="M450958" s="472"/>
    </row>
    <row r="450959" spans="12:13" x14ac:dyDescent="0.25">
      <c r="L450959" s="472"/>
      <c r="M450959" s="472"/>
    </row>
    <row r="451031" spans="12:13" x14ac:dyDescent="0.25">
      <c r="L451031" s="472"/>
      <c r="M451031" s="472"/>
    </row>
    <row r="451032" spans="12:13" x14ac:dyDescent="0.25">
      <c r="L451032" s="472"/>
      <c r="M451032" s="472"/>
    </row>
    <row r="451033" spans="12:13" x14ac:dyDescent="0.25">
      <c r="L451033" s="472"/>
      <c r="M451033" s="472"/>
    </row>
    <row r="451105" spans="12:13" x14ac:dyDescent="0.25">
      <c r="L451105" s="472"/>
      <c r="M451105" s="472"/>
    </row>
    <row r="451106" spans="12:13" x14ac:dyDescent="0.25">
      <c r="L451106" s="472"/>
      <c r="M451106" s="472"/>
    </row>
    <row r="451107" spans="12:13" x14ac:dyDescent="0.25">
      <c r="L451107" s="472"/>
      <c r="M451107" s="472"/>
    </row>
    <row r="451179" spans="12:13" x14ac:dyDescent="0.25">
      <c r="L451179" s="472"/>
      <c r="M451179" s="472"/>
    </row>
    <row r="451180" spans="12:13" x14ac:dyDescent="0.25">
      <c r="L451180" s="472"/>
      <c r="M451180" s="472"/>
    </row>
    <row r="451181" spans="12:13" x14ac:dyDescent="0.25">
      <c r="L451181" s="472"/>
      <c r="M451181" s="472"/>
    </row>
    <row r="451253" spans="12:13" x14ac:dyDescent="0.25">
      <c r="L451253" s="472"/>
      <c r="M451253" s="472"/>
    </row>
    <row r="451254" spans="12:13" x14ac:dyDescent="0.25">
      <c r="L451254" s="472"/>
      <c r="M451254" s="472"/>
    </row>
    <row r="451255" spans="12:13" x14ac:dyDescent="0.25">
      <c r="L451255" s="472"/>
      <c r="M451255" s="472"/>
    </row>
    <row r="451327" spans="12:13" x14ac:dyDescent="0.25">
      <c r="L451327" s="472"/>
      <c r="M451327" s="472"/>
    </row>
    <row r="451328" spans="12:13" x14ac:dyDescent="0.25">
      <c r="L451328" s="472"/>
      <c r="M451328" s="472"/>
    </row>
    <row r="451329" spans="12:13" x14ac:dyDescent="0.25">
      <c r="L451329" s="472"/>
      <c r="M451329" s="472"/>
    </row>
    <row r="451401" spans="12:13" x14ac:dyDescent="0.25">
      <c r="L451401" s="472"/>
      <c r="M451401" s="472"/>
    </row>
    <row r="451402" spans="12:13" x14ac:dyDescent="0.25">
      <c r="L451402" s="472"/>
      <c r="M451402" s="472"/>
    </row>
    <row r="451403" spans="12:13" x14ac:dyDescent="0.25">
      <c r="L451403" s="472"/>
      <c r="M451403" s="472"/>
    </row>
    <row r="451475" spans="12:13" x14ac:dyDescent="0.25">
      <c r="L451475" s="472"/>
      <c r="M451475" s="472"/>
    </row>
    <row r="451476" spans="12:13" x14ac:dyDescent="0.25">
      <c r="L451476" s="472"/>
      <c r="M451476" s="472"/>
    </row>
    <row r="451477" spans="12:13" x14ac:dyDescent="0.25">
      <c r="L451477" s="472"/>
      <c r="M451477" s="472"/>
    </row>
    <row r="451549" spans="12:13" x14ac:dyDescent="0.25">
      <c r="L451549" s="472"/>
      <c r="M451549" s="472"/>
    </row>
    <row r="451550" spans="12:13" x14ac:dyDescent="0.25">
      <c r="L451550" s="472"/>
      <c r="M451550" s="472"/>
    </row>
    <row r="451551" spans="12:13" x14ac:dyDescent="0.25">
      <c r="L451551" s="472"/>
      <c r="M451551" s="472"/>
    </row>
    <row r="451623" spans="12:13" x14ac:dyDescent="0.25">
      <c r="L451623" s="472"/>
      <c r="M451623" s="472"/>
    </row>
    <row r="451624" spans="12:13" x14ac:dyDescent="0.25">
      <c r="L451624" s="472"/>
      <c r="M451624" s="472"/>
    </row>
    <row r="451625" spans="12:13" x14ac:dyDescent="0.25">
      <c r="L451625" s="472"/>
      <c r="M451625" s="472"/>
    </row>
    <row r="451697" spans="12:13" x14ac:dyDescent="0.25">
      <c r="L451697" s="472"/>
      <c r="M451697" s="472"/>
    </row>
    <row r="451698" spans="12:13" x14ac:dyDescent="0.25">
      <c r="L451698" s="472"/>
      <c r="M451698" s="472"/>
    </row>
    <row r="451699" spans="12:13" x14ac:dyDescent="0.25">
      <c r="L451699" s="472"/>
      <c r="M451699" s="472"/>
    </row>
    <row r="451771" spans="12:13" x14ac:dyDescent="0.25">
      <c r="L451771" s="472"/>
      <c r="M451771" s="472"/>
    </row>
    <row r="451772" spans="12:13" x14ac:dyDescent="0.25">
      <c r="L451772" s="472"/>
      <c r="M451772" s="472"/>
    </row>
    <row r="451773" spans="12:13" x14ac:dyDescent="0.25">
      <c r="L451773" s="472"/>
      <c r="M451773" s="472"/>
    </row>
    <row r="451845" spans="12:13" x14ac:dyDescent="0.25">
      <c r="L451845" s="472"/>
      <c r="M451845" s="472"/>
    </row>
    <row r="451846" spans="12:13" x14ac:dyDescent="0.25">
      <c r="L451846" s="472"/>
      <c r="M451846" s="472"/>
    </row>
    <row r="451847" spans="12:13" x14ac:dyDescent="0.25">
      <c r="L451847" s="472"/>
      <c r="M451847" s="472"/>
    </row>
    <row r="451919" spans="12:13" x14ac:dyDescent="0.25">
      <c r="L451919" s="472"/>
      <c r="M451919" s="472"/>
    </row>
    <row r="451920" spans="12:13" x14ac:dyDescent="0.25">
      <c r="L451920" s="472"/>
      <c r="M451920" s="472"/>
    </row>
    <row r="451921" spans="12:13" x14ac:dyDescent="0.25">
      <c r="L451921" s="472"/>
      <c r="M451921" s="472"/>
    </row>
    <row r="451993" spans="12:13" x14ac:dyDescent="0.25">
      <c r="L451993" s="472"/>
      <c r="M451993" s="472"/>
    </row>
    <row r="451994" spans="12:13" x14ac:dyDescent="0.25">
      <c r="L451994" s="472"/>
      <c r="M451994" s="472"/>
    </row>
    <row r="451995" spans="12:13" x14ac:dyDescent="0.25">
      <c r="L451995" s="472"/>
      <c r="M451995" s="472"/>
    </row>
    <row r="452067" spans="12:13" x14ac:dyDescent="0.25">
      <c r="L452067" s="472"/>
      <c r="M452067" s="472"/>
    </row>
    <row r="452068" spans="12:13" x14ac:dyDescent="0.25">
      <c r="L452068" s="472"/>
      <c r="M452068" s="472"/>
    </row>
    <row r="452069" spans="12:13" x14ac:dyDescent="0.25">
      <c r="L452069" s="472"/>
      <c r="M452069" s="472"/>
    </row>
    <row r="452141" spans="12:13" x14ac:dyDescent="0.25">
      <c r="L452141" s="472"/>
      <c r="M452141" s="472"/>
    </row>
    <row r="452142" spans="12:13" x14ac:dyDescent="0.25">
      <c r="L452142" s="472"/>
      <c r="M452142" s="472"/>
    </row>
    <row r="452143" spans="12:13" x14ac:dyDescent="0.25">
      <c r="L452143" s="472"/>
      <c r="M452143" s="472"/>
    </row>
    <row r="452215" spans="12:13" x14ac:dyDescent="0.25">
      <c r="L452215" s="472"/>
      <c r="M452215" s="472"/>
    </row>
    <row r="452216" spans="12:13" x14ac:dyDescent="0.25">
      <c r="L452216" s="472"/>
      <c r="M452216" s="472"/>
    </row>
    <row r="452217" spans="12:13" x14ac:dyDescent="0.25">
      <c r="L452217" s="472"/>
      <c r="M452217" s="472"/>
    </row>
    <row r="452289" spans="12:13" x14ac:dyDescent="0.25">
      <c r="L452289" s="472"/>
      <c r="M452289" s="472"/>
    </row>
    <row r="452290" spans="12:13" x14ac:dyDescent="0.25">
      <c r="L452290" s="472"/>
      <c r="M452290" s="472"/>
    </row>
    <row r="452291" spans="12:13" x14ac:dyDescent="0.25">
      <c r="L452291" s="472"/>
      <c r="M452291" s="472"/>
    </row>
    <row r="452363" spans="12:13" x14ac:dyDescent="0.25">
      <c r="L452363" s="472"/>
      <c r="M452363" s="472"/>
    </row>
    <row r="452364" spans="12:13" x14ac:dyDescent="0.25">
      <c r="L452364" s="472"/>
      <c r="M452364" s="472"/>
    </row>
    <row r="452365" spans="12:13" x14ac:dyDescent="0.25">
      <c r="L452365" s="472"/>
      <c r="M452365" s="472"/>
    </row>
    <row r="452437" spans="12:13" x14ac:dyDescent="0.25">
      <c r="L452437" s="472"/>
      <c r="M452437" s="472"/>
    </row>
    <row r="452438" spans="12:13" x14ac:dyDescent="0.25">
      <c r="L452438" s="472"/>
      <c r="M452438" s="472"/>
    </row>
    <row r="452439" spans="12:13" x14ac:dyDescent="0.25">
      <c r="L452439" s="472"/>
      <c r="M452439" s="472"/>
    </row>
    <row r="452511" spans="12:13" x14ac:dyDescent="0.25">
      <c r="L452511" s="472"/>
      <c r="M452511" s="472"/>
    </row>
    <row r="452512" spans="12:13" x14ac:dyDescent="0.25">
      <c r="L452512" s="472"/>
      <c r="M452512" s="472"/>
    </row>
    <row r="452513" spans="12:13" x14ac:dyDescent="0.25">
      <c r="L452513" s="472"/>
      <c r="M452513" s="472"/>
    </row>
    <row r="452585" spans="12:13" x14ac:dyDescent="0.25">
      <c r="L452585" s="472"/>
      <c r="M452585" s="472"/>
    </row>
    <row r="452586" spans="12:13" x14ac:dyDescent="0.25">
      <c r="L452586" s="472"/>
      <c r="M452586" s="472"/>
    </row>
    <row r="452587" spans="12:13" x14ac:dyDescent="0.25">
      <c r="L452587" s="472"/>
      <c r="M452587" s="472"/>
    </row>
    <row r="452659" spans="12:13" x14ac:dyDescent="0.25">
      <c r="L452659" s="472"/>
      <c r="M452659" s="472"/>
    </row>
    <row r="452660" spans="12:13" x14ac:dyDescent="0.25">
      <c r="L452660" s="472"/>
      <c r="M452660" s="472"/>
    </row>
    <row r="452661" spans="12:13" x14ac:dyDescent="0.25">
      <c r="L452661" s="472"/>
      <c r="M452661" s="472"/>
    </row>
    <row r="452733" spans="12:13" x14ac:dyDescent="0.25">
      <c r="L452733" s="472"/>
      <c r="M452733" s="472"/>
    </row>
    <row r="452734" spans="12:13" x14ac:dyDescent="0.25">
      <c r="L452734" s="472"/>
      <c r="M452734" s="472"/>
    </row>
    <row r="452735" spans="12:13" x14ac:dyDescent="0.25">
      <c r="L452735" s="472"/>
      <c r="M452735" s="472"/>
    </row>
    <row r="452807" spans="12:13" x14ac:dyDescent="0.25">
      <c r="L452807" s="472"/>
      <c r="M452807" s="472"/>
    </row>
    <row r="452808" spans="12:13" x14ac:dyDescent="0.25">
      <c r="L452808" s="472"/>
      <c r="M452808" s="472"/>
    </row>
    <row r="452809" spans="12:13" x14ac:dyDescent="0.25">
      <c r="L452809" s="472"/>
      <c r="M452809" s="472"/>
    </row>
    <row r="452881" spans="12:13" x14ac:dyDescent="0.25">
      <c r="L452881" s="472"/>
      <c r="M452881" s="472"/>
    </row>
    <row r="452882" spans="12:13" x14ac:dyDescent="0.25">
      <c r="L452882" s="472"/>
      <c r="M452882" s="472"/>
    </row>
    <row r="452883" spans="12:13" x14ac:dyDescent="0.25">
      <c r="L452883" s="472"/>
      <c r="M452883" s="472"/>
    </row>
    <row r="452955" spans="12:13" x14ac:dyDescent="0.25">
      <c r="L452955" s="472"/>
      <c r="M452955" s="472"/>
    </row>
    <row r="452956" spans="12:13" x14ac:dyDescent="0.25">
      <c r="L452956" s="472"/>
      <c r="M452956" s="472"/>
    </row>
    <row r="452957" spans="12:13" x14ac:dyDescent="0.25">
      <c r="L452957" s="472"/>
      <c r="M452957" s="472"/>
    </row>
    <row r="453029" spans="12:13" x14ac:dyDescent="0.25">
      <c r="L453029" s="472"/>
      <c r="M453029" s="472"/>
    </row>
    <row r="453030" spans="12:13" x14ac:dyDescent="0.25">
      <c r="L453030" s="472"/>
      <c r="M453030" s="472"/>
    </row>
    <row r="453031" spans="12:13" x14ac:dyDescent="0.25">
      <c r="L453031" s="472"/>
      <c r="M453031" s="472"/>
    </row>
    <row r="453103" spans="12:13" x14ac:dyDescent="0.25">
      <c r="L453103" s="472"/>
      <c r="M453103" s="472"/>
    </row>
    <row r="453104" spans="12:13" x14ac:dyDescent="0.25">
      <c r="L453104" s="472"/>
      <c r="M453104" s="472"/>
    </row>
    <row r="453105" spans="12:13" x14ac:dyDescent="0.25">
      <c r="L453105" s="472"/>
      <c r="M453105" s="472"/>
    </row>
    <row r="453177" spans="12:13" x14ac:dyDescent="0.25">
      <c r="L453177" s="472"/>
      <c r="M453177" s="472"/>
    </row>
    <row r="453178" spans="12:13" x14ac:dyDescent="0.25">
      <c r="L453178" s="472"/>
      <c r="M453178" s="472"/>
    </row>
    <row r="453179" spans="12:13" x14ac:dyDescent="0.25">
      <c r="L453179" s="472"/>
      <c r="M453179" s="472"/>
    </row>
    <row r="453251" spans="12:13" x14ac:dyDescent="0.25">
      <c r="L453251" s="472"/>
      <c r="M453251" s="472"/>
    </row>
    <row r="453252" spans="12:13" x14ac:dyDescent="0.25">
      <c r="L453252" s="472"/>
      <c r="M453252" s="472"/>
    </row>
    <row r="453253" spans="12:13" x14ac:dyDescent="0.25">
      <c r="L453253" s="472"/>
      <c r="M453253" s="472"/>
    </row>
    <row r="453325" spans="12:13" x14ac:dyDescent="0.25">
      <c r="L453325" s="472"/>
      <c r="M453325" s="472"/>
    </row>
    <row r="453326" spans="12:13" x14ac:dyDescent="0.25">
      <c r="L453326" s="472"/>
      <c r="M453326" s="472"/>
    </row>
    <row r="453327" spans="12:13" x14ac:dyDescent="0.25">
      <c r="L453327" s="472"/>
      <c r="M453327" s="472"/>
    </row>
    <row r="453399" spans="12:13" x14ac:dyDescent="0.25">
      <c r="L453399" s="472"/>
      <c r="M453399" s="472"/>
    </row>
    <row r="453400" spans="12:13" x14ac:dyDescent="0.25">
      <c r="L453400" s="472"/>
      <c r="M453400" s="472"/>
    </row>
    <row r="453401" spans="12:13" x14ac:dyDescent="0.25">
      <c r="L453401" s="472"/>
      <c r="M453401" s="472"/>
    </row>
    <row r="453473" spans="12:13" x14ac:dyDescent="0.25">
      <c r="L453473" s="472"/>
      <c r="M453473" s="472"/>
    </row>
    <row r="453474" spans="12:13" x14ac:dyDescent="0.25">
      <c r="L453474" s="472"/>
      <c r="M453474" s="472"/>
    </row>
    <row r="453475" spans="12:13" x14ac:dyDescent="0.25">
      <c r="L453475" s="472"/>
      <c r="M453475" s="472"/>
    </row>
    <row r="453547" spans="12:13" x14ac:dyDescent="0.25">
      <c r="L453547" s="472"/>
      <c r="M453547" s="472"/>
    </row>
    <row r="453548" spans="12:13" x14ac:dyDescent="0.25">
      <c r="L453548" s="472"/>
      <c r="M453548" s="472"/>
    </row>
    <row r="453549" spans="12:13" x14ac:dyDescent="0.25">
      <c r="L453549" s="472"/>
      <c r="M453549" s="472"/>
    </row>
    <row r="453621" spans="12:13" x14ac:dyDescent="0.25">
      <c r="L453621" s="472"/>
      <c r="M453621" s="472"/>
    </row>
    <row r="453622" spans="12:13" x14ac:dyDescent="0.25">
      <c r="L453622" s="472"/>
      <c r="M453622" s="472"/>
    </row>
    <row r="453623" spans="12:13" x14ac:dyDescent="0.25">
      <c r="L453623" s="472"/>
      <c r="M453623" s="472"/>
    </row>
    <row r="453695" spans="12:13" x14ac:dyDescent="0.25">
      <c r="L453695" s="472"/>
      <c r="M453695" s="472"/>
    </row>
    <row r="453696" spans="12:13" x14ac:dyDescent="0.25">
      <c r="L453696" s="472"/>
      <c r="M453696" s="472"/>
    </row>
    <row r="453697" spans="12:13" x14ac:dyDescent="0.25">
      <c r="L453697" s="472"/>
      <c r="M453697" s="472"/>
    </row>
    <row r="453769" spans="12:13" x14ac:dyDescent="0.25">
      <c r="L453769" s="472"/>
      <c r="M453769" s="472"/>
    </row>
    <row r="453770" spans="12:13" x14ac:dyDescent="0.25">
      <c r="L453770" s="472"/>
      <c r="M453770" s="472"/>
    </row>
    <row r="453771" spans="12:13" x14ac:dyDescent="0.25">
      <c r="L453771" s="472"/>
      <c r="M453771" s="472"/>
    </row>
    <row r="453843" spans="12:13" x14ac:dyDescent="0.25">
      <c r="L453843" s="472"/>
      <c r="M453843" s="472"/>
    </row>
    <row r="453844" spans="12:13" x14ac:dyDescent="0.25">
      <c r="L453844" s="472"/>
      <c r="M453844" s="472"/>
    </row>
    <row r="453845" spans="12:13" x14ac:dyDescent="0.25">
      <c r="L453845" s="472"/>
      <c r="M453845" s="472"/>
    </row>
    <row r="453917" spans="12:13" x14ac:dyDescent="0.25">
      <c r="L453917" s="472"/>
      <c r="M453917" s="472"/>
    </row>
    <row r="453918" spans="12:13" x14ac:dyDescent="0.25">
      <c r="L453918" s="472"/>
      <c r="M453918" s="472"/>
    </row>
    <row r="453919" spans="12:13" x14ac:dyDescent="0.25">
      <c r="L453919" s="472"/>
      <c r="M453919" s="472"/>
    </row>
    <row r="453991" spans="12:13" x14ac:dyDescent="0.25">
      <c r="L453991" s="472"/>
      <c r="M453991" s="472"/>
    </row>
    <row r="453992" spans="12:13" x14ac:dyDescent="0.25">
      <c r="L453992" s="472"/>
      <c r="M453992" s="472"/>
    </row>
    <row r="453993" spans="12:13" x14ac:dyDescent="0.25">
      <c r="L453993" s="472"/>
      <c r="M453993" s="472"/>
    </row>
    <row r="454065" spans="12:13" x14ac:dyDescent="0.25">
      <c r="L454065" s="472"/>
      <c r="M454065" s="472"/>
    </row>
    <row r="454066" spans="12:13" x14ac:dyDescent="0.25">
      <c r="L454066" s="472"/>
      <c r="M454066" s="472"/>
    </row>
    <row r="454067" spans="12:13" x14ac:dyDescent="0.25">
      <c r="L454067" s="472"/>
      <c r="M454067" s="472"/>
    </row>
    <row r="454139" spans="12:13" x14ac:dyDescent="0.25">
      <c r="L454139" s="472"/>
      <c r="M454139" s="472"/>
    </row>
    <row r="454140" spans="12:13" x14ac:dyDescent="0.25">
      <c r="L454140" s="472"/>
      <c r="M454140" s="472"/>
    </row>
    <row r="454141" spans="12:13" x14ac:dyDescent="0.25">
      <c r="L454141" s="472"/>
      <c r="M454141" s="472"/>
    </row>
    <row r="454213" spans="12:13" x14ac:dyDescent="0.25">
      <c r="L454213" s="472"/>
      <c r="M454213" s="472"/>
    </row>
    <row r="454214" spans="12:13" x14ac:dyDescent="0.25">
      <c r="L454214" s="472"/>
      <c r="M454214" s="472"/>
    </row>
    <row r="454215" spans="12:13" x14ac:dyDescent="0.25">
      <c r="L454215" s="472"/>
      <c r="M454215" s="472"/>
    </row>
    <row r="454287" spans="12:13" x14ac:dyDescent="0.25">
      <c r="L454287" s="472"/>
      <c r="M454287" s="472"/>
    </row>
    <row r="454288" spans="12:13" x14ac:dyDescent="0.25">
      <c r="L454288" s="472"/>
      <c r="M454288" s="472"/>
    </row>
    <row r="454289" spans="12:13" x14ac:dyDescent="0.25">
      <c r="L454289" s="472"/>
      <c r="M454289" s="472"/>
    </row>
    <row r="454361" spans="12:13" x14ac:dyDescent="0.25">
      <c r="L454361" s="472"/>
      <c r="M454361" s="472"/>
    </row>
    <row r="454362" spans="12:13" x14ac:dyDescent="0.25">
      <c r="L454362" s="472"/>
      <c r="M454362" s="472"/>
    </row>
    <row r="454363" spans="12:13" x14ac:dyDescent="0.25">
      <c r="L454363" s="472"/>
      <c r="M454363" s="472"/>
    </row>
    <row r="454435" spans="12:13" x14ac:dyDescent="0.25">
      <c r="L454435" s="472"/>
      <c r="M454435" s="472"/>
    </row>
    <row r="454436" spans="12:13" x14ac:dyDescent="0.25">
      <c r="L454436" s="472"/>
      <c r="M454436" s="472"/>
    </row>
    <row r="454437" spans="12:13" x14ac:dyDescent="0.25">
      <c r="L454437" s="472"/>
      <c r="M454437" s="472"/>
    </row>
    <row r="454509" spans="12:13" x14ac:dyDescent="0.25">
      <c r="L454509" s="472"/>
      <c r="M454509" s="472"/>
    </row>
    <row r="454510" spans="12:13" x14ac:dyDescent="0.25">
      <c r="L454510" s="472"/>
      <c r="M454510" s="472"/>
    </row>
    <row r="454511" spans="12:13" x14ac:dyDescent="0.25">
      <c r="L454511" s="472"/>
      <c r="M454511" s="472"/>
    </row>
    <row r="454583" spans="12:13" x14ac:dyDescent="0.25">
      <c r="L454583" s="472"/>
      <c r="M454583" s="472"/>
    </row>
    <row r="454584" spans="12:13" x14ac:dyDescent="0.25">
      <c r="L454584" s="472"/>
      <c r="M454584" s="472"/>
    </row>
    <row r="454585" spans="12:13" x14ac:dyDescent="0.25">
      <c r="L454585" s="472"/>
      <c r="M454585" s="472"/>
    </row>
    <row r="454657" spans="12:13" x14ac:dyDescent="0.25">
      <c r="L454657" s="472"/>
      <c r="M454657" s="472"/>
    </row>
    <row r="454658" spans="12:13" x14ac:dyDescent="0.25">
      <c r="L454658" s="472"/>
      <c r="M454658" s="472"/>
    </row>
    <row r="454659" spans="12:13" x14ac:dyDescent="0.25">
      <c r="L454659" s="472"/>
      <c r="M454659" s="472"/>
    </row>
    <row r="454731" spans="12:13" x14ac:dyDescent="0.25">
      <c r="L454731" s="472"/>
      <c r="M454731" s="472"/>
    </row>
    <row r="454732" spans="12:13" x14ac:dyDescent="0.25">
      <c r="L454732" s="472"/>
      <c r="M454732" s="472"/>
    </row>
    <row r="454733" spans="12:13" x14ac:dyDescent="0.25">
      <c r="L454733" s="472"/>
      <c r="M454733" s="472"/>
    </row>
    <row r="454805" spans="12:13" x14ac:dyDescent="0.25">
      <c r="L454805" s="472"/>
      <c r="M454805" s="472"/>
    </row>
    <row r="454806" spans="12:13" x14ac:dyDescent="0.25">
      <c r="L454806" s="472"/>
      <c r="M454806" s="472"/>
    </row>
    <row r="454807" spans="12:13" x14ac:dyDescent="0.25">
      <c r="L454807" s="472"/>
      <c r="M454807" s="472"/>
    </row>
    <row r="454879" spans="12:13" x14ac:dyDescent="0.25">
      <c r="L454879" s="472"/>
      <c r="M454879" s="472"/>
    </row>
    <row r="454880" spans="12:13" x14ac:dyDescent="0.25">
      <c r="L454880" s="472"/>
      <c r="M454880" s="472"/>
    </row>
    <row r="454881" spans="12:13" x14ac:dyDescent="0.25">
      <c r="L454881" s="472"/>
      <c r="M454881" s="472"/>
    </row>
    <row r="454953" spans="12:13" x14ac:dyDescent="0.25">
      <c r="L454953" s="472"/>
      <c r="M454953" s="472"/>
    </row>
    <row r="454954" spans="12:13" x14ac:dyDescent="0.25">
      <c r="L454954" s="472"/>
      <c r="M454954" s="472"/>
    </row>
    <row r="454955" spans="12:13" x14ac:dyDescent="0.25">
      <c r="L454955" s="472"/>
      <c r="M454955" s="472"/>
    </row>
    <row r="455027" spans="12:13" x14ac:dyDescent="0.25">
      <c r="L455027" s="472"/>
      <c r="M455027" s="472"/>
    </row>
    <row r="455028" spans="12:13" x14ac:dyDescent="0.25">
      <c r="L455028" s="472"/>
      <c r="M455028" s="472"/>
    </row>
    <row r="455029" spans="12:13" x14ac:dyDescent="0.25">
      <c r="L455029" s="472"/>
      <c r="M455029" s="472"/>
    </row>
    <row r="455101" spans="12:13" x14ac:dyDescent="0.25">
      <c r="L455101" s="472"/>
      <c r="M455101" s="472"/>
    </row>
    <row r="455102" spans="12:13" x14ac:dyDescent="0.25">
      <c r="L455102" s="472"/>
      <c r="M455102" s="472"/>
    </row>
    <row r="455103" spans="12:13" x14ac:dyDescent="0.25">
      <c r="L455103" s="472"/>
      <c r="M455103" s="472"/>
    </row>
    <row r="455175" spans="12:13" x14ac:dyDescent="0.25">
      <c r="L455175" s="472"/>
      <c r="M455175" s="472"/>
    </row>
    <row r="455176" spans="12:13" x14ac:dyDescent="0.25">
      <c r="L455176" s="472"/>
      <c r="M455176" s="472"/>
    </row>
    <row r="455177" spans="12:13" x14ac:dyDescent="0.25">
      <c r="L455177" s="472"/>
      <c r="M455177" s="472"/>
    </row>
    <row r="455249" spans="12:13" x14ac:dyDescent="0.25">
      <c r="L455249" s="472"/>
      <c r="M455249" s="472"/>
    </row>
    <row r="455250" spans="12:13" x14ac:dyDescent="0.25">
      <c r="L455250" s="472"/>
      <c r="M455250" s="472"/>
    </row>
    <row r="455251" spans="12:13" x14ac:dyDescent="0.25">
      <c r="L455251" s="472"/>
      <c r="M455251" s="472"/>
    </row>
    <row r="455323" spans="12:13" x14ac:dyDescent="0.25">
      <c r="L455323" s="472"/>
      <c r="M455323" s="472"/>
    </row>
    <row r="455324" spans="12:13" x14ac:dyDescent="0.25">
      <c r="L455324" s="472"/>
      <c r="M455324" s="472"/>
    </row>
    <row r="455325" spans="12:13" x14ac:dyDescent="0.25">
      <c r="L455325" s="472"/>
      <c r="M455325" s="472"/>
    </row>
    <row r="455397" spans="12:13" x14ac:dyDescent="0.25">
      <c r="L455397" s="472"/>
      <c r="M455397" s="472"/>
    </row>
    <row r="455398" spans="12:13" x14ac:dyDescent="0.25">
      <c r="L455398" s="472"/>
      <c r="M455398" s="472"/>
    </row>
    <row r="455399" spans="12:13" x14ac:dyDescent="0.25">
      <c r="L455399" s="472"/>
      <c r="M455399" s="472"/>
    </row>
    <row r="455471" spans="12:13" x14ac:dyDescent="0.25">
      <c r="L455471" s="472"/>
      <c r="M455471" s="472"/>
    </row>
    <row r="455472" spans="12:13" x14ac:dyDescent="0.25">
      <c r="L455472" s="472"/>
      <c r="M455472" s="472"/>
    </row>
    <row r="455473" spans="12:13" x14ac:dyDescent="0.25">
      <c r="L455473" s="472"/>
      <c r="M455473" s="472"/>
    </row>
    <row r="455545" spans="12:13" x14ac:dyDescent="0.25">
      <c r="L455545" s="472"/>
      <c r="M455545" s="472"/>
    </row>
    <row r="455546" spans="12:13" x14ac:dyDescent="0.25">
      <c r="L455546" s="472"/>
      <c r="M455546" s="472"/>
    </row>
    <row r="455547" spans="12:13" x14ac:dyDescent="0.25">
      <c r="L455547" s="472"/>
      <c r="M455547" s="472"/>
    </row>
    <row r="455619" spans="12:13" x14ac:dyDescent="0.25">
      <c r="L455619" s="472"/>
      <c r="M455619" s="472"/>
    </row>
    <row r="455620" spans="12:13" x14ac:dyDescent="0.25">
      <c r="L455620" s="472"/>
      <c r="M455620" s="472"/>
    </row>
    <row r="455621" spans="12:13" x14ac:dyDescent="0.25">
      <c r="L455621" s="472"/>
      <c r="M455621" s="472"/>
    </row>
    <row r="455693" spans="12:13" x14ac:dyDescent="0.25">
      <c r="L455693" s="472"/>
      <c r="M455693" s="472"/>
    </row>
    <row r="455694" spans="12:13" x14ac:dyDescent="0.25">
      <c r="L455694" s="472"/>
      <c r="M455694" s="472"/>
    </row>
    <row r="455695" spans="12:13" x14ac:dyDescent="0.25">
      <c r="L455695" s="472"/>
      <c r="M455695" s="472"/>
    </row>
    <row r="455767" spans="12:13" x14ac:dyDescent="0.25">
      <c r="L455767" s="472"/>
      <c r="M455767" s="472"/>
    </row>
    <row r="455768" spans="12:13" x14ac:dyDescent="0.25">
      <c r="L455768" s="472"/>
      <c r="M455768" s="472"/>
    </row>
    <row r="455769" spans="12:13" x14ac:dyDescent="0.25">
      <c r="L455769" s="472"/>
      <c r="M455769" s="472"/>
    </row>
    <row r="455841" spans="12:13" x14ac:dyDescent="0.25">
      <c r="L455841" s="472"/>
      <c r="M455841" s="472"/>
    </row>
    <row r="455842" spans="12:13" x14ac:dyDescent="0.25">
      <c r="L455842" s="472"/>
      <c r="M455842" s="472"/>
    </row>
    <row r="455843" spans="12:13" x14ac:dyDescent="0.25">
      <c r="L455843" s="472"/>
      <c r="M455843" s="472"/>
    </row>
    <row r="455915" spans="12:13" x14ac:dyDescent="0.25">
      <c r="L455915" s="472"/>
      <c r="M455915" s="472"/>
    </row>
    <row r="455916" spans="12:13" x14ac:dyDescent="0.25">
      <c r="L455916" s="472"/>
      <c r="M455916" s="472"/>
    </row>
    <row r="455917" spans="12:13" x14ac:dyDescent="0.25">
      <c r="L455917" s="472"/>
      <c r="M455917" s="472"/>
    </row>
    <row r="455989" spans="12:13" x14ac:dyDescent="0.25">
      <c r="L455989" s="472"/>
      <c r="M455989" s="472"/>
    </row>
    <row r="455990" spans="12:13" x14ac:dyDescent="0.25">
      <c r="L455990" s="472"/>
      <c r="M455990" s="472"/>
    </row>
    <row r="455991" spans="12:13" x14ac:dyDescent="0.25">
      <c r="L455991" s="472"/>
      <c r="M455991" s="472"/>
    </row>
    <row r="456063" spans="12:13" x14ac:dyDescent="0.25">
      <c r="L456063" s="472"/>
      <c r="M456063" s="472"/>
    </row>
    <row r="456064" spans="12:13" x14ac:dyDescent="0.25">
      <c r="L456064" s="472"/>
      <c r="M456064" s="472"/>
    </row>
    <row r="456065" spans="12:13" x14ac:dyDescent="0.25">
      <c r="L456065" s="472"/>
      <c r="M456065" s="472"/>
    </row>
    <row r="456137" spans="12:13" x14ac:dyDescent="0.25">
      <c r="L456137" s="472"/>
      <c r="M456137" s="472"/>
    </row>
    <row r="456138" spans="12:13" x14ac:dyDescent="0.25">
      <c r="L456138" s="472"/>
      <c r="M456138" s="472"/>
    </row>
    <row r="456139" spans="12:13" x14ac:dyDescent="0.25">
      <c r="L456139" s="472"/>
      <c r="M456139" s="472"/>
    </row>
    <row r="456211" spans="12:13" x14ac:dyDescent="0.25">
      <c r="L456211" s="472"/>
      <c r="M456211" s="472"/>
    </row>
    <row r="456212" spans="12:13" x14ac:dyDescent="0.25">
      <c r="L456212" s="472"/>
      <c r="M456212" s="472"/>
    </row>
    <row r="456213" spans="12:13" x14ac:dyDescent="0.25">
      <c r="L456213" s="472"/>
      <c r="M456213" s="472"/>
    </row>
    <row r="456285" spans="12:13" x14ac:dyDescent="0.25">
      <c r="L456285" s="472"/>
      <c r="M456285" s="472"/>
    </row>
    <row r="456286" spans="12:13" x14ac:dyDescent="0.25">
      <c r="L456286" s="472"/>
      <c r="M456286" s="472"/>
    </row>
    <row r="456287" spans="12:13" x14ac:dyDescent="0.25">
      <c r="L456287" s="472"/>
      <c r="M456287" s="472"/>
    </row>
    <row r="456359" spans="12:13" x14ac:dyDescent="0.25">
      <c r="L456359" s="472"/>
      <c r="M456359" s="472"/>
    </row>
    <row r="456360" spans="12:13" x14ac:dyDescent="0.25">
      <c r="L456360" s="472"/>
      <c r="M456360" s="472"/>
    </row>
    <row r="456361" spans="12:13" x14ac:dyDescent="0.25">
      <c r="L456361" s="472"/>
      <c r="M456361" s="472"/>
    </row>
    <row r="456433" spans="12:13" x14ac:dyDescent="0.25">
      <c r="L456433" s="472"/>
      <c r="M456433" s="472"/>
    </row>
    <row r="456434" spans="12:13" x14ac:dyDescent="0.25">
      <c r="L456434" s="472"/>
      <c r="M456434" s="472"/>
    </row>
    <row r="456435" spans="12:13" x14ac:dyDescent="0.25">
      <c r="L456435" s="472"/>
      <c r="M456435" s="472"/>
    </row>
    <row r="456507" spans="12:13" x14ac:dyDescent="0.25">
      <c r="L456507" s="472"/>
      <c r="M456507" s="472"/>
    </row>
    <row r="456508" spans="12:13" x14ac:dyDescent="0.25">
      <c r="L456508" s="472"/>
      <c r="M456508" s="472"/>
    </row>
    <row r="456509" spans="12:13" x14ac:dyDescent="0.25">
      <c r="L456509" s="472"/>
      <c r="M456509" s="472"/>
    </row>
    <row r="456581" spans="12:13" x14ac:dyDescent="0.25">
      <c r="L456581" s="472"/>
      <c r="M456581" s="472"/>
    </row>
    <row r="456582" spans="12:13" x14ac:dyDescent="0.25">
      <c r="L456582" s="472"/>
      <c r="M456582" s="472"/>
    </row>
    <row r="456583" spans="12:13" x14ac:dyDescent="0.25">
      <c r="L456583" s="472"/>
      <c r="M456583" s="472"/>
    </row>
    <row r="456655" spans="12:13" x14ac:dyDescent="0.25">
      <c r="L456655" s="472"/>
      <c r="M456655" s="472"/>
    </row>
    <row r="456656" spans="12:13" x14ac:dyDescent="0.25">
      <c r="L456656" s="472"/>
      <c r="M456656" s="472"/>
    </row>
    <row r="456657" spans="12:13" x14ac:dyDescent="0.25">
      <c r="L456657" s="472"/>
      <c r="M456657" s="472"/>
    </row>
    <row r="456729" spans="12:13" x14ac:dyDescent="0.25">
      <c r="L456729" s="472"/>
      <c r="M456729" s="472"/>
    </row>
    <row r="456730" spans="12:13" x14ac:dyDescent="0.25">
      <c r="L456730" s="472"/>
      <c r="M456730" s="472"/>
    </row>
    <row r="456731" spans="12:13" x14ac:dyDescent="0.25">
      <c r="L456731" s="472"/>
      <c r="M456731" s="472"/>
    </row>
    <row r="456803" spans="12:13" x14ac:dyDescent="0.25">
      <c r="L456803" s="472"/>
      <c r="M456803" s="472"/>
    </row>
    <row r="456804" spans="12:13" x14ac:dyDescent="0.25">
      <c r="L456804" s="472"/>
      <c r="M456804" s="472"/>
    </row>
    <row r="456805" spans="12:13" x14ac:dyDescent="0.25">
      <c r="L456805" s="472"/>
      <c r="M456805" s="472"/>
    </row>
    <row r="456877" spans="12:13" x14ac:dyDescent="0.25">
      <c r="L456877" s="472"/>
      <c r="M456877" s="472"/>
    </row>
    <row r="456878" spans="12:13" x14ac:dyDescent="0.25">
      <c r="L456878" s="472"/>
      <c r="M456878" s="472"/>
    </row>
    <row r="456879" spans="12:13" x14ac:dyDescent="0.25">
      <c r="L456879" s="472"/>
      <c r="M456879" s="472"/>
    </row>
    <row r="456951" spans="12:13" x14ac:dyDescent="0.25">
      <c r="L456951" s="472"/>
      <c r="M456951" s="472"/>
    </row>
    <row r="456952" spans="12:13" x14ac:dyDescent="0.25">
      <c r="L456952" s="472"/>
      <c r="M456952" s="472"/>
    </row>
    <row r="456953" spans="12:13" x14ac:dyDescent="0.25">
      <c r="L456953" s="472"/>
      <c r="M456953" s="472"/>
    </row>
    <row r="457025" spans="12:13" x14ac:dyDescent="0.25">
      <c r="L457025" s="472"/>
      <c r="M457025" s="472"/>
    </row>
    <row r="457026" spans="12:13" x14ac:dyDescent="0.25">
      <c r="L457026" s="472"/>
      <c r="M457026" s="472"/>
    </row>
    <row r="457027" spans="12:13" x14ac:dyDescent="0.25">
      <c r="L457027" s="472"/>
      <c r="M457027" s="472"/>
    </row>
    <row r="457099" spans="12:13" x14ac:dyDescent="0.25">
      <c r="L457099" s="472"/>
      <c r="M457099" s="472"/>
    </row>
    <row r="457100" spans="12:13" x14ac:dyDescent="0.25">
      <c r="L457100" s="472"/>
      <c r="M457100" s="472"/>
    </row>
    <row r="457101" spans="12:13" x14ac:dyDescent="0.25">
      <c r="L457101" s="472"/>
      <c r="M457101" s="472"/>
    </row>
    <row r="457173" spans="12:13" x14ac:dyDescent="0.25">
      <c r="L457173" s="472"/>
      <c r="M457173" s="472"/>
    </row>
    <row r="457174" spans="12:13" x14ac:dyDescent="0.25">
      <c r="L457174" s="472"/>
      <c r="M457174" s="472"/>
    </row>
    <row r="457175" spans="12:13" x14ac:dyDescent="0.25">
      <c r="L457175" s="472"/>
      <c r="M457175" s="472"/>
    </row>
    <row r="457247" spans="12:13" x14ac:dyDescent="0.25">
      <c r="L457247" s="472"/>
      <c r="M457247" s="472"/>
    </row>
    <row r="457248" spans="12:13" x14ac:dyDescent="0.25">
      <c r="L457248" s="472"/>
      <c r="M457248" s="472"/>
    </row>
    <row r="457249" spans="12:13" x14ac:dyDescent="0.25">
      <c r="L457249" s="472"/>
      <c r="M457249" s="472"/>
    </row>
    <row r="457321" spans="12:13" x14ac:dyDescent="0.25">
      <c r="L457321" s="472"/>
      <c r="M457321" s="472"/>
    </row>
    <row r="457322" spans="12:13" x14ac:dyDescent="0.25">
      <c r="L457322" s="472"/>
      <c r="M457322" s="472"/>
    </row>
    <row r="457323" spans="12:13" x14ac:dyDescent="0.25">
      <c r="L457323" s="472"/>
      <c r="M457323" s="472"/>
    </row>
    <row r="457395" spans="12:13" x14ac:dyDescent="0.25">
      <c r="L457395" s="472"/>
      <c r="M457395" s="472"/>
    </row>
    <row r="457396" spans="12:13" x14ac:dyDescent="0.25">
      <c r="L457396" s="472"/>
      <c r="M457396" s="472"/>
    </row>
    <row r="457397" spans="12:13" x14ac:dyDescent="0.25">
      <c r="L457397" s="472"/>
      <c r="M457397" s="472"/>
    </row>
    <row r="457469" spans="12:13" x14ac:dyDescent="0.25">
      <c r="L457469" s="472"/>
      <c r="M457469" s="472"/>
    </row>
    <row r="457470" spans="12:13" x14ac:dyDescent="0.25">
      <c r="L457470" s="472"/>
      <c r="M457470" s="472"/>
    </row>
    <row r="457471" spans="12:13" x14ac:dyDescent="0.25">
      <c r="L457471" s="472"/>
      <c r="M457471" s="472"/>
    </row>
    <row r="457543" spans="12:13" x14ac:dyDescent="0.25">
      <c r="L457543" s="472"/>
      <c r="M457543" s="472"/>
    </row>
    <row r="457544" spans="12:13" x14ac:dyDescent="0.25">
      <c r="L457544" s="472"/>
      <c r="M457544" s="472"/>
    </row>
    <row r="457545" spans="12:13" x14ac:dyDescent="0.25">
      <c r="L457545" s="472"/>
      <c r="M457545" s="472"/>
    </row>
    <row r="457617" spans="12:13" x14ac:dyDescent="0.25">
      <c r="L457617" s="472"/>
      <c r="M457617" s="472"/>
    </row>
    <row r="457618" spans="12:13" x14ac:dyDescent="0.25">
      <c r="L457618" s="472"/>
      <c r="M457618" s="472"/>
    </row>
    <row r="457619" spans="12:13" x14ac:dyDescent="0.25">
      <c r="L457619" s="472"/>
      <c r="M457619" s="472"/>
    </row>
    <row r="457691" spans="12:13" x14ac:dyDescent="0.25">
      <c r="L457691" s="472"/>
      <c r="M457691" s="472"/>
    </row>
    <row r="457692" spans="12:13" x14ac:dyDescent="0.25">
      <c r="L457692" s="472"/>
      <c r="M457692" s="472"/>
    </row>
    <row r="457693" spans="12:13" x14ac:dyDescent="0.25">
      <c r="L457693" s="472"/>
      <c r="M457693" s="472"/>
    </row>
    <row r="457765" spans="12:13" x14ac:dyDescent="0.25">
      <c r="L457765" s="472"/>
      <c r="M457765" s="472"/>
    </row>
    <row r="457766" spans="12:13" x14ac:dyDescent="0.25">
      <c r="L457766" s="472"/>
      <c r="M457766" s="472"/>
    </row>
    <row r="457767" spans="12:13" x14ac:dyDescent="0.25">
      <c r="L457767" s="472"/>
      <c r="M457767" s="472"/>
    </row>
    <row r="457839" spans="12:13" x14ac:dyDescent="0.25">
      <c r="L457839" s="472"/>
      <c r="M457839" s="472"/>
    </row>
    <row r="457840" spans="12:13" x14ac:dyDescent="0.25">
      <c r="L457840" s="472"/>
      <c r="M457840" s="472"/>
    </row>
    <row r="457841" spans="12:13" x14ac:dyDescent="0.25">
      <c r="L457841" s="472"/>
      <c r="M457841" s="472"/>
    </row>
    <row r="457913" spans="12:13" x14ac:dyDescent="0.25">
      <c r="L457913" s="472"/>
      <c r="M457913" s="472"/>
    </row>
    <row r="457914" spans="12:13" x14ac:dyDescent="0.25">
      <c r="L457914" s="472"/>
      <c r="M457914" s="472"/>
    </row>
    <row r="457915" spans="12:13" x14ac:dyDescent="0.25">
      <c r="L457915" s="472"/>
      <c r="M457915" s="472"/>
    </row>
    <row r="457987" spans="12:13" x14ac:dyDescent="0.25">
      <c r="L457987" s="472"/>
      <c r="M457987" s="472"/>
    </row>
    <row r="457988" spans="12:13" x14ac:dyDescent="0.25">
      <c r="L457988" s="472"/>
      <c r="M457988" s="472"/>
    </row>
    <row r="457989" spans="12:13" x14ac:dyDescent="0.25">
      <c r="L457989" s="472"/>
      <c r="M457989" s="472"/>
    </row>
    <row r="458061" spans="12:13" x14ac:dyDescent="0.25">
      <c r="L458061" s="472"/>
      <c r="M458061" s="472"/>
    </row>
    <row r="458062" spans="12:13" x14ac:dyDescent="0.25">
      <c r="L458062" s="472"/>
      <c r="M458062" s="472"/>
    </row>
    <row r="458063" spans="12:13" x14ac:dyDescent="0.25">
      <c r="L458063" s="472"/>
      <c r="M458063" s="472"/>
    </row>
    <row r="458135" spans="12:13" x14ac:dyDescent="0.25">
      <c r="L458135" s="472"/>
      <c r="M458135" s="472"/>
    </row>
    <row r="458136" spans="12:13" x14ac:dyDescent="0.25">
      <c r="L458136" s="472"/>
      <c r="M458136" s="472"/>
    </row>
    <row r="458137" spans="12:13" x14ac:dyDescent="0.25">
      <c r="L458137" s="472"/>
      <c r="M458137" s="472"/>
    </row>
    <row r="458209" spans="12:13" x14ac:dyDescent="0.25">
      <c r="L458209" s="472"/>
      <c r="M458209" s="472"/>
    </row>
    <row r="458210" spans="12:13" x14ac:dyDescent="0.25">
      <c r="L458210" s="472"/>
      <c r="M458210" s="472"/>
    </row>
    <row r="458211" spans="12:13" x14ac:dyDescent="0.25">
      <c r="L458211" s="472"/>
      <c r="M458211" s="472"/>
    </row>
    <row r="458283" spans="12:13" x14ac:dyDescent="0.25">
      <c r="L458283" s="472"/>
      <c r="M458283" s="472"/>
    </row>
    <row r="458284" spans="12:13" x14ac:dyDescent="0.25">
      <c r="L458284" s="472"/>
      <c r="M458284" s="472"/>
    </row>
    <row r="458285" spans="12:13" x14ac:dyDescent="0.25">
      <c r="L458285" s="472"/>
      <c r="M458285" s="472"/>
    </row>
    <row r="458357" spans="12:13" x14ac:dyDescent="0.25">
      <c r="L458357" s="472"/>
      <c r="M458357" s="472"/>
    </row>
    <row r="458358" spans="12:13" x14ac:dyDescent="0.25">
      <c r="L458358" s="472"/>
      <c r="M458358" s="472"/>
    </row>
    <row r="458359" spans="12:13" x14ac:dyDescent="0.25">
      <c r="L458359" s="472"/>
      <c r="M458359" s="472"/>
    </row>
    <row r="458431" spans="12:13" x14ac:dyDescent="0.25">
      <c r="L458431" s="472"/>
      <c r="M458431" s="472"/>
    </row>
    <row r="458432" spans="12:13" x14ac:dyDescent="0.25">
      <c r="L458432" s="472"/>
      <c r="M458432" s="472"/>
    </row>
    <row r="458433" spans="12:13" x14ac:dyDescent="0.25">
      <c r="L458433" s="472"/>
      <c r="M458433" s="472"/>
    </row>
    <row r="458505" spans="12:13" x14ac:dyDescent="0.25">
      <c r="L458505" s="472"/>
      <c r="M458505" s="472"/>
    </row>
    <row r="458506" spans="12:13" x14ac:dyDescent="0.25">
      <c r="L458506" s="472"/>
      <c r="M458506" s="472"/>
    </row>
    <row r="458507" spans="12:13" x14ac:dyDescent="0.25">
      <c r="L458507" s="472"/>
      <c r="M458507" s="472"/>
    </row>
    <row r="458579" spans="12:13" x14ac:dyDescent="0.25">
      <c r="L458579" s="472"/>
      <c r="M458579" s="472"/>
    </row>
    <row r="458580" spans="12:13" x14ac:dyDescent="0.25">
      <c r="L458580" s="472"/>
      <c r="M458580" s="472"/>
    </row>
    <row r="458581" spans="12:13" x14ac:dyDescent="0.25">
      <c r="L458581" s="472"/>
      <c r="M458581" s="472"/>
    </row>
    <row r="458653" spans="12:13" x14ac:dyDescent="0.25">
      <c r="L458653" s="472"/>
      <c r="M458653" s="472"/>
    </row>
    <row r="458654" spans="12:13" x14ac:dyDescent="0.25">
      <c r="L458654" s="472"/>
      <c r="M458654" s="472"/>
    </row>
    <row r="458655" spans="12:13" x14ac:dyDescent="0.25">
      <c r="L458655" s="472"/>
      <c r="M458655" s="472"/>
    </row>
    <row r="458727" spans="12:13" x14ac:dyDescent="0.25">
      <c r="L458727" s="472"/>
      <c r="M458727" s="472"/>
    </row>
    <row r="458728" spans="12:13" x14ac:dyDescent="0.25">
      <c r="L458728" s="472"/>
      <c r="M458728" s="472"/>
    </row>
    <row r="458729" spans="12:13" x14ac:dyDescent="0.25">
      <c r="L458729" s="472"/>
      <c r="M458729" s="472"/>
    </row>
    <row r="458801" spans="12:13" x14ac:dyDescent="0.25">
      <c r="L458801" s="472"/>
      <c r="M458801" s="472"/>
    </row>
    <row r="458802" spans="12:13" x14ac:dyDescent="0.25">
      <c r="L458802" s="472"/>
      <c r="M458802" s="472"/>
    </row>
    <row r="458803" spans="12:13" x14ac:dyDescent="0.25">
      <c r="L458803" s="472"/>
      <c r="M458803" s="472"/>
    </row>
    <row r="458875" spans="12:13" x14ac:dyDescent="0.25">
      <c r="L458875" s="472"/>
      <c r="M458875" s="472"/>
    </row>
    <row r="458876" spans="12:13" x14ac:dyDescent="0.25">
      <c r="L458876" s="472"/>
      <c r="M458876" s="472"/>
    </row>
    <row r="458877" spans="12:13" x14ac:dyDescent="0.25">
      <c r="L458877" s="472"/>
      <c r="M458877" s="472"/>
    </row>
    <row r="458949" spans="12:13" x14ac:dyDescent="0.25">
      <c r="L458949" s="472"/>
      <c r="M458949" s="472"/>
    </row>
    <row r="458950" spans="12:13" x14ac:dyDescent="0.25">
      <c r="L458950" s="472"/>
      <c r="M458950" s="472"/>
    </row>
    <row r="458951" spans="12:13" x14ac:dyDescent="0.25">
      <c r="L458951" s="472"/>
      <c r="M458951" s="472"/>
    </row>
    <row r="459023" spans="12:13" x14ac:dyDescent="0.25">
      <c r="L459023" s="472"/>
      <c r="M459023" s="472"/>
    </row>
    <row r="459024" spans="12:13" x14ac:dyDescent="0.25">
      <c r="L459024" s="472"/>
      <c r="M459024" s="472"/>
    </row>
    <row r="459025" spans="12:13" x14ac:dyDescent="0.25">
      <c r="L459025" s="472"/>
      <c r="M459025" s="472"/>
    </row>
    <row r="459097" spans="12:13" x14ac:dyDescent="0.25">
      <c r="L459097" s="472"/>
      <c r="M459097" s="472"/>
    </row>
    <row r="459098" spans="12:13" x14ac:dyDescent="0.25">
      <c r="L459098" s="472"/>
      <c r="M459098" s="472"/>
    </row>
    <row r="459099" spans="12:13" x14ac:dyDescent="0.25">
      <c r="L459099" s="472"/>
      <c r="M459099" s="472"/>
    </row>
    <row r="459171" spans="12:13" x14ac:dyDescent="0.25">
      <c r="L459171" s="472"/>
      <c r="M459171" s="472"/>
    </row>
    <row r="459172" spans="12:13" x14ac:dyDescent="0.25">
      <c r="L459172" s="472"/>
      <c r="M459172" s="472"/>
    </row>
    <row r="459173" spans="12:13" x14ac:dyDescent="0.25">
      <c r="L459173" s="472"/>
      <c r="M459173" s="472"/>
    </row>
    <row r="459245" spans="12:13" x14ac:dyDescent="0.25">
      <c r="L459245" s="472"/>
      <c r="M459245" s="472"/>
    </row>
    <row r="459246" spans="12:13" x14ac:dyDescent="0.25">
      <c r="L459246" s="472"/>
      <c r="M459246" s="472"/>
    </row>
    <row r="459247" spans="12:13" x14ac:dyDescent="0.25">
      <c r="L459247" s="472"/>
      <c r="M459247" s="472"/>
    </row>
    <row r="459319" spans="12:13" x14ac:dyDescent="0.25">
      <c r="L459319" s="472"/>
      <c r="M459319" s="472"/>
    </row>
    <row r="459320" spans="12:13" x14ac:dyDescent="0.25">
      <c r="L459320" s="472"/>
      <c r="M459320" s="472"/>
    </row>
    <row r="459321" spans="12:13" x14ac:dyDescent="0.25">
      <c r="L459321" s="472"/>
      <c r="M459321" s="472"/>
    </row>
    <row r="459393" spans="12:13" x14ac:dyDescent="0.25">
      <c r="L459393" s="472"/>
      <c r="M459393" s="472"/>
    </row>
    <row r="459394" spans="12:13" x14ac:dyDescent="0.25">
      <c r="L459394" s="472"/>
      <c r="M459394" s="472"/>
    </row>
    <row r="459395" spans="12:13" x14ac:dyDescent="0.25">
      <c r="L459395" s="472"/>
      <c r="M459395" s="472"/>
    </row>
    <row r="459467" spans="12:13" x14ac:dyDescent="0.25">
      <c r="L459467" s="472"/>
      <c r="M459467" s="472"/>
    </row>
    <row r="459468" spans="12:13" x14ac:dyDescent="0.25">
      <c r="L459468" s="472"/>
      <c r="M459468" s="472"/>
    </row>
    <row r="459469" spans="12:13" x14ac:dyDescent="0.25">
      <c r="L459469" s="472"/>
      <c r="M459469" s="472"/>
    </row>
    <row r="459541" spans="12:13" x14ac:dyDescent="0.25">
      <c r="L459541" s="472"/>
      <c r="M459541" s="472"/>
    </row>
    <row r="459542" spans="12:13" x14ac:dyDescent="0.25">
      <c r="L459542" s="472"/>
      <c r="M459542" s="472"/>
    </row>
    <row r="459543" spans="12:13" x14ac:dyDescent="0.25">
      <c r="L459543" s="472"/>
      <c r="M459543" s="472"/>
    </row>
    <row r="459615" spans="12:13" x14ac:dyDescent="0.25">
      <c r="L459615" s="472"/>
      <c r="M459615" s="472"/>
    </row>
    <row r="459616" spans="12:13" x14ac:dyDescent="0.25">
      <c r="L459616" s="472"/>
      <c r="M459616" s="472"/>
    </row>
    <row r="459617" spans="12:13" x14ac:dyDescent="0.25">
      <c r="L459617" s="472"/>
      <c r="M459617" s="472"/>
    </row>
    <row r="459689" spans="12:13" x14ac:dyDescent="0.25">
      <c r="L459689" s="472"/>
      <c r="M459689" s="472"/>
    </row>
    <row r="459690" spans="12:13" x14ac:dyDescent="0.25">
      <c r="L459690" s="472"/>
      <c r="M459690" s="472"/>
    </row>
    <row r="459691" spans="12:13" x14ac:dyDescent="0.25">
      <c r="L459691" s="472"/>
      <c r="M459691" s="472"/>
    </row>
    <row r="459763" spans="12:13" x14ac:dyDescent="0.25">
      <c r="L459763" s="472"/>
      <c r="M459763" s="472"/>
    </row>
    <row r="459764" spans="12:13" x14ac:dyDescent="0.25">
      <c r="L459764" s="472"/>
      <c r="M459764" s="472"/>
    </row>
    <row r="459765" spans="12:13" x14ac:dyDescent="0.25">
      <c r="L459765" s="472"/>
      <c r="M459765" s="472"/>
    </row>
    <row r="459837" spans="12:13" x14ac:dyDescent="0.25">
      <c r="L459837" s="472"/>
      <c r="M459837" s="472"/>
    </row>
    <row r="459838" spans="12:13" x14ac:dyDescent="0.25">
      <c r="L459838" s="472"/>
      <c r="M459838" s="472"/>
    </row>
    <row r="459839" spans="12:13" x14ac:dyDescent="0.25">
      <c r="L459839" s="472"/>
      <c r="M459839" s="472"/>
    </row>
    <row r="459911" spans="12:13" x14ac:dyDescent="0.25">
      <c r="L459911" s="472"/>
      <c r="M459911" s="472"/>
    </row>
    <row r="459912" spans="12:13" x14ac:dyDescent="0.25">
      <c r="L459912" s="472"/>
      <c r="M459912" s="472"/>
    </row>
    <row r="459913" spans="12:13" x14ac:dyDescent="0.25">
      <c r="L459913" s="472"/>
      <c r="M459913" s="472"/>
    </row>
    <row r="459985" spans="12:13" x14ac:dyDescent="0.25">
      <c r="L459985" s="472"/>
      <c r="M459985" s="472"/>
    </row>
    <row r="459986" spans="12:13" x14ac:dyDescent="0.25">
      <c r="L459986" s="472"/>
      <c r="M459986" s="472"/>
    </row>
    <row r="459987" spans="12:13" x14ac:dyDescent="0.25">
      <c r="L459987" s="472"/>
      <c r="M459987" s="472"/>
    </row>
    <row r="460059" spans="12:13" x14ac:dyDescent="0.25">
      <c r="L460059" s="472"/>
      <c r="M460059" s="472"/>
    </row>
    <row r="460060" spans="12:13" x14ac:dyDescent="0.25">
      <c r="L460060" s="472"/>
      <c r="M460060" s="472"/>
    </row>
    <row r="460061" spans="12:13" x14ac:dyDescent="0.25">
      <c r="L460061" s="472"/>
      <c r="M460061" s="472"/>
    </row>
    <row r="460133" spans="12:13" x14ac:dyDescent="0.25">
      <c r="L460133" s="472"/>
      <c r="M460133" s="472"/>
    </row>
    <row r="460134" spans="12:13" x14ac:dyDescent="0.25">
      <c r="L460134" s="472"/>
      <c r="M460134" s="472"/>
    </row>
    <row r="460135" spans="12:13" x14ac:dyDescent="0.25">
      <c r="L460135" s="472"/>
      <c r="M460135" s="472"/>
    </row>
    <row r="460207" spans="12:13" x14ac:dyDescent="0.25">
      <c r="L460207" s="472"/>
      <c r="M460207" s="472"/>
    </row>
    <row r="460208" spans="12:13" x14ac:dyDescent="0.25">
      <c r="L460208" s="472"/>
      <c r="M460208" s="472"/>
    </row>
    <row r="460209" spans="12:13" x14ac:dyDescent="0.25">
      <c r="L460209" s="472"/>
      <c r="M460209" s="472"/>
    </row>
    <row r="460281" spans="12:13" x14ac:dyDescent="0.25">
      <c r="L460281" s="472"/>
      <c r="M460281" s="472"/>
    </row>
    <row r="460282" spans="12:13" x14ac:dyDescent="0.25">
      <c r="L460282" s="472"/>
      <c r="M460282" s="472"/>
    </row>
    <row r="460283" spans="12:13" x14ac:dyDescent="0.25">
      <c r="L460283" s="472"/>
      <c r="M460283" s="472"/>
    </row>
    <row r="460355" spans="12:13" x14ac:dyDescent="0.25">
      <c r="L460355" s="472"/>
      <c r="M460355" s="472"/>
    </row>
    <row r="460356" spans="12:13" x14ac:dyDescent="0.25">
      <c r="L460356" s="472"/>
      <c r="M460356" s="472"/>
    </row>
    <row r="460357" spans="12:13" x14ac:dyDescent="0.25">
      <c r="L460357" s="472"/>
      <c r="M460357" s="472"/>
    </row>
    <row r="460429" spans="12:13" x14ac:dyDescent="0.25">
      <c r="L460429" s="472"/>
      <c r="M460429" s="472"/>
    </row>
    <row r="460430" spans="12:13" x14ac:dyDescent="0.25">
      <c r="L460430" s="472"/>
      <c r="M460430" s="472"/>
    </row>
    <row r="460431" spans="12:13" x14ac:dyDescent="0.25">
      <c r="L460431" s="472"/>
      <c r="M460431" s="472"/>
    </row>
    <row r="460503" spans="12:13" x14ac:dyDescent="0.25">
      <c r="L460503" s="472"/>
      <c r="M460503" s="472"/>
    </row>
    <row r="460504" spans="12:13" x14ac:dyDescent="0.25">
      <c r="L460504" s="472"/>
      <c r="M460504" s="472"/>
    </row>
    <row r="460505" spans="12:13" x14ac:dyDescent="0.25">
      <c r="L460505" s="472"/>
      <c r="M460505" s="472"/>
    </row>
    <row r="460577" spans="12:13" x14ac:dyDescent="0.25">
      <c r="L460577" s="472"/>
      <c r="M460577" s="472"/>
    </row>
    <row r="460578" spans="12:13" x14ac:dyDescent="0.25">
      <c r="L460578" s="472"/>
      <c r="M460578" s="472"/>
    </row>
    <row r="460579" spans="12:13" x14ac:dyDescent="0.25">
      <c r="L460579" s="472"/>
      <c r="M460579" s="472"/>
    </row>
    <row r="460651" spans="12:13" x14ac:dyDescent="0.25">
      <c r="L460651" s="472"/>
      <c r="M460651" s="472"/>
    </row>
    <row r="460652" spans="12:13" x14ac:dyDescent="0.25">
      <c r="L460652" s="472"/>
      <c r="M460652" s="472"/>
    </row>
    <row r="460653" spans="12:13" x14ac:dyDescent="0.25">
      <c r="L460653" s="472"/>
      <c r="M460653" s="472"/>
    </row>
    <row r="460725" spans="12:13" x14ac:dyDescent="0.25">
      <c r="L460725" s="472"/>
      <c r="M460725" s="472"/>
    </row>
    <row r="460726" spans="12:13" x14ac:dyDescent="0.25">
      <c r="L460726" s="472"/>
      <c r="M460726" s="472"/>
    </row>
    <row r="460727" spans="12:13" x14ac:dyDescent="0.25">
      <c r="L460727" s="472"/>
      <c r="M460727" s="472"/>
    </row>
    <row r="460799" spans="12:13" x14ac:dyDescent="0.25">
      <c r="L460799" s="472"/>
      <c r="M460799" s="472"/>
    </row>
    <row r="460800" spans="12:13" x14ac:dyDescent="0.25">
      <c r="L460800" s="472"/>
      <c r="M460800" s="472"/>
    </row>
    <row r="460801" spans="12:13" x14ac:dyDescent="0.25">
      <c r="L460801" s="472"/>
      <c r="M460801" s="472"/>
    </row>
    <row r="460873" spans="12:13" x14ac:dyDescent="0.25">
      <c r="L460873" s="472"/>
      <c r="M460873" s="472"/>
    </row>
    <row r="460874" spans="12:13" x14ac:dyDescent="0.25">
      <c r="L460874" s="472"/>
      <c r="M460874" s="472"/>
    </row>
    <row r="460875" spans="12:13" x14ac:dyDescent="0.25">
      <c r="L460875" s="472"/>
      <c r="M460875" s="472"/>
    </row>
    <row r="460947" spans="12:13" x14ac:dyDescent="0.25">
      <c r="L460947" s="472"/>
      <c r="M460947" s="472"/>
    </row>
    <row r="460948" spans="12:13" x14ac:dyDescent="0.25">
      <c r="L460948" s="472"/>
      <c r="M460948" s="472"/>
    </row>
    <row r="460949" spans="12:13" x14ac:dyDescent="0.25">
      <c r="L460949" s="472"/>
      <c r="M460949" s="472"/>
    </row>
    <row r="461021" spans="12:13" x14ac:dyDescent="0.25">
      <c r="L461021" s="472"/>
      <c r="M461021" s="472"/>
    </row>
    <row r="461022" spans="12:13" x14ac:dyDescent="0.25">
      <c r="L461022" s="472"/>
      <c r="M461022" s="472"/>
    </row>
    <row r="461023" spans="12:13" x14ac:dyDescent="0.25">
      <c r="L461023" s="472"/>
      <c r="M461023" s="472"/>
    </row>
    <row r="461095" spans="12:13" x14ac:dyDescent="0.25">
      <c r="L461095" s="472"/>
      <c r="M461095" s="472"/>
    </row>
    <row r="461096" spans="12:13" x14ac:dyDescent="0.25">
      <c r="L461096" s="472"/>
      <c r="M461096" s="472"/>
    </row>
    <row r="461097" spans="12:13" x14ac:dyDescent="0.25">
      <c r="L461097" s="472"/>
      <c r="M461097" s="472"/>
    </row>
    <row r="461169" spans="12:13" x14ac:dyDescent="0.25">
      <c r="L461169" s="472"/>
      <c r="M461169" s="472"/>
    </row>
    <row r="461170" spans="12:13" x14ac:dyDescent="0.25">
      <c r="L461170" s="472"/>
      <c r="M461170" s="472"/>
    </row>
    <row r="461171" spans="12:13" x14ac:dyDescent="0.25">
      <c r="L461171" s="472"/>
      <c r="M461171" s="472"/>
    </row>
    <row r="461243" spans="12:13" x14ac:dyDescent="0.25">
      <c r="L461243" s="472"/>
      <c r="M461243" s="472"/>
    </row>
    <row r="461244" spans="12:13" x14ac:dyDescent="0.25">
      <c r="L461244" s="472"/>
      <c r="M461244" s="472"/>
    </row>
    <row r="461245" spans="12:13" x14ac:dyDescent="0.25">
      <c r="L461245" s="472"/>
      <c r="M461245" s="472"/>
    </row>
    <row r="461317" spans="12:13" x14ac:dyDescent="0.25">
      <c r="L461317" s="472"/>
      <c r="M461317" s="472"/>
    </row>
    <row r="461318" spans="12:13" x14ac:dyDescent="0.25">
      <c r="L461318" s="472"/>
      <c r="M461318" s="472"/>
    </row>
    <row r="461319" spans="12:13" x14ac:dyDescent="0.25">
      <c r="L461319" s="472"/>
      <c r="M461319" s="472"/>
    </row>
    <row r="461391" spans="12:13" x14ac:dyDescent="0.25">
      <c r="L461391" s="472"/>
      <c r="M461391" s="472"/>
    </row>
    <row r="461392" spans="12:13" x14ac:dyDescent="0.25">
      <c r="L461392" s="472"/>
      <c r="M461392" s="472"/>
    </row>
    <row r="461393" spans="12:13" x14ac:dyDescent="0.25">
      <c r="L461393" s="472"/>
      <c r="M461393" s="472"/>
    </row>
    <row r="461465" spans="12:13" x14ac:dyDescent="0.25">
      <c r="L461465" s="472"/>
      <c r="M461465" s="472"/>
    </row>
    <row r="461466" spans="12:13" x14ac:dyDescent="0.25">
      <c r="L461466" s="472"/>
      <c r="M461466" s="472"/>
    </row>
    <row r="461467" spans="12:13" x14ac:dyDescent="0.25">
      <c r="L461467" s="472"/>
      <c r="M461467" s="472"/>
    </row>
    <row r="461539" spans="12:13" x14ac:dyDescent="0.25">
      <c r="L461539" s="472"/>
      <c r="M461539" s="472"/>
    </row>
    <row r="461540" spans="12:13" x14ac:dyDescent="0.25">
      <c r="L461540" s="472"/>
      <c r="M461540" s="472"/>
    </row>
    <row r="461541" spans="12:13" x14ac:dyDescent="0.25">
      <c r="L461541" s="472"/>
      <c r="M461541" s="472"/>
    </row>
    <row r="461613" spans="12:13" x14ac:dyDescent="0.25">
      <c r="L461613" s="472"/>
      <c r="M461613" s="472"/>
    </row>
    <row r="461614" spans="12:13" x14ac:dyDescent="0.25">
      <c r="L461614" s="472"/>
      <c r="M461614" s="472"/>
    </row>
    <row r="461615" spans="12:13" x14ac:dyDescent="0.25">
      <c r="L461615" s="472"/>
      <c r="M461615" s="472"/>
    </row>
    <row r="461687" spans="12:13" x14ac:dyDescent="0.25">
      <c r="L461687" s="472"/>
      <c r="M461687" s="472"/>
    </row>
    <row r="461688" spans="12:13" x14ac:dyDescent="0.25">
      <c r="L461688" s="472"/>
      <c r="M461688" s="472"/>
    </row>
    <row r="461689" spans="12:13" x14ac:dyDescent="0.25">
      <c r="L461689" s="472"/>
      <c r="M461689" s="472"/>
    </row>
    <row r="461761" spans="12:13" x14ac:dyDescent="0.25">
      <c r="L461761" s="472"/>
      <c r="M461761" s="472"/>
    </row>
    <row r="461762" spans="12:13" x14ac:dyDescent="0.25">
      <c r="L461762" s="472"/>
      <c r="M461762" s="472"/>
    </row>
    <row r="461763" spans="12:13" x14ac:dyDescent="0.25">
      <c r="L461763" s="472"/>
      <c r="M461763" s="472"/>
    </row>
    <row r="461835" spans="12:13" x14ac:dyDescent="0.25">
      <c r="L461835" s="472"/>
      <c r="M461835" s="472"/>
    </row>
    <row r="461836" spans="12:13" x14ac:dyDescent="0.25">
      <c r="L461836" s="472"/>
      <c r="M461836" s="472"/>
    </row>
    <row r="461837" spans="12:13" x14ac:dyDescent="0.25">
      <c r="L461837" s="472"/>
      <c r="M461837" s="472"/>
    </row>
    <row r="461909" spans="12:13" x14ac:dyDescent="0.25">
      <c r="L461909" s="472"/>
      <c r="M461909" s="472"/>
    </row>
    <row r="461910" spans="12:13" x14ac:dyDescent="0.25">
      <c r="L461910" s="472"/>
      <c r="M461910" s="472"/>
    </row>
    <row r="461911" spans="12:13" x14ac:dyDescent="0.25">
      <c r="L461911" s="472"/>
      <c r="M461911" s="472"/>
    </row>
    <row r="461983" spans="12:13" x14ac:dyDescent="0.25">
      <c r="L461983" s="472"/>
      <c r="M461983" s="472"/>
    </row>
    <row r="461984" spans="12:13" x14ac:dyDescent="0.25">
      <c r="L461984" s="472"/>
      <c r="M461984" s="472"/>
    </row>
    <row r="461985" spans="12:13" x14ac:dyDescent="0.25">
      <c r="L461985" s="472"/>
      <c r="M461985" s="472"/>
    </row>
    <row r="462057" spans="12:13" x14ac:dyDescent="0.25">
      <c r="L462057" s="472"/>
      <c r="M462057" s="472"/>
    </row>
    <row r="462058" spans="12:13" x14ac:dyDescent="0.25">
      <c r="L462058" s="472"/>
      <c r="M462058" s="472"/>
    </row>
    <row r="462059" spans="12:13" x14ac:dyDescent="0.25">
      <c r="L462059" s="472"/>
      <c r="M462059" s="472"/>
    </row>
    <row r="462131" spans="12:13" x14ac:dyDescent="0.25">
      <c r="L462131" s="472"/>
      <c r="M462131" s="472"/>
    </row>
    <row r="462132" spans="12:13" x14ac:dyDescent="0.25">
      <c r="L462132" s="472"/>
      <c r="M462132" s="472"/>
    </row>
    <row r="462133" spans="12:13" x14ac:dyDescent="0.25">
      <c r="L462133" s="472"/>
      <c r="M462133" s="472"/>
    </row>
    <row r="462205" spans="12:13" x14ac:dyDescent="0.25">
      <c r="L462205" s="472"/>
      <c r="M462205" s="472"/>
    </row>
    <row r="462206" spans="12:13" x14ac:dyDescent="0.25">
      <c r="L462206" s="472"/>
      <c r="M462206" s="472"/>
    </row>
    <row r="462207" spans="12:13" x14ac:dyDescent="0.25">
      <c r="L462207" s="472"/>
      <c r="M462207" s="472"/>
    </row>
    <row r="462279" spans="12:13" x14ac:dyDescent="0.25">
      <c r="L462279" s="472"/>
      <c r="M462279" s="472"/>
    </row>
    <row r="462280" spans="12:13" x14ac:dyDescent="0.25">
      <c r="L462280" s="472"/>
      <c r="M462280" s="472"/>
    </row>
    <row r="462281" spans="12:13" x14ac:dyDescent="0.25">
      <c r="L462281" s="472"/>
      <c r="M462281" s="472"/>
    </row>
    <row r="462353" spans="12:13" x14ac:dyDescent="0.25">
      <c r="L462353" s="472"/>
      <c r="M462353" s="472"/>
    </row>
    <row r="462354" spans="12:13" x14ac:dyDescent="0.25">
      <c r="L462354" s="472"/>
      <c r="M462354" s="472"/>
    </row>
    <row r="462355" spans="12:13" x14ac:dyDescent="0.25">
      <c r="L462355" s="472"/>
      <c r="M462355" s="472"/>
    </row>
    <row r="462427" spans="12:13" x14ac:dyDescent="0.25">
      <c r="L462427" s="472"/>
      <c r="M462427" s="472"/>
    </row>
    <row r="462428" spans="12:13" x14ac:dyDescent="0.25">
      <c r="L462428" s="472"/>
      <c r="M462428" s="472"/>
    </row>
    <row r="462429" spans="12:13" x14ac:dyDescent="0.25">
      <c r="L462429" s="472"/>
      <c r="M462429" s="472"/>
    </row>
    <row r="462501" spans="12:13" x14ac:dyDescent="0.25">
      <c r="L462501" s="472"/>
      <c r="M462501" s="472"/>
    </row>
    <row r="462502" spans="12:13" x14ac:dyDescent="0.25">
      <c r="L462502" s="472"/>
      <c r="M462502" s="472"/>
    </row>
    <row r="462503" spans="12:13" x14ac:dyDescent="0.25">
      <c r="L462503" s="472"/>
      <c r="M462503" s="472"/>
    </row>
    <row r="462575" spans="12:13" x14ac:dyDescent="0.25">
      <c r="L462575" s="472"/>
      <c r="M462575" s="472"/>
    </row>
    <row r="462576" spans="12:13" x14ac:dyDescent="0.25">
      <c r="L462576" s="472"/>
      <c r="M462576" s="472"/>
    </row>
    <row r="462577" spans="12:13" x14ac:dyDescent="0.25">
      <c r="L462577" s="472"/>
      <c r="M462577" s="472"/>
    </row>
    <row r="462649" spans="12:13" x14ac:dyDescent="0.25">
      <c r="L462649" s="472"/>
      <c r="M462649" s="472"/>
    </row>
    <row r="462650" spans="12:13" x14ac:dyDescent="0.25">
      <c r="L462650" s="472"/>
      <c r="M462650" s="472"/>
    </row>
    <row r="462651" spans="12:13" x14ac:dyDescent="0.25">
      <c r="L462651" s="472"/>
      <c r="M462651" s="472"/>
    </row>
    <row r="462723" spans="12:13" x14ac:dyDescent="0.25">
      <c r="L462723" s="472"/>
      <c r="M462723" s="472"/>
    </row>
    <row r="462724" spans="12:13" x14ac:dyDescent="0.25">
      <c r="L462724" s="472"/>
      <c r="M462724" s="472"/>
    </row>
    <row r="462725" spans="12:13" x14ac:dyDescent="0.25">
      <c r="L462725" s="472"/>
      <c r="M462725" s="472"/>
    </row>
    <row r="462797" spans="12:13" x14ac:dyDescent="0.25">
      <c r="L462797" s="472"/>
      <c r="M462797" s="472"/>
    </row>
    <row r="462798" spans="12:13" x14ac:dyDescent="0.25">
      <c r="L462798" s="472"/>
      <c r="M462798" s="472"/>
    </row>
    <row r="462799" spans="12:13" x14ac:dyDescent="0.25">
      <c r="L462799" s="472"/>
      <c r="M462799" s="472"/>
    </row>
    <row r="462871" spans="12:13" x14ac:dyDescent="0.25">
      <c r="L462871" s="472"/>
      <c r="M462871" s="472"/>
    </row>
    <row r="462872" spans="12:13" x14ac:dyDescent="0.25">
      <c r="L462872" s="472"/>
      <c r="M462872" s="472"/>
    </row>
    <row r="462873" spans="12:13" x14ac:dyDescent="0.25">
      <c r="L462873" s="472"/>
      <c r="M462873" s="472"/>
    </row>
    <row r="462945" spans="12:13" x14ac:dyDescent="0.25">
      <c r="L462945" s="472"/>
      <c r="M462945" s="472"/>
    </row>
    <row r="462946" spans="12:13" x14ac:dyDescent="0.25">
      <c r="L462946" s="472"/>
      <c r="M462946" s="472"/>
    </row>
    <row r="462947" spans="12:13" x14ac:dyDescent="0.25">
      <c r="L462947" s="472"/>
      <c r="M462947" s="472"/>
    </row>
    <row r="463019" spans="12:13" x14ac:dyDescent="0.25">
      <c r="L463019" s="472"/>
      <c r="M463019" s="472"/>
    </row>
    <row r="463020" spans="12:13" x14ac:dyDescent="0.25">
      <c r="L463020" s="472"/>
      <c r="M463020" s="472"/>
    </row>
    <row r="463021" spans="12:13" x14ac:dyDescent="0.25">
      <c r="L463021" s="472"/>
      <c r="M463021" s="472"/>
    </row>
    <row r="463093" spans="12:13" x14ac:dyDescent="0.25">
      <c r="L463093" s="472"/>
      <c r="M463093" s="472"/>
    </row>
    <row r="463094" spans="12:13" x14ac:dyDescent="0.25">
      <c r="L463094" s="472"/>
      <c r="M463094" s="472"/>
    </row>
    <row r="463095" spans="12:13" x14ac:dyDescent="0.25">
      <c r="L463095" s="472"/>
      <c r="M463095" s="472"/>
    </row>
    <row r="463167" spans="12:13" x14ac:dyDescent="0.25">
      <c r="L463167" s="472"/>
      <c r="M463167" s="472"/>
    </row>
    <row r="463168" spans="12:13" x14ac:dyDescent="0.25">
      <c r="L463168" s="472"/>
      <c r="M463168" s="472"/>
    </row>
    <row r="463169" spans="12:13" x14ac:dyDescent="0.25">
      <c r="L463169" s="472"/>
      <c r="M463169" s="472"/>
    </row>
    <row r="463241" spans="12:13" x14ac:dyDescent="0.25">
      <c r="L463241" s="472"/>
      <c r="M463241" s="472"/>
    </row>
    <row r="463242" spans="12:13" x14ac:dyDescent="0.25">
      <c r="L463242" s="472"/>
      <c r="M463242" s="472"/>
    </row>
    <row r="463243" spans="12:13" x14ac:dyDescent="0.25">
      <c r="L463243" s="472"/>
      <c r="M463243" s="472"/>
    </row>
    <row r="463315" spans="12:13" x14ac:dyDescent="0.25">
      <c r="L463315" s="472"/>
      <c r="M463315" s="472"/>
    </row>
    <row r="463316" spans="12:13" x14ac:dyDescent="0.25">
      <c r="L463316" s="472"/>
      <c r="M463316" s="472"/>
    </row>
    <row r="463317" spans="12:13" x14ac:dyDescent="0.25">
      <c r="L463317" s="472"/>
      <c r="M463317" s="472"/>
    </row>
    <row r="463389" spans="12:13" x14ac:dyDescent="0.25">
      <c r="L463389" s="472"/>
      <c r="M463389" s="472"/>
    </row>
    <row r="463390" spans="12:13" x14ac:dyDescent="0.25">
      <c r="L463390" s="472"/>
      <c r="M463390" s="472"/>
    </row>
    <row r="463391" spans="12:13" x14ac:dyDescent="0.25">
      <c r="L463391" s="472"/>
      <c r="M463391" s="472"/>
    </row>
    <row r="463463" spans="12:13" x14ac:dyDescent="0.25">
      <c r="L463463" s="472"/>
      <c r="M463463" s="472"/>
    </row>
    <row r="463464" spans="12:13" x14ac:dyDescent="0.25">
      <c r="L463464" s="472"/>
      <c r="M463464" s="472"/>
    </row>
    <row r="463465" spans="12:13" x14ac:dyDescent="0.25">
      <c r="L463465" s="472"/>
      <c r="M463465" s="472"/>
    </row>
    <row r="463537" spans="12:13" x14ac:dyDescent="0.25">
      <c r="L463537" s="472"/>
      <c r="M463537" s="472"/>
    </row>
    <row r="463538" spans="12:13" x14ac:dyDescent="0.25">
      <c r="L463538" s="472"/>
      <c r="M463538" s="472"/>
    </row>
    <row r="463539" spans="12:13" x14ac:dyDescent="0.25">
      <c r="L463539" s="472"/>
      <c r="M463539" s="472"/>
    </row>
    <row r="463611" spans="12:13" x14ac:dyDescent="0.25">
      <c r="L463611" s="472"/>
      <c r="M463611" s="472"/>
    </row>
    <row r="463612" spans="12:13" x14ac:dyDescent="0.25">
      <c r="L463612" s="472"/>
      <c r="M463612" s="472"/>
    </row>
    <row r="463613" spans="12:13" x14ac:dyDescent="0.25">
      <c r="L463613" s="472"/>
      <c r="M463613" s="472"/>
    </row>
    <row r="463685" spans="12:13" x14ac:dyDescent="0.25">
      <c r="L463685" s="472"/>
      <c r="M463685" s="472"/>
    </row>
    <row r="463686" spans="12:13" x14ac:dyDescent="0.25">
      <c r="L463686" s="472"/>
      <c r="M463686" s="472"/>
    </row>
    <row r="463687" spans="12:13" x14ac:dyDescent="0.25">
      <c r="L463687" s="472"/>
      <c r="M463687" s="472"/>
    </row>
    <row r="463759" spans="12:13" x14ac:dyDescent="0.25">
      <c r="L463759" s="472"/>
      <c r="M463759" s="472"/>
    </row>
    <row r="463760" spans="12:13" x14ac:dyDescent="0.25">
      <c r="L463760" s="472"/>
      <c r="M463760" s="472"/>
    </row>
    <row r="463761" spans="12:13" x14ac:dyDescent="0.25">
      <c r="L463761" s="472"/>
      <c r="M463761" s="472"/>
    </row>
    <row r="463833" spans="12:13" x14ac:dyDescent="0.25">
      <c r="L463833" s="472"/>
      <c r="M463833" s="472"/>
    </row>
    <row r="463834" spans="12:13" x14ac:dyDescent="0.25">
      <c r="L463834" s="472"/>
      <c r="M463834" s="472"/>
    </row>
    <row r="463835" spans="12:13" x14ac:dyDescent="0.25">
      <c r="L463835" s="472"/>
      <c r="M463835" s="472"/>
    </row>
    <row r="463907" spans="12:13" x14ac:dyDescent="0.25">
      <c r="L463907" s="472"/>
      <c r="M463907" s="472"/>
    </row>
    <row r="463908" spans="12:13" x14ac:dyDescent="0.25">
      <c r="L463908" s="472"/>
      <c r="M463908" s="472"/>
    </row>
    <row r="463909" spans="12:13" x14ac:dyDescent="0.25">
      <c r="L463909" s="472"/>
      <c r="M463909" s="472"/>
    </row>
    <row r="463981" spans="12:13" x14ac:dyDescent="0.25">
      <c r="L463981" s="472"/>
      <c r="M463981" s="472"/>
    </row>
    <row r="463982" spans="12:13" x14ac:dyDescent="0.25">
      <c r="L463982" s="472"/>
      <c r="M463982" s="472"/>
    </row>
    <row r="463983" spans="12:13" x14ac:dyDescent="0.25">
      <c r="L463983" s="472"/>
      <c r="M463983" s="472"/>
    </row>
    <row r="464055" spans="12:13" x14ac:dyDescent="0.25">
      <c r="L464055" s="472"/>
      <c r="M464055" s="472"/>
    </row>
    <row r="464056" spans="12:13" x14ac:dyDescent="0.25">
      <c r="L464056" s="472"/>
      <c r="M464056" s="472"/>
    </row>
    <row r="464057" spans="12:13" x14ac:dyDescent="0.25">
      <c r="L464057" s="472"/>
      <c r="M464057" s="472"/>
    </row>
    <row r="464129" spans="12:13" x14ac:dyDescent="0.25">
      <c r="L464129" s="472"/>
      <c r="M464129" s="472"/>
    </row>
    <row r="464130" spans="12:13" x14ac:dyDescent="0.25">
      <c r="L464130" s="472"/>
      <c r="M464130" s="472"/>
    </row>
    <row r="464131" spans="12:13" x14ac:dyDescent="0.25">
      <c r="L464131" s="472"/>
      <c r="M464131" s="472"/>
    </row>
    <row r="464203" spans="12:13" x14ac:dyDescent="0.25">
      <c r="L464203" s="472"/>
      <c r="M464203" s="472"/>
    </row>
    <row r="464204" spans="12:13" x14ac:dyDescent="0.25">
      <c r="L464204" s="472"/>
      <c r="M464204" s="472"/>
    </row>
    <row r="464205" spans="12:13" x14ac:dyDescent="0.25">
      <c r="L464205" s="472"/>
      <c r="M464205" s="472"/>
    </row>
    <row r="464277" spans="12:13" x14ac:dyDescent="0.25">
      <c r="L464277" s="472"/>
      <c r="M464277" s="472"/>
    </row>
    <row r="464278" spans="12:13" x14ac:dyDescent="0.25">
      <c r="L464278" s="472"/>
      <c r="M464278" s="472"/>
    </row>
    <row r="464279" spans="12:13" x14ac:dyDescent="0.25">
      <c r="L464279" s="472"/>
      <c r="M464279" s="472"/>
    </row>
    <row r="464351" spans="12:13" x14ac:dyDescent="0.25">
      <c r="L464351" s="472"/>
      <c r="M464351" s="472"/>
    </row>
    <row r="464352" spans="12:13" x14ac:dyDescent="0.25">
      <c r="L464352" s="472"/>
      <c r="M464352" s="472"/>
    </row>
    <row r="464353" spans="12:13" x14ac:dyDescent="0.25">
      <c r="L464353" s="472"/>
      <c r="M464353" s="472"/>
    </row>
    <row r="464425" spans="12:13" x14ac:dyDescent="0.25">
      <c r="L464425" s="472"/>
      <c r="M464425" s="472"/>
    </row>
    <row r="464426" spans="12:13" x14ac:dyDescent="0.25">
      <c r="L464426" s="472"/>
      <c r="M464426" s="472"/>
    </row>
    <row r="464427" spans="12:13" x14ac:dyDescent="0.25">
      <c r="L464427" s="472"/>
      <c r="M464427" s="472"/>
    </row>
    <row r="464499" spans="12:13" x14ac:dyDescent="0.25">
      <c r="L464499" s="472"/>
      <c r="M464499" s="472"/>
    </row>
    <row r="464500" spans="12:13" x14ac:dyDescent="0.25">
      <c r="L464500" s="472"/>
      <c r="M464500" s="472"/>
    </row>
    <row r="464501" spans="12:13" x14ac:dyDescent="0.25">
      <c r="L464501" s="472"/>
      <c r="M464501" s="472"/>
    </row>
    <row r="464573" spans="12:13" x14ac:dyDescent="0.25">
      <c r="L464573" s="472"/>
      <c r="M464573" s="472"/>
    </row>
    <row r="464574" spans="12:13" x14ac:dyDescent="0.25">
      <c r="L464574" s="472"/>
      <c r="M464574" s="472"/>
    </row>
    <row r="464575" spans="12:13" x14ac:dyDescent="0.25">
      <c r="L464575" s="472"/>
      <c r="M464575" s="472"/>
    </row>
    <row r="464647" spans="12:13" x14ac:dyDescent="0.25">
      <c r="L464647" s="472"/>
      <c r="M464647" s="472"/>
    </row>
    <row r="464648" spans="12:13" x14ac:dyDescent="0.25">
      <c r="L464648" s="472"/>
      <c r="M464648" s="472"/>
    </row>
    <row r="464649" spans="12:13" x14ac:dyDescent="0.25">
      <c r="L464649" s="472"/>
      <c r="M464649" s="472"/>
    </row>
    <row r="464721" spans="12:13" x14ac:dyDescent="0.25">
      <c r="L464721" s="472"/>
      <c r="M464721" s="472"/>
    </row>
    <row r="464722" spans="12:13" x14ac:dyDescent="0.25">
      <c r="L464722" s="472"/>
      <c r="M464722" s="472"/>
    </row>
    <row r="464723" spans="12:13" x14ac:dyDescent="0.25">
      <c r="L464723" s="472"/>
      <c r="M464723" s="472"/>
    </row>
    <row r="464795" spans="12:13" x14ac:dyDescent="0.25">
      <c r="L464795" s="472"/>
      <c r="M464795" s="472"/>
    </row>
    <row r="464796" spans="12:13" x14ac:dyDescent="0.25">
      <c r="L464796" s="472"/>
      <c r="M464796" s="472"/>
    </row>
    <row r="464797" spans="12:13" x14ac:dyDescent="0.25">
      <c r="L464797" s="472"/>
      <c r="M464797" s="472"/>
    </row>
    <row r="464869" spans="12:13" x14ac:dyDescent="0.25">
      <c r="L464869" s="472"/>
      <c r="M464869" s="472"/>
    </row>
    <row r="464870" spans="12:13" x14ac:dyDescent="0.25">
      <c r="L464870" s="472"/>
      <c r="M464870" s="472"/>
    </row>
    <row r="464871" spans="12:13" x14ac:dyDescent="0.25">
      <c r="L464871" s="472"/>
      <c r="M464871" s="472"/>
    </row>
    <row r="464943" spans="12:13" x14ac:dyDescent="0.25">
      <c r="L464943" s="472"/>
      <c r="M464943" s="472"/>
    </row>
    <row r="464944" spans="12:13" x14ac:dyDescent="0.25">
      <c r="L464944" s="472"/>
      <c r="M464944" s="472"/>
    </row>
    <row r="464945" spans="12:13" x14ac:dyDescent="0.25">
      <c r="L464945" s="472"/>
      <c r="M464945" s="472"/>
    </row>
    <row r="465017" spans="12:13" x14ac:dyDescent="0.25">
      <c r="L465017" s="472"/>
      <c r="M465017" s="472"/>
    </row>
    <row r="465018" spans="12:13" x14ac:dyDescent="0.25">
      <c r="L465018" s="472"/>
      <c r="M465018" s="472"/>
    </row>
    <row r="465019" spans="12:13" x14ac:dyDescent="0.25">
      <c r="L465019" s="472"/>
      <c r="M465019" s="472"/>
    </row>
    <row r="465091" spans="12:13" x14ac:dyDescent="0.25">
      <c r="L465091" s="472"/>
      <c r="M465091" s="472"/>
    </row>
    <row r="465092" spans="12:13" x14ac:dyDescent="0.25">
      <c r="L465092" s="472"/>
      <c r="M465092" s="472"/>
    </row>
    <row r="465093" spans="12:13" x14ac:dyDescent="0.25">
      <c r="L465093" s="472"/>
      <c r="M465093" s="472"/>
    </row>
    <row r="465165" spans="12:13" x14ac:dyDescent="0.25">
      <c r="L465165" s="472"/>
      <c r="M465165" s="472"/>
    </row>
    <row r="465166" spans="12:13" x14ac:dyDescent="0.25">
      <c r="L465166" s="472"/>
      <c r="M465166" s="472"/>
    </row>
    <row r="465167" spans="12:13" x14ac:dyDescent="0.25">
      <c r="L465167" s="472"/>
      <c r="M465167" s="472"/>
    </row>
    <row r="465239" spans="12:13" x14ac:dyDescent="0.25">
      <c r="L465239" s="472"/>
      <c r="M465239" s="472"/>
    </row>
    <row r="465240" spans="12:13" x14ac:dyDescent="0.25">
      <c r="L465240" s="472"/>
      <c r="M465240" s="472"/>
    </row>
    <row r="465241" spans="12:13" x14ac:dyDescent="0.25">
      <c r="L465241" s="472"/>
      <c r="M465241" s="472"/>
    </row>
    <row r="465313" spans="12:13" x14ac:dyDescent="0.25">
      <c r="L465313" s="472"/>
      <c r="M465313" s="472"/>
    </row>
    <row r="465314" spans="12:13" x14ac:dyDescent="0.25">
      <c r="L465314" s="472"/>
      <c r="M465314" s="472"/>
    </row>
    <row r="465315" spans="12:13" x14ac:dyDescent="0.25">
      <c r="L465315" s="472"/>
      <c r="M465315" s="472"/>
    </row>
    <row r="465387" spans="12:13" x14ac:dyDescent="0.25">
      <c r="L465387" s="472"/>
      <c r="M465387" s="472"/>
    </row>
    <row r="465388" spans="12:13" x14ac:dyDescent="0.25">
      <c r="L465388" s="472"/>
      <c r="M465388" s="472"/>
    </row>
    <row r="465389" spans="12:13" x14ac:dyDescent="0.25">
      <c r="L465389" s="472"/>
      <c r="M465389" s="472"/>
    </row>
    <row r="465461" spans="12:13" x14ac:dyDescent="0.25">
      <c r="L465461" s="472"/>
      <c r="M465461" s="472"/>
    </row>
    <row r="465462" spans="12:13" x14ac:dyDescent="0.25">
      <c r="L465462" s="472"/>
      <c r="M465462" s="472"/>
    </row>
    <row r="465463" spans="12:13" x14ac:dyDescent="0.25">
      <c r="L465463" s="472"/>
      <c r="M465463" s="472"/>
    </row>
    <row r="465535" spans="12:13" x14ac:dyDescent="0.25">
      <c r="L465535" s="472"/>
      <c r="M465535" s="472"/>
    </row>
    <row r="465536" spans="12:13" x14ac:dyDescent="0.25">
      <c r="L465536" s="472"/>
      <c r="M465536" s="472"/>
    </row>
    <row r="465537" spans="12:13" x14ac:dyDescent="0.25">
      <c r="L465537" s="472"/>
      <c r="M465537" s="472"/>
    </row>
    <row r="465609" spans="12:13" x14ac:dyDescent="0.25">
      <c r="L465609" s="472"/>
      <c r="M465609" s="472"/>
    </row>
    <row r="465610" spans="12:13" x14ac:dyDescent="0.25">
      <c r="L465610" s="472"/>
      <c r="M465610" s="472"/>
    </row>
    <row r="465611" spans="12:13" x14ac:dyDescent="0.25">
      <c r="L465611" s="472"/>
      <c r="M465611" s="472"/>
    </row>
    <row r="465683" spans="12:13" x14ac:dyDescent="0.25">
      <c r="L465683" s="472"/>
      <c r="M465683" s="472"/>
    </row>
    <row r="465684" spans="12:13" x14ac:dyDescent="0.25">
      <c r="L465684" s="472"/>
      <c r="M465684" s="472"/>
    </row>
    <row r="465685" spans="12:13" x14ac:dyDescent="0.25">
      <c r="L465685" s="472"/>
      <c r="M465685" s="472"/>
    </row>
    <row r="465757" spans="12:13" x14ac:dyDescent="0.25">
      <c r="L465757" s="472"/>
      <c r="M465757" s="472"/>
    </row>
    <row r="465758" spans="12:13" x14ac:dyDescent="0.25">
      <c r="L465758" s="472"/>
      <c r="M465758" s="472"/>
    </row>
    <row r="465759" spans="12:13" x14ac:dyDescent="0.25">
      <c r="L465759" s="472"/>
      <c r="M465759" s="472"/>
    </row>
    <row r="465831" spans="12:13" x14ac:dyDescent="0.25">
      <c r="L465831" s="472"/>
      <c r="M465831" s="472"/>
    </row>
    <row r="465832" spans="12:13" x14ac:dyDescent="0.25">
      <c r="L465832" s="472"/>
      <c r="M465832" s="472"/>
    </row>
    <row r="465833" spans="12:13" x14ac:dyDescent="0.25">
      <c r="L465833" s="472"/>
      <c r="M465833" s="472"/>
    </row>
    <row r="465905" spans="12:13" x14ac:dyDescent="0.25">
      <c r="L465905" s="472"/>
      <c r="M465905" s="472"/>
    </row>
    <row r="465906" spans="12:13" x14ac:dyDescent="0.25">
      <c r="L465906" s="472"/>
      <c r="M465906" s="472"/>
    </row>
    <row r="465907" spans="12:13" x14ac:dyDescent="0.25">
      <c r="L465907" s="472"/>
      <c r="M465907" s="472"/>
    </row>
    <row r="465979" spans="12:13" x14ac:dyDescent="0.25">
      <c r="L465979" s="472"/>
      <c r="M465979" s="472"/>
    </row>
    <row r="465980" spans="12:13" x14ac:dyDescent="0.25">
      <c r="L465980" s="472"/>
      <c r="M465980" s="472"/>
    </row>
    <row r="465981" spans="12:13" x14ac:dyDescent="0.25">
      <c r="L465981" s="472"/>
      <c r="M465981" s="472"/>
    </row>
    <row r="466053" spans="12:13" x14ac:dyDescent="0.25">
      <c r="L466053" s="472"/>
      <c r="M466053" s="472"/>
    </row>
    <row r="466054" spans="12:13" x14ac:dyDescent="0.25">
      <c r="L466054" s="472"/>
      <c r="M466054" s="472"/>
    </row>
    <row r="466055" spans="12:13" x14ac:dyDescent="0.25">
      <c r="L466055" s="472"/>
      <c r="M466055" s="472"/>
    </row>
    <row r="466127" spans="12:13" x14ac:dyDescent="0.25">
      <c r="L466127" s="472"/>
      <c r="M466127" s="472"/>
    </row>
    <row r="466128" spans="12:13" x14ac:dyDescent="0.25">
      <c r="L466128" s="472"/>
      <c r="M466128" s="472"/>
    </row>
    <row r="466129" spans="12:13" x14ac:dyDescent="0.25">
      <c r="L466129" s="472"/>
      <c r="M466129" s="472"/>
    </row>
    <row r="466201" spans="12:13" x14ac:dyDescent="0.25">
      <c r="L466201" s="472"/>
      <c r="M466201" s="472"/>
    </row>
    <row r="466202" spans="12:13" x14ac:dyDescent="0.25">
      <c r="L466202" s="472"/>
      <c r="M466202" s="472"/>
    </row>
    <row r="466203" spans="12:13" x14ac:dyDescent="0.25">
      <c r="L466203" s="472"/>
      <c r="M466203" s="472"/>
    </row>
    <row r="466275" spans="12:13" x14ac:dyDescent="0.25">
      <c r="L466275" s="472"/>
      <c r="M466275" s="472"/>
    </row>
    <row r="466276" spans="12:13" x14ac:dyDescent="0.25">
      <c r="L466276" s="472"/>
      <c r="M466276" s="472"/>
    </row>
    <row r="466277" spans="12:13" x14ac:dyDescent="0.25">
      <c r="L466277" s="472"/>
      <c r="M466277" s="472"/>
    </row>
    <row r="466349" spans="12:13" x14ac:dyDescent="0.25">
      <c r="L466349" s="472"/>
      <c r="M466349" s="472"/>
    </row>
    <row r="466350" spans="12:13" x14ac:dyDescent="0.25">
      <c r="L466350" s="472"/>
      <c r="M466350" s="472"/>
    </row>
    <row r="466351" spans="12:13" x14ac:dyDescent="0.25">
      <c r="L466351" s="472"/>
      <c r="M466351" s="472"/>
    </row>
    <row r="466423" spans="12:13" x14ac:dyDescent="0.25">
      <c r="L466423" s="472"/>
      <c r="M466423" s="472"/>
    </row>
    <row r="466424" spans="12:13" x14ac:dyDescent="0.25">
      <c r="L466424" s="472"/>
      <c r="M466424" s="472"/>
    </row>
    <row r="466425" spans="12:13" x14ac:dyDescent="0.25">
      <c r="L466425" s="472"/>
      <c r="M466425" s="472"/>
    </row>
    <row r="466497" spans="12:13" x14ac:dyDescent="0.25">
      <c r="L466497" s="472"/>
      <c r="M466497" s="472"/>
    </row>
    <row r="466498" spans="12:13" x14ac:dyDescent="0.25">
      <c r="L466498" s="472"/>
      <c r="M466498" s="472"/>
    </row>
    <row r="466499" spans="12:13" x14ac:dyDescent="0.25">
      <c r="L466499" s="472"/>
      <c r="M466499" s="472"/>
    </row>
    <row r="466571" spans="12:13" x14ac:dyDescent="0.25">
      <c r="L466571" s="472"/>
      <c r="M466571" s="472"/>
    </row>
    <row r="466572" spans="12:13" x14ac:dyDescent="0.25">
      <c r="L466572" s="472"/>
      <c r="M466572" s="472"/>
    </row>
    <row r="466573" spans="12:13" x14ac:dyDescent="0.25">
      <c r="L466573" s="472"/>
      <c r="M466573" s="472"/>
    </row>
    <row r="466645" spans="12:13" x14ac:dyDescent="0.25">
      <c r="L466645" s="472"/>
      <c r="M466645" s="472"/>
    </row>
    <row r="466646" spans="12:13" x14ac:dyDescent="0.25">
      <c r="L466646" s="472"/>
      <c r="M466646" s="472"/>
    </row>
    <row r="466647" spans="12:13" x14ac:dyDescent="0.25">
      <c r="L466647" s="472"/>
      <c r="M466647" s="472"/>
    </row>
    <row r="466719" spans="12:13" x14ac:dyDescent="0.25">
      <c r="L466719" s="472"/>
      <c r="M466719" s="472"/>
    </row>
    <row r="466720" spans="12:13" x14ac:dyDescent="0.25">
      <c r="L466720" s="472"/>
      <c r="M466720" s="472"/>
    </row>
    <row r="466721" spans="12:13" x14ac:dyDescent="0.25">
      <c r="L466721" s="472"/>
      <c r="M466721" s="472"/>
    </row>
    <row r="466793" spans="12:13" x14ac:dyDescent="0.25">
      <c r="L466793" s="472"/>
      <c r="M466793" s="472"/>
    </row>
    <row r="466794" spans="12:13" x14ac:dyDescent="0.25">
      <c r="L466794" s="472"/>
      <c r="M466794" s="472"/>
    </row>
    <row r="466795" spans="12:13" x14ac:dyDescent="0.25">
      <c r="L466795" s="472"/>
      <c r="M466795" s="472"/>
    </row>
    <row r="466867" spans="12:13" x14ac:dyDescent="0.25">
      <c r="L466867" s="472"/>
      <c r="M466867" s="472"/>
    </row>
    <row r="466868" spans="12:13" x14ac:dyDescent="0.25">
      <c r="L466868" s="472"/>
      <c r="M466868" s="472"/>
    </row>
    <row r="466869" spans="12:13" x14ac:dyDescent="0.25">
      <c r="L466869" s="472"/>
      <c r="M466869" s="472"/>
    </row>
    <row r="466941" spans="12:13" x14ac:dyDescent="0.25">
      <c r="L466941" s="472"/>
      <c r="M466941" s="472"/>
    </row>
    <row r="466942" spans="12:13" x14ac:dyDescent="0.25">
      <c r="L466942" s="472"/>
      <c r="M466942" s="472"/>
    </row>
    <row r="466943" spans="12:13" x14ac:dyDescent="0.25">
      <c r="L466943" s="472"/>
      <c r="M466943" s="472"/>
    </row>
    <row r="467015" spans="12:13" x14ac:dyDescent="0.25">
      <c r="L467015" s="472"/>
      <c r="M467015" s="472"/>
    </row>
    <row r="467016" spans="12:13" x14ac:dyDescent="0.25">
      <c r="L467016" s="472"/>
      <c r="M467016" s="472"/>
    </row>
    <row r="467017" spans="12:13" x14ac:dyDescent="0.25">
      <c r="L467017" s="472"/>
      <c r="M467017" s="472"/>
    </row>
    <row r="467089" spans="12:13" x14ac:dyDescent="0.25">
      <c r="L467089" s="472"/>
      <c r="M467089" s="472"/>
    </row>
    <row r="467090" spans="12:13" x14ac:dyDescent="0.25">
      <c r="L467090" s="472"/>
      <c r="M467090" s="472"/>
    </row>
    <row r="467091" spans="12:13" x14ac:dyDescent="0.25">
      <c r="L467091" s="472"/>
      <c r="M467091" s="472"/>
    </row>
    <row r="467163" spans="12:13" x14ac:dyDescent="0.25">
      <c r="L467163" s="472"/>
      <c r="M467163" s="472"/>
    </row>
    <row r="467164" spans="12:13" x14ac:dyDescent="0.25">
      <c r="L467164" s="472"/>
      <c r="M467164" s="472"/>
    </row>
    <row r="467165" spans="12:13" x14ac:dyDescent="0.25">
      <c r="L467165" s="472"/>
      <c r="M467165" s="472"/>
    </row>
    <row r="467237" spans="12:13" x14ac:dyDescent="0.25">
      <c r="L467237" s="472"/>
      <c r="M467237" s="472"/>
    </row>
    <row r="467238" spans="12:13" x14ac:dyDescent="0.25">
      <c r="L467238" s="472"/>
      <c r="M467238" s="472"/>
    </row>
    <row r="467239" spans="12:13" x14ac:dyDescent="0.25">
      <c r="L467239" s="472"/>
      <c r="M467239" s="472"/>
    </row>
    <row r="467311" spans="12:13" x14ac:dyDescent="0.25">
      <c r="L467311" s="472"/>
      <c r="M467311" s="472"/>
    </row>
    <row r="467312" spans="12:13" x14ac:dyDescent="0.25">
      <c r="L467312" s="472"/>
      <c r="M467312" s="472"/>
    </row>
    <row r="467313" spans="12:13" x14ac:dyDescent="0.25">
      <c r="L467313" s="472"/>
      <c r="M467313" s="472"/>
    </row>
    <row r="467385" spans="12:13" x14ac:dyDescent="0.25">
      <c r="L467385" s="472"/>
      <c r="M467385" s="472"/>
    </row>
    <row r="467386" spans="12:13" x14ac:dyDescent="0.25">
      <c r="L467386" s="472"/>
      <c r="M467386" s="472"/>
    </row>
    <row r="467387" spans="12:13" x14ac:dyDescent="0.25">
      <c r="L467387" s="472"/>
      <c r="M467387" s="472"/>
    </row>
    <row r="467459" spans="12:13" x14ac:dyDescent="0.25">
      <c r="L467459" s="472"/>
      <c r="M467459" s="472"/>
    </row>
    <row r="467460" spans="12:13" x14ac:dyDescent="0.25">
      <c r="L467460" s="472"/>
      <c r="M467460" s="472"/>
    </row>
    <row r="467461" spans="12:13" x14ac:dyDescent="0.25">
      <c r="L467461" s="472"/>
      <c r="M467461" s="472"/>
    </row>
    <row r="467533" spans="12:13" x14ac:dyDescent="0.25">
      <c r="L467533" s="472"/>
      <c r="M467533" s="472"/>
    </row>
    <row r="467534" spans="12:13" x14ac:dyDescent="0.25">
      <c r="L467534" s="472"/>
      <c r="M467534" s="472"/>
    </row>
    <row r="467535" spans="12:13" x14ac:dyDescent="0.25">
      <c r="L467535" s="472"/>
      <c r="M467535" s="472"/>
    </row>
    <row r="467607" spans="12:13" x14ac:dyDescent="0.25">
      <c r="L467607" s="472"/>
      <c r="M467607" s="472"/>
    </row>
    <row r="467608" spans="12:13" x14ac:dyDescent="0.25">
      <c r="L467608" s="472"/>
      <c r="M467608" s="472"/>
    </row>
    <row r="467609" spans="12:13" x14ac:dyDescent="0.25">
      <c r="L467609" s="472"/>
      <c r="M467609" s="472"/>
    </row>
    <row r="467681" spans="12:13" x14ac:dyDescent="0.25">
      <c r="L467681" s="472"/>
      <c r="M467681" s="472"/>
    </row>
    <row r="467682" spans="12:13" x14ac:dyDescent="0.25">
      <c r="L467682" s="472"/>
      <c r="M467682" s="472"/>
    </row>
    <row r="467683" spans="12:13" x14ac:dyDescent="0.25">
      <c r="L467683" s="472"/>
      <c r="M467683" s="472"/>
    </row>
    <row r="467755" spans="12:13" x14ac:dyDescent="0.25">
      <c r="L467755" s="472"/>
      <c r="M467755" s="472"/>
    </row>
    <row r="467756" spans="12:13" x14ac:dyDescent="0.25">
      <c r="L467756" s="472"/>
      <c r="M467756" s="472"/>
    </row>
    <row r="467757" spans="12:13" x14ac:dyDescent="0.25">
      <c r="L467757" s="472"/>
      <c r="M467757" s="472"/>
    </row>
    <row r="467829" spans="12:13" x14ac:dyDescent="0.25">
      <c r="L467829" s="472"/>
      <c r="M467829" s="472"/>
    </row>
    <row r="467830" spans="12:13" x14ac:dyDescent="0.25">
      <c r="L467830" s="472"/>
      <c r="M467830" s="472"/>
    </row>
    <row r="467831" spans="12:13" x14ac:dyDescent="0.25">
      <c r="L467831" s="472"/>
      <c r="M467831" s="472"/>
    </row>
    <row r="467903" spans="12:13" x14ac:dyDescent="0.25">
      <c r="L467903" s="472"/>
      <c r="M467903" s="472"/>
    </row>
    <row r="467904" spans="12:13" x14ac:dyDescent="0.25">
      <c r="L467904" s="472"/>
      <c r="M467904" s="472"/>
    </row>
    <row r="467905" spans="12:13" x14ac:dyDescent="0.25">
      <c r="L467905" s="472"/>
      <c r="M467905" s="472"/>
    </row>
    <row r="467977" spans="12:13" x14ac:dyDescent="0.25">
      <c r="L467977" s="472"/>
      <c r="M467977" s="472"/>
    </row>
    <row r="467978" spans="12:13" x14ac:dyDescent="0.25">
      <c r="L467978" s="472"/>
      <c r="M467978" s="472"/>
    </row>
    <row r="467979" spans="12:13" x14ac:dyDescent="0.25">
      <c r="L467979" s="472"/>
      <c r="M467979" s="472"/>
    </row>
    <row r="468051" spans="12:13" x14ac:dyDescent="0.25">
      <c r="L468051" s="472"/>
      <c r="M468051" s="472"/>
    </row>
    <row r="468052" spans="12:13" x14ac:dyDescent="0.25">
      <c r="L468052" s="472"/>
      <c r="M468052" s="472"/>
    </row>
    <row r="468053" spans="12:13" x14ac:dyDescent="0.25">
      <c r="L468053" s="472"/>
      <c r="M468053" s="472"/>
    </row>
    <row r="468125" spans="12:13" x14ac:dyDescent="0.25">
      <c r="L468125" s="472"/>
      <c r="M468125" s="472"/>
    </row>
    <row r="468126" spans="12:13" x14ac:dyDescent="0.25">
      <c r="L468126" s="472"/>
      <c r="M468126" s="472"/>
    </row>
    <row r="468127" spans="12:13" x14ac:dyDescent="0.25">
      <c r="L468127" s="472"/>
      <c r="M468127" s="472"/>
    </row>
    <row r="468199" spans="12:13" x14ac:dyDescent="0.25">
      <c r="L468199" s="472"/>
      <c r="M468199" s="472"/>
    </row>
    <row r="468200" spans="12:13" x14ac:dyDescent="0.25">
      <c r="L468200" s="472"/>
      <c r="M468200" s="472"/>
    </row>
    <row r="468201" spans="12:13" x14ac:dyDescent="0.25">
      <c r="L468201" s="472"/>
      <c r="M468201" s="472"/>
    </row>
    <row r="468273" spans="12:13" x14ac:dyDescent="0.25">
      <c r="L468273" s="472"/>
      <c r="M468273" s="472"/>
    </row>
    <row r="468274" spans="12:13" x14ac:dyDescent="0.25">
      <c r="L468274" s="472"/>
      <c r="M468274" s="472"/>
    </row>
    <row r="468275" spans="12:13" x14ac:dyDescent="0.25">
      <c r="L468275" s="472"/>
      <c r="M468275" s="472"/>
    </row>
    <row r="468347" spans="12:13" x14ac:dyDescent="0.25">
      <c r="L468347" s="472"/>
      <c r="M468347" s="472"/>
    </row>
    <row r="468348" spans="12:13" x14ac:dyDescent="0.25">
      <c r="L468348" s="472"/>
      <c r="M468348" s="472"/>
    </row>
    <row r="468349" spans="12:13" x14ac:dyDescent="0.25">
      <c r="L468349" s="472"/>
      <c r="M468349" s="472"/>
    </row>
    <row r="468421" spans="12:13" x14ac:dyDescent="0.25">
      <c r="L468421" s="472"/>
      <c r="M468421" s="472"/>
    </row>
    <row r="468422" spans="12:13" x14ac:dyDescent="0.25">
      <c r="L468422" s="472"/>
      <c r="M468422" s="472"/>
    </row>
    <row r="468423" spans="12:13" x14ac:dyDescent="0.25">
      <c r="L468423" s="472"/>
      <c r="M468423" s="472"/>
    </row>
    <row r="468495" spans="12:13" x14ac:dyDescent="0.25">
      <c r="L468495" s="472"/>
      <c r="M468495" s="472"/>
    </row>
    <row r="468496" spans="12:13" x14ac:dyDescent="0.25">
      <c r="L468496" s="472"/>
      <c r="M468496" s="472"/>
    </row>
    <row r="468497" spans="12:13" x14ac:dyDescent="0.25">
      <c r="L468497" s="472"/>
      <c r="M468497" s="472"/>
    </row>
    <row r="468569" spans="12:13" x14ac:dyDescent="0.25">
      <c r="L468569" s="472"/>
      <c r="M468569" s="472"/>
    </row>
    <row r="468570" spans="12:13" x14ac:dyDescent="0.25">
      <c r="L468570" s="472"/>
      <c r="M468570" s="472"/>
    </row>
    <row r="468571" spans="12:13" x14ac:dyDescent="0.25">
      <c r="L468571" s="472"/>
      <c r="M468571" s="472"/>
    </row>
    <row r="468643" spans="12:13" x14ac:dyDescent="0.25">
      <c r="L468643" s="472"/>
      <c r="M468643" s="472"/>
    </row>
    <row r="468644" spans="12:13" x14ac:dyDescent="0.25">
      <c r="L468644" s="472"/>
      <c r="M468644" s="472"/>
    </row>
    <row r="468645" spans="12:13" x14ac:dyDescent="0.25">
      <c r="L468645" s="472"/>
      <c r="M468645" s="472"/>
    </row>
    <row r="468717" spans="12:13" x14ac:dyDescent="0.25">
      <c r="L468717" s="472"/>
      <c r="M468717" s="472"/>
    </row>
    <row r="468718" spans="12:13" x14ac:dyDescent="0.25">
      <c r="L468718" s="472"/>
      <c r="M468718" s="472"/>
    </row>
    <row r="468719" spans="12:13" x14ac:dyDescent="0.25">
      <c r="L468719" s="472"/>
      <c r="M468719" s="472"/>
    </row>
    <row r="468791" spans="12:13" x14ac:dyDescent="0.25">
      <c r="L468791" s="472"/>
      <c r="M468791" s="472"/>
    </row>
    <row r="468792" spans="12:13" x14ac:dyDescent="0.25">
      <c r="L468792" s="472"/>
      <c r="M468792" s="472"/>
    </row>
    <row r="468793" spans="12:13" x14ac:dyDescent="0.25">
      <c r="L468793" s="472"/>
      <c r="M468793" s="472"/>
    </row>
    <row r="468865" spans="12:13" x14ac:dyDescent="0.25">
      <c r="L468865" s="472"/>
      <c r="M468865" s="472"/>
    </row>
    <row r="468866" spans="12:13" x14ac:dyDescent="0.25">
      <c r="L468866" s="472"/>
      <c r="M468866" s="472"/>
    </row>
    <row r="468867" spans="12:13" x14ac:dyDescent="0.25">
      <c r="L468867" s="472"/>
      <c r="M468867" s="472"/>
    </row>
    <row r="468939" spans="12:13" x14ac:dyDescent="0.25">
      <c r="L468939" s="472"/>
      <c r="M468939" s="472"/>
    </row>
    <row r="468940" spans="12:13" x14ac:dyDescent="0.25">
      <c r="L468940" s="472"/>
      <c r="M468940" s="472"/>
    </row>
    <row r="468941" spans="12:13" x14ac:dyDescent="0.25">
      <c r="L468941" s="472"/>
      <c r="M468941" s="472"/>
    </row>
    <row r="469013" spans="12:13" x14ac:dyDescent="0.25">
      <c r="L469013" s="472"/>
      <c r="M469013" s="472"/>
    </row>
    <row r="469014" spans="12:13" x14ac:dyDescent="0.25">
      <c r="L469014" s="472"/>
      <c r="M469014" s="472"/>
    </row>
    <row r="469015" spans="12:13" x14ac:dyDescent="0.25">
      <c r="L469015" s="472"/>
      <c r="M469015" s="472"/>
    </row>
    <row r="469087" spans="12:13" x14ac:dyDescent="0.25">
      <c r="L469087" s="472"/>
      <c r="M469087" s="472"/>
    </row>
    <row r="469088" spans="12:13" x14ac:dyDescent="0.25">
      <c r="L469088" s="472"/>
      <c r="M469088" s="472"/>
    </row>
    <row r="469089" spans="12:13" x14ac:dyDescent="0.25">
      <c r="L469089" s="472"/>
      <c r="M469089" s="472"/>
    </row>
    <row r="469161" spans="12:13" x14ac:dyDescent="0.25">
      <c r="L469161" s="472"/>
      <c r="M469161" s="472"/>
    </row>
    <row r="469162" spans="12:13" x14ac:dyDescent="0.25">
      <c r="L469162" s="472"/>
      <c r="M469162" s="472"/>
    </row>
    <row r="469163" spans="12:13" x14ac:dyDescent="0.25">
      <c r="L469163" s="472"/>
      <c r="M469163" s="472"/>
    </row>
    <row r="469235" spans="12:13" x14ac:dyDescent="0.25">
      <c r="L469235" s="472"/>
      <c r="M469235" s="472"/>
    </row>
    <row r="469236" spans="12:13" x14ac:dyDescent="0.25">
      <c r="L469236" s="472"/>
      <c r="M469236" s="472"/>
    </row>
    <row r="469237" spans="12:13" x14ac:dyDescent="0.25">
      <c r="L469237" s="472"/>
      <c r="M469237" s="472"/>
    </row>
    <row r="469309" spans="12:13" x14ac:dyDescent="0.25">
      <c r="L469309" s="472"/>
      <c r="M469309" s="472"/>
    </row>
    <row r="469310" spans="12:13" x14ac:dyDescent="0.25">
      <c r="L469310" s="472"/>
      <c r="M469310" s="472"/>
    </row>
    <row r="469311" spans="12:13" x14ac:dyDescent="0.25">
      <c r="L469311" s="472"/>
      <c r="M469311" s="472"/>
    </row>
    <row r="469383" spans="12:13" x14ac:dyDescent="0.25">
      <c r="L469383" s="472"/>
      <c r="M469383" s="472"/>
    </row>
    <row r="469384" spans="12:13" x14ac:dyDescent="0.25">
      <c r="L469384" s="472"/>
      <c r="M469384" s="472"/>
    </row>
    <row r="469385" spans="12:13" x14ac:dyDescent="0.25">
      <c r="L469385" s="472"/>
      <c r="M469385" s="472"/>
    </row>
    <row r="469457" spans="12:13" x14ac:dyDescent="0.25">
      <c r="L469457" s="472"/>
      <c r="M469457" s="472"/>
    </row>
    <row r="469458" spans="12:13" x14ac:dyDescent="0.25">
      <c r="L469458" s="472"/>
      <c r="M469458" s="472"/>
    </row>
    <row r="469459" spans="12:13" x14ac:dyDescent="0.25">
      <c r="L469459" s="472"/>
      <c r="M469459" s="472"/>
    </row>
    <row r="469531" spans="12:13" x14ac:dyDescent="0.25">
      <c r="L469531" s="472"/>
      <c r="M469531" s="472"/>
    </row>
    <row r="469532" spans="12:13" x14ac:dyDescent="0.25">
      <c r="L469532" s="472"/>
      <c r="M469532" s="472"/>
    </row>
    <row r="469533" spans="12:13" x14ac:dyDescent="0.25">
      <c r="L469533" s="472"/>
      <c r="M469533" s="472"/>
    </row>
    <row r="469605" spans="12:13" x14ac:dyDescent="0.25">
      <c r="L469605" s="472"/>
      <c r="M469605" s="472"/>
    </row>
    <row r="469606" spans="12:13" x14ac:dyDescent="0.25">
      <c r="L469606" s="472"/>
      <c r="M469606" s="472"/>
    </row>
    <row r="469607" spans="12:13" x14ac:dyDescent="0.25">
      <c r="L469607" s="472"/>
      <c r="M469607" s="472"/>
    </row>
    <row r="469679" spans="12:13" x14ac:dyDescent="0.25">
      <c r="L469679" s="472"/>
      <c r="M469679" s="472"/>
    </row>
    <row r="469680" spans="12:13" x14ac:dyDescent="0.25">
      <c r="L469680" s="472"/>
      <c r="M469680" s="472"/>
    </row>
    <row r="469681" spans="12:13" x14ac:dyDescent="0.25">
      <c r="L469681" s="472"/>
      <c r="M469681" s="472"/>
    </row>
    <row r="469753" spans="12:13" x14ac:dyDescent="0.25">
      <c r="L469753" s="472"/>
      <c r="M469753" s="472"/>
    </row>
    <row r="469754" spans="12:13" x14ac:dyDescent="0.25">
      <c r="L469754" s="472"/>
      <c r="M469754" s="472"/>
    </row>
    <row r="469755" spans="12:13" x14ac:dyDescent="0.25">
      <c r="L469755" s="472"/>
      <c r="M469755" s="472"/>
    </row>
    <row r="469827" spans="12:13" x14ac:dyDescent="0.25">
      <c r="L469827" s="472"/>
      <c r="M469827" s="472"/>
    </row>
    <row r="469828" spans="12:13" x14ac:dyDescent="0.25">
      <c r="L469828" s="472"/>
      <c r="M469828" s="472"/>
    </row>
    <row r="469829" spans="12:13" x14ac:dyDescent="0.25">
      <c r="L469829" s="472"/>
      <c r="M469829" s="472"/>
    </row>
    <row r="469901" spans="12:13" x14ac:dyDescent="0.25">
      <c r="L469901" s="472"/>
      <c r="M469901" s="472"/>
    </row>
    <row r="469902" spans="12:13" x14ac:dyDescent="0.25">
      <c r="L469902" s="472"/>
      <c r="M469902" s="472"/>
    </row>
    <row r="469903" spans="12:13" x14ac:dyDescent="0.25">
      <c r="L469903" s="472"/>
      <c r="M469903" s="472"/>
    </row>
    <row r="469975" spans="12:13" x14ac:dyDescent="0.25">
      <c r="L469975" s="472"/>
      <c r="M469975" s="472"/>
    </row>
    <row r="469976" spans="12:13" x14ac:dyDescent="0.25">
      <c r="L469976" s="472"/>
      <c r="M469976" s="472"/>
    </row>
    <row r="469977" spans="12:13" x14ac:dyDescent="0.25">
      <c r="L469977" s="472"/>
      <c r="M469977" s="472"/>
    </row>
    <row r="470049" spans="12:13" x14ac:dyDescent="0.25">
      <c r="L470049" s="472"/>
      <c r="M470049" s="472"/>
    </row>
    <row r="470050" spans="12:13" x14ac:dyDescent="0.25">
      <c r="L470050" s="472"/>
      <c r="M470050" s="472"/>
    </row>
    <row r="470051" spans="12:13" x14ac:dyDescent="0.25">
      <c r="L470051" s="472"/>
      <c r="M470051" s="472"/>
    </row>
    <row r="470123" spans="12:13" x14ac:dyDescent="0.25">
      <c r="L470123" s="472"/>
      <c r="M470123" s="472"/>
    </row>
    <row r="470124" spans="12:13" x14ac:dyDescent="0.25">
      <c r="L470124" s="472"/>
      <c r="M470124" s="472"/>
    </row>
    <row r="470125" spans="12:13" x14ac:dyDescent="0.25">
      <c r="L470125" s="472"/>
      <c r="M470125" s="472"/>
    </row>
    <row r="470197" spans="12:13" x14ac:dyDescent="0.25">
      <c r="L470197" s="472"/>
      <c r="M470197" s="472"/>
    </row>
    <row r="470198" spans="12:13" x14ac:dyDescent="0.25">
      <c r="L470198" s="472"/>
      <c r="M470198" s="472"/>
    </row>
    <row r="470199" spans="12:13" x14ac:dyDescent="0.25">
      <c r="L470199" s="472"/>
      <c r="M470199" s="472"/>
    </row>
    <row r="470271" spans="12:13" x14ac:dyDescent="0.25">
      <c r="L470271" s="472"/>
      <c r="M470271" s="472"/>
    </row>
    <row r="470272" spans="12:13" x14ac:dyDescent="0.25">
      <c r="L470272" s="472"/>
      <c r="M470272" s="472"/>
    </row>
    <row r="470273" spans="12:13" x14ac:dyDescent="0.25">
      <c r="L470273" s="472"/>
      <c r="M470273" s="472"/>
    </row>
    <row r="470345" spans="12:13" x14ac:dyDescent="0.25">
      <c r="L470345" s="472"/>
      <c r="M470345" s="472"/>
    </row>
    <row r="470346" spans="12:13" x14ac:dyDescent="0.25">
      <c r="L470346" s="472"/>
      <c r="M470346" s="472"/>
    </row>
    <row r="470347" spans="12:13" x14ac:dyDescent="0.25">
      <c r="L470347" s="472"/>
      <c r="M470347" s="472"/>
    </row>
    <row r="470419" spans="12:13" x14ac:dyDescent="0.25">
      <c r="L470419" s="472"/>
      <c r="M470419" s="472"/>
    </row>
    <row r="470420" spans="12:13" x14ac:dyDescent="0.25">
      <c r="L470420" s="472"/>
      <c r="M470420" s="472"/>
    </row>
    <row r="470421" spans="12:13" x14ac:dyDescent="0.25">
      <c r="L470421" s="472"/>
      <c r="M470421" s="472"/>
    </row>
    <row r="470493" spans="12:13" x14ac:dyDescent="0.25">
      <c r="L470493" s="472"/>
      <c r="M470493" s="472"/>
    </row>
    <row r="470494" spans="12:13" x14ac:dyDescent="0.25">
      <c r="L470494" s="472"/>
      <c r="M470494" s="472"/>
    </row>
    <row r="470495" spans="12:13" x14ac:dyDescent="0.25">
      <c r="L470495" s="472"/>
      <c r="M470495" s="472"/>
    </row>
    <row r="470567" spans="12:13" x14ac:dyDescent="0.25">
      <c r="L470567" s="472"/>
      <c r="M470567" s="472"/>
    </row>
    <row r="470568" spans="12:13" x14ac:dyDescent="0.25">
      <c r="L470568" s="472"/>
      <c r="M470568" s="472"/>
    </row>
    <row r="470569" spans="12:13" x14ac:dyDescent="0.25">
      <c r="L470569" s="472"/>
      <c r="M470569" s="472"/>
    </row>
    <row r="470641" spans="12:13" x14ac:dyDescent="0.25">
      <c r="L470641" s="472"/>
      <c r="M470641" s="472"/>
    </row>
    <row r="470642" spans="12:13" x14ac:dyDescent="0.25">
      <c r="L470642" s="472"/>
      <c r="M470642" s="472"/>
    </row>
    <row r="470643" spans="12:13" x14ac:dyDescent="0.25">
      <c r="L470643" s="472"/>
      <c r="M470643" s="472"/>
    </row>
    <row r="470715" spans="12:13" x14ac:dyDescent="0.25">
      <c r="L470715" s="472"/>
      <c r="M470715" s="472"/>
    </row>
    <row r="470716" spans="12:13" x14ac:dyDescent="0.25">
      <c r="L470716" s="472"/>
      <c r="M470716" s="472"/>
    </row>
    <row r="470717" spans="12:13" x14ac:dyDescent="0.25">
      <c r="L470717" s="472"/>
      <c r="M470717" s="472"/>
    </row>
    <row r="470789" spans="12:13" x14ac:dyDescent="0.25">
      <c r="L470789" s="472"/>
      <c r="M470789" s="472"/>
    </row>
    <row r="470790" spans="12:13" x14ac:dyDescent="0.25">
      <c r="L470790" s="472"/>
      <c r="M470790" s="472"/>
    </row>
    <row r="470791" spans="12:13" x14ac:dyDescent="0.25">
      <c r="L470791" s="472"/>
      <c r="M470791" s="472"/>
    </row>
    <row r="470863" spans="12:13" x14ac:dyDescent="0.25">
      <c r="L470863" s="472"/>
      <c r="M470863" s="472"/>
    </row>
    <row r="470864" spans="12:13" x14ac:dyDescent="0.25">
      <c r="L470864" s="472"/>
      <c r="M470864" s="472"/>
    </row>
    <row r="470865" spans="12:13" x14ac:dyDescent="0.25">
      <c r="L470865" s="472"/>
      <c r="M470865" s="472"/>
    </row>
    <row r="470937" spans="12:13" x14ac:dyDescent="0.25">
      <c r="L470937" s="472"/>
      <c r="M470937" s="472"/>
    </row>
    <row r="470938" spans="12:13" x14ac:dyDescent="0.25">
      <c r="L470938" s="472"/>
      <c r="M470938" s="472"/>
    </row>
    <row r="470939" spans="12:13" x14ac:dyDescent="0.25">
      <c r="L470939" s="472"/>
      <c r="M470939" s="472"/>
    </row>
    <row r="471011" spans="12:13" x14ac:dyDescent="0.25">
      <c r="L471011" s="472"/>
      <c r="M471011" s="472"/>
    </row>
    <row r="471012" spans="12:13" x14ac:dyDescent="0.25">
      <c r="L471012" s="472"/>
      <c r="M471012" s="472"/>
    </row>
    <row r="471013" spans="12:13" x14ac:dyDescent="0.25">
      <c r="L471013" s="472"/>
      <c r="M471013" s="472"/>
    </row>
    <row r="471085" spans="12:13" x14ac:dyDescent="0.25">
      <c r="L471085" s="472"/>
      <c r="M471085" s="472"/>
    </row>
    <row r="471086" spans="12:13" x14ac:dyDescent="0.25">
      <c r="L471086" s="472"/>
      <c r="M471086" s="472"/>
    </row>
    <row r="471087" spans="12:13" x14ac:dyDescent="0.25">
      <c r="L471087" s="472"/>
      <c r="M471087" s="472"/>
    </row>
    <row r="471159" spans="12:13" x14ac:dyDescent="0.25">
      <c r="L471159" s="472"/>
      <c r="M471159" s="472"/>
    </row>
    <row r="471160" spans="12:13" x14ac:dyDescent="0.25">
      <c r="L471160" s="472"/>
      <c r="M471160" s="472"/>
    </row>
    <row r="471161" spans="12:13" x14ac:dyDescent="0.25">
      <c r="L471161" s="472"/>
      <c r="M471161" s="472"/>
    </row>
    <row r="471233" spans="12:13" x14ac:dyDescent="0.25">
      <c r="L471233" s="472"/>
      <c r="M471233" s="472"/>
    </row>
    <row r="471234" spans="12:13" x14ac:dyDescent="0.25">
      <c r="L471234" s="472"/>
      <c r="M471234" s="472"/>
    </row>
    <row r="471235" spans="12:13" x14ac:dyDescent="0.25">
      <c r="L471235" s="472"/>
      <c r="M471235" s="472"/>
    </row>
    <row r="471307" spans="12:13" x14ac:dyDescent="0.25">
      <c r="L471307" s="472"/>
      <c r="M471307" s="472"/>
    </row>
    <row r="471308" spans="12:13" x14ac:dyDescent="0.25">
      <c r="L471308" s="472"/>
      <c r="M471308" s="472"/>
    </row>
    <row r="471309" spans="12:13" x14ac:dyDescent="0.25">
      <c r="L471309" s="472"/>
      <c r="M471309" s="472"/>
    </row>
    <row r="471381" spans="12:13" x14ac:dyDescent="0.25">
      <c r="L471381" s="472"/>
      <c r="M471381" s="472"/>
    </row>
    <row r="471382" spans="12:13" x14ac:dyDescent="0.25">
      <c r="L471382" s="472"/>
      <c r="M471382" s="472"/>
    </row>
    <row r="471383" spans="12:13" x14ac:dyDescent="0.25">
      <c r="L471383" s="472"/>
      <c r="M471383" s="472"/>
    </row>
    <row r="471455" spans="12:13" x14ac:dyDescent="0.25">
      <c r="L471455" s="472"/>
      <c r="M471455" s="472"/>
    </row>
    <row r="471456" spans="12:13" x14ac:dyDescent="0.25">
      <c r="L471456" s="472"/>
      <c r="M471456" s="472"/>
    </row>
    <row r="471457" spans="12:13" x14ac:dyDescent="0.25">
      <c r="L471457" s="472"/>
      <c r="M471457" s="472"/>
    </row>
    <row r="471529" spans="12:13" x14ac:dyDescent="0.25">
      <c r="L471529" s="472"/>
      <c r="M471529" s="472"/>
    </row>
    <row r="471530" spans="12:13" x14ac:dyDescent="0.25">
      <c r="L471530" s="472"/>
      <c r="M471530" s="472"/>
    </row>
    <row r="471531" spans="12:13" x14ac:dyDescent="0.25">
      <c r="L471531" s="472"/>
      <c r="M471531" s="472"/>
    </row>
    <row r="471603" spans="12:13" x14ac:dyDescent="0.25">
      <c r="L471603" s="472"/>
      <c r="M471603" s="472"/>
    </row>
    <row r="471604" spans="12:13" x14ac:dyDescent="0.25">
      <c r="L471604" s="472"/>
      <c r="M471604" s="472"/>
    </row>
    <row r="471605" spans="12:13" x14ac:dyDescent="0.25">
      <c r="L471605" s="472"/>
      <c r="M471605" s="472"/>
    </row>
    <row r="471677" spans="12:13" x14ac:dyDescent="0.25">
      <c r="L471677" s="472"/>
      <c r="M471677" s="472"/>
    </row>
    <row r="471678" spans="12:13" x14ac:dyDescent="0.25">
      <c r="L471678" s="472"/>
      <c r="M471678" s="472"/>
    </row>
    <row r="471679" spans="12:13" x14ac:dyDescent="0.25">
      <c r="L471679" s="472"/>
      <c r="M471679" s="472"/>
    </row>
    <row r="471751" spans="12:13" x14ac:dyDescent="0.25">
      <c r="L471751" s="472"/>
      <c r="M471751" s="472"/>
    </row>
    <row r="471752" spans="12:13" x14ac:dyDescent="0.25">
      <c r="L471752" s="472"/>
      <c r="M471752" s="472"/>
    </row>
    <row r="471753" spans="12:13" x14ac:dyDescent="0.25">
      <c r="L471753" s="472"/>
      <c r="M471753" s="472"/>
    </row>
    <row r="471825" spans="12:13" x14ac:dyDescent="0.25">
      <c r="L471825" s="472"/>
      <c r="M471825" s="472"/>
    </row>
    <row r="471826" spans="12:13" x14ac:dyDescent="0.25">
      <c r="L471826" s="472"/>
      <c r="M471826" s="472"/>
    </row>
    <row r="471827" spans="12:13" x14ac:dyDescent="0.25">
      <c r="L471827" s="472"/>
      <c r="M471827" s="472"/>
    </row>
    <row r="471899" spans="12:13" x14ac:dyDescent="0.25">
      <c r="L471899" s="472"/>
      <c r="M471899" s="472"/>
    </row>
    <row r="471900" spans="12:13" x14ac:dyDescent="0.25">
      <c r="L471900" s="472"/>
      <c r="M471900" s="472"/>
    </row>
    <row r="471901" spans="12:13" x14ac:dyDescent="0.25">
      <c r="L471901" s="472"/>
      <c r="M471901" s="472"/>
    </row>
    <row r="471973" spans="12:13" x14ac:dyDescent="0.25">
      <c r="L471973" s="472"/>
      <c r="M471973" s="472"/>
    </row>
    <row r="471974" spans="12:13" x14ac:dyDescent="0.25">
      <c r="L471974" s="472"/>
      <c r="M471974" s="472"/>
    </row>
    <row r="471975" spans="12:13" x14ac:dyDescent="0.25">
      <c r="L471975" s="472"/>
      <c r="M471975" s="472"/>
    </row>
    <row r="472047" spans="12:13" x14ac:dyDescent="0.25">
      <c r="L472047" s="472"/>
      <c r="M472047" s="472"/>
    </row>
    <row r="472048" spans="12:13" x14ac:dyDescent="0.25">
      <c r="L472048" s="472"/>
      <c r="M472048" s="472"/>
    </row>
    <row r="472049" spans="12:13" x14ac:dyDescent="0.25">
      <c r="L472049" s="472"/>
      <c r="M472049" s="472"/>
    </row>
    <row r="472121" spans="12:13" x14ac:dyDescent="0.25">
      <c r="L472121" s="472"/>
      <c r="M472121" s="472"/>
    </row>
    <row r="472122" spans="12:13" x14ac:dyDescent="0.25">
      <c r="L472122" s="472"/>
      <c r="M472122" s="472"/>
    </row>
    <row r="472123" spans="12:13" x14ac:dyDescent="0.25">
      <c r="L472123" s="472"/>
      <c r="M472123" s="472"/>
    </row>
    <row r="472195" spans="12:13" x14ac:dyDescent="0.25">
      <c r="L472195" s="472"/>
      <c r="M472195" s="472"/>
    </row>
    <row r="472196" spans="12:13" x14ac:dyDescent="0.25">
      <c r="L472196" s="472"/>
      <c r="M472196" s="472"/>
    </row>
    <row r="472197" spans="12:13" x14ac:dyDescent="0.25">
      <c r="L472197" s="472"/>
      <c r="M472197" s="472"/>
    </row>
    <row r="472269" spans="12:13" x14ac:dyDescent="0.25">
      <c r="L472269" s="472"/>
      <c r="M472269" s="472"/>
    </row>
    <row r="472270" spans="12:13" x14ac:dyDescent="0.25">
      <c r="L472270" s="472"/>
      <c r="M472270" s="472"/>
    </row>
    <row r="472271" spans="12:13" x14ac:dyDescent="0.25">
      <c r="L472271" s="472"/>
      <c r="M472271" s="472"/>
    </row>
    <row r="472343" spans="12:13" x14ac:dyDescent="0.25">
      <c r="L472343" s="472"/>
      <c r="M472343" s="472"/>
    </row>
    <row r="472344" spans="12:13" x14ac:dyDescent="0.25">
      <c r="L472344" s="472"/>
      <c r="M472344" s="472"/>
    </row>
    <row r="472345" spans="12:13" x14ac:dyDescent="0.25">
      <c r="L472345" s="472"/>
      <c r="M472345" s="472"/>
    </row>
    <row r="472417" spans="12:13" x14ac:dyDescent="0.25">
      <c r="L472417" s="472"/>
      <c r="M472417" s="472"/>
    </row>
    <row r="472418" spans="12:13" x14ac:dyDescent="0.25">
      <c r="L472418" s="472"/>
      <c r="M472418" s="472"/>
    </row>
    <row r="472419" spans="12:13" x14ac:dyDescent="0.25">
      <c r="L472419" s="472"/>
      <c r="M472419" s="472"/>
    </row>
    <row r="472491" spans="12:13" x14ac:dyDescent="0.25">
      <c r="L472491" s="472"/>
      <c r="M472491" s="472"/>
    </row>
    <row r="472492" spans="12:13" x14ac:dyDescent="0.25">
      <c r="L472492" s="472"/>
      <c r="M472492" s="472"/>
    </row>
    <row r="472493" spans="12:13" x14ac:dyDescent="0.25">
      <c r="L472493" s="472"/>
      <c r="M472493" s="472"/>
    </row>
    <row r="472565" spans="12:13" x14ac:dyDescent="0.25">
      <c r="L472565" s="472"/>
      <c r="M472565" s="472"/>
    </row>
    <row r="472566" spans="12:13" x14ac:dyDescent="0.25">
      <c r="L472566" s="472"/>
      <c r="M472566" s="472"/>
    </row>
    <row r="472567" spans="12:13" x14ac:dyDescent="0.25">
      <c r="L472567" s="472"/>
      <c r="M472567" s="472"/>
    </row>
    <row r="472639" spans="12:13" x14ac:dyDescent="0.25">
      <c r="L472639" s="472"/>
      <c r="M472639" s="472"/>
    </row>
    <row r="472640" spans="12:13" x14ac:dyDescent="0.25">
      <c r="L472640" s="472"/>
      <c r="M472640" s="472"/>
    </row>
    <row r="472641" spans="12:13" x14ac:dyDescent="0.25">
      <c r="L472641" s="472"/>
      <c r="M472641" s="472"/>
    </row>
    <row r="472713" spans="12:13" x14ac:dyDescent="0.25">
      <c r="L472713" s="472"/>
      <c r="M472713" s="472"/>
    </row>
    <row r="472714" spans="12:13" x14ac:dyDescent="0.25">
      <c r="L472714" s="472"/>
      <c r="M472714" s="472"/>
    </row>
    <row r="472715" spans="12:13" x14ac:dyDescent="0.25">
      <c r="L472715" s="472"/>
      <c r="M472715" s="472"/>
    </row>
    <row r="472787" spans="12:13" x14ac:dyDescent="0.25">
      <c r="L472787" s="472"/>
      <c r="M472787" s="472"/>
    </row>
    <row r="472788" spans="12:13" x14ac:dyDescent="0.25">
      <c r="L472788" s="472"/>
      <c r="M472788" s="472"/>
    </row>
    <row r="472789" spans="12:13" x14ac:dyDescent="0.25">
      <c r="L472789" s="472"/>
      <c r="M472789" s="472"/>
    </row>
    <row r="472861" spans="12:13" x14ac:dyDescent="0.25">
      <c r="L472861" s="472"/>
      <c r="M472861" s="472"/>
    </row>
    <row r="472862" spans="12:13" x14ac:dyDescent="0.25">
      <c r="L472862" s="472"/>
      <c r="M472862" s="472"/>
    </row>
    <row r="472863" spans="12:13" x14ac:dyDescent="0.25">
      <c r="L472863" s="472"/>
      <c r="M472863" s="472"/>
    </row>
    <row r="472935" spans="12:13" x14ac:dyDescent="0.25">
      <c r="L472935" s="472"/>
      <c r="M472935" s="472"/>
    </row>
    <row r="472936" spans="12:13" x14ac:dyDescent="0.25">
      <c r="L472936" s="472"/>
      <c r="M472936" s="472"/>
    </row>
    <row r="472937" spans="12:13" x14ac:dyDescent="0.25">
      <c r="L472937" s="472"/>
      <c r="M472937" s="472"/>
    </row>
    <row r="473009" spans="12:13" x14ac:dyDescent="0.25">
      <c r="L473009" s="472"/>
      <c r="M473009" s="472"/>
    </row>
    <row r="473010" spans="12:13" x14ac:dyDescent="0.25">
      <c r="L473010" s="472"/>
      <c r="M473010" s="472"/>
    </row>
    <row r="473011" spans="12:13" x14ac:dyDescent="0.25">
      <c r="L473011" s="472"/>
      <c r="M473011" s="472"/>
    </row>
    <row r="473083" spans="12:13" x14ac:dyDescent="0.25">
      <c r="L473083" s="472"/>
      <c r="M473083" s="472"/>
    </row>
    <row r="473084" spans="12:13" x14ac:dyDescent="0.25">
      <c r="L473084" s="472"/>
      <c r="M473084" s="472"/>
    </row>
    <row r="473085" spans="12:13" x14ac:dyDescent="0.25">
      <c r="L473085" s="472"/>
      <c r="M473085" s="472"/>
    </row>
    <row r="473157" spans="12:13" x14ac:dyDescent="0.25">
      <c r="L473157" s="472"/>
      <c r="M473157" s="472"/>
    </row>
    <row r="473158" spans="12:13" x14ac:dyDescent="0.25">
      <c r="L473158" s="472"/>
      <c r="M473158" s="472"/>
    </row>
    <row r="473159" spans="12:13" x14ac:dyDescent="0.25">
      <c r="L473159" s="472"/>
      <c r="M473159" s="472"/>
    </row>
    <row r="473231" spans="12:13" x14ac:dyDescent="0.25">
      <c r="L473231" s="472"/>
      <c r="M473231" s="472"/>
    </row>
    <row r="473232" spans="12:13" x14ac:dyDescent="0.25">
      <c r="L473232" s="472"/>
      <c r="M473232" s="472"/>
    </row>
    <row r="473233" spans="12:13" x14ac:dyDescent="0.25">
      <c r="L473233" s="472"/>
      <c r="M473233" s="472"/>
    </row>
    <row r="473305" spans="12:13" x14ac:dyDescent="0.25">
      <c r="L473305" s="472"/>
      <c r="M473305" s="472"/>
    </row>
    <row r="473306" spans="12:13" x14ac:dyDescent="0.25">
      <c r="L473306" s="472"/>
      <c r="M473306" s="472"/>
    </row>
    <row r="473307" spans="12:13" x14ac:dyDescent="0.25">
      <c r="L473307" s="472"/>
      <c r="M473307" s="472"/>
    </row>
    <row r="473379" spans="12:13" x14ac:dyDescent="0.25">
      <c r="L473379" s="472"/>
      <c r="M473379" s="472"/>
    </row>
    <row r="473380" spans="12:13" x14ac:dyDescent="0.25">
      <c r="L473380" s="472"/>
      <c r="M473380" s="472"/>
    </row>
    <row r="473381" spans="12:13" x14ac:dyDescent="0.25">
      <c r="L473381" s="472"/>
      <c r="M473381" s="472"/>
    </row>
    <row r="473453" spans="12:13" x14ac:dyDescent="0.25">
      <c r="L473453" s="472"/>
      <c r="M473453" s="472"/>
    </row>
    <row r="473454" spans="12:13" x14ac:dyDescent="0.25">
      <c r="L473454" s="472"/>
      <c r="M473454" s="472"/>
    </row>
    <row r="473455" spans="12:13" x14ac:dyDescent="0.25">
      <c r="L473455" s="472"/>
      <c r="M473455" s="472"/>
    </row>
    <row r="473527" spans="12:13" x14ac:dyDescent="0.25">
      <c r="L473527" s="472"/>
      <c r="M473527" s="472"/>
    </row>
    <row r="473528" spans="12:13" x14ac:dyDescent="0.25">
      <c r="L473528" s="472"/>
      <c r="M473528" s="472"/>
    </row>
    <row r="473529" spans="12:13" x14ac:dyDescent="0.25">
      <c r="L473529" s="472"/>
      <c r="M473529" s="472"/>
    </row>
    <row r="473601" spans="12:13" x14ac:dyDescent="0.25">
      <c r="L473601" s="472"/>
      <c r="M473601" s="472"/>
    </row>
    <row r="473602" spans="12:13" x14ac:dyDescent="0.25">
      <c r="L473602" s="472"/>
      <c r="M473602" s="472"/>
    </row>
    <row r="473603" spans="12:13" x14ac:dyDescent="0.25">
      <c r="L473603" s="472"/>
      <c r="M473603" s="472"/>
    </row>
    <row r="473675" spans="12:13" x14ac:dyDescent="0.25">
      <c r="L473675" s="472"/>
      <c r="M473675" s="472"/>
    </row>
    <row r="473676" spans="12:13" x14ac:dyDescent="0.25">
      <c r="L473676" s="472"/>
      <c r="M473676" s="472"/>
    </row>
    <row r="473677" spans="12:13" x14ac:dyDescent="0.25">
      <c r="L473677" s="472"/>
      <c r="M473677" s="472"/>
    </row>
    <row r="473749" spans="12:13" x14ac:dyDescent="0.25">
      <c r="L473749" s="472"/>
      <c r="M473749" s="472"/>
    </row>
    <row r="473750" spans="12:13" x14ac:dyDescent="0.25">
      <c r="L473750" s="472"/>
      <c r="M473750" s="472"/>
    </row>
    <row r="473751" spans="12:13" x14ac:dyDescent="0.25">
      <c r="L473751" s="472"/>
      <c r="M473751" s="472"/>
    </row>
    <row r="473823" spans="12:13" x14ac:dyDescent="0.25">
      <c r="L473823" s="472"/>
      <c r="M473823" s="472"/>
    </row>
    <row r="473824" spans="12:13" x14ac:dyDescent="0.25">
      <c r="L473824" s="472"/>
      <c r="M473824" s="472"/>
    </row>
    <row r="473825" spans="12:13" x14ac:dyDescent="0.25">
      <c r="L473825" s="472"/>
      <c r="M473825" s="472"/>
    </row>
    <row r="473897" spans="12:13" x14ac:dyDescent="0.25">
      <c r="L473897" s="472"/>
      <c r="M473897" s="472"/>
    </row>
    <row r="473898" spans="12:13" x14ac:dyDescent="0.25">
      <c r="L473898" s="472"/>
      <c r="M473898" s="472"/>
    </row>
    <row r="473899" spans="12:13" x14ac:dyDescent="0.25">
      <c r="L473899" s="472"/>
      <c r="M473899" s="472"/>
    </row>
    <row r="473971" spans="12:13" x14ac:dyDescent="0.25">
      <c r="L473971" s="472"/>
      <c r="M473971" s="472"/>
    </row>
    <row r="473972" spans="12:13" x14ac:dyDescent="0.25">
      <c r="L473972" s="472"/>
      <c r="M473972" s="472"/>
    </row>
    <row r="473973" spans="12:13" x14ac:dyDescent="0.25">
      <c r="L473973" s="472"/>
      <c r="M473973" s="472"/>
    </row>
    <row r="474045" spans="12:13" x14ac:dyDescent="0.25">
      <c r="L474045" s="472"/>
      <c r="M474045" s="472"/>
    </row>
    <row r="474046" spans="12:13" x14ac:dyDescent="0.25">
      <c r="L474046" s="472"/>
      <c r="M474046" s="472"/>
    </row>
    <row r="474047" spans="12:13" x14ac:dyDescent="0.25">
      <c r="L474047" s="472"/>
      <c r="M474047" s="472"/>
    </row>
    <row r="474119" spans="12:13" x14ac:dyDescent="0.25">
      <c r="L474119" s="472"/>
      <c r="M474119" s="472"/>
    </row>
    <row r="474120" spans="12:13" x14ac:dyDescent="0.25">
      <c r="L474120" s="472"/>
      <c r="M474120" s="472"/>
    </row>
    <row r="474121" spans="12:13" x14ac:dyDescent="0.25">
      <c r="L474121" s="472"/>
      <c r="M474121" s="472"/>
    </row>
    <row r="474193" spans="12:13" x14ac:dyDescent="0.25">
      <c r="L474193" s="472"/>
      <c r="M474193" s="472"/>
    </row>
    <row r="474194" spans="12:13" x14ac:dyDescent="0.25">
      <c r="L474194" s="472"/>
      <c r="M474194" s="472"/>
    </row>
    <row r="474195" spans="12:13" x14ac:dyDescent="0.25">
      <c r="L474195" s="472"/>
      <c r="M474195" s="472"/>
    </row>
    <row r="474267" spans="12:13" x14ac:dyDescent="0.25">
      <c r="L474267" s="472"/>
      <c r="M474267" s="472"/>
    </row>
    <row r="474268" spans="12:13" x14ac:dyDescent="0.25">
      <c r="L474268" s="472"/>
      <c r="M474268" s="472"/>
    </row>
    <row r="474269" spans="12:13" x14ac:dyDescent="0.25">
      <c r="L474269" s="472"/>
      <c r="M474269" s="472"/>
    </row>
    <row r="474341" spans="12:13" x14ac:dyDescent="0.25">
      <c r="L474341" s="472"/>
      <c r="M474341" s="472"/>
    </row>
    <row r="474342" spans="12:13" x14ac:dyDescent="0.25">
      <c r="L474342" s="472"/>
      <c r="M474342" s="472"/>
    </row>
    <row r="474343" spans="12:13" x14ac:dyDescent="0.25">
      <c r="L474343" s="472"/>
      <c r="M474343" s="472"/>
    </row>
    <row r="474415" spans="12:13" x14ac:dyDescent="0.25">
      <c r="L474415" s="472"/>
      <c r="M474415" s="472"/>
    </row>
    <row r="474416" spans="12:13" x14ac:dyDescent="0.25">
      <c r="L474416" s="472"/>
      <c r="M474416" s="472"/>
    </row>
    <row r="474417" spans="12:13" x14ac:dyDescent="0.25">
      <c r="L474417" s="472"/>
      <c r="M474417" s="472"/>
    </row>
    <row r="474489" spans="12:13" x14ac:dyDescent="0.25">
      <c r="L474489" s="472"/>
      <c r="M474489" s="472"/>
    </row>
    <row r="474490" spans="12:13" x14ac:dyDescent="0.25">
      <c r="L474490" s="472"/>
      <c r="M474490" s="472"/>
    </row>
    <row r="474491" spans="12:13" x14ac:dyDescent="0.25">
      <c r="L474491" s="472"/>
      <c r="M474491" s="472"/>
    </row>
    <row r="474563" spans="12:13" x14ac:dyDescent="0.25">
      <c r="L474563" s="472"/>
      <c r="M474563" s="472"/>
    </row>
    <row r="474564" spans="12:13" x14ac:dyDescent="0.25">
      <c r="L474564" s="472"/>
      <c r="M474564" s="472"/>
    </row>
    <row r="474565" spans="12:13" x14ac:dyDescent="0.25">
      <c r="L474565" s="472"/>
      <c r="M474565" s="472"/>
    </row>
    <row r="474637" spans="12:13" x14ac:dyDescent="0.25">
      <c r="L474637" s="472"/>
      <c r="M474637" s="472"/>
    </row>
    <row r="474638" spans="12:13" x14ac:dyDescent="0.25">
      <c r="L474638" s="472"/>
      <c r="M474638" s="472"/>
    </row>
    <row r="474639" spans="12:13" x14ac:dyDescent="0.25">
      <c r="L474639" s="472"/>
      <c r="M474639" s="472"/>
    </row>
    <row r="474711" spans="12:13" x14ac:dyDescent="0.25">
      <c r="L474711" s="472"/>
      <c r="M474711" s="472"/>
    </row>
    <row r="474712" spans="12:13" x14ac:dyDescent="0.25">
      <c r="L474712" s="472"/>
      <c r="M474712" s="472"/>
    </row>
    <row r="474713" spans="12:13" x14ac:dyDescent="0.25">
      <c r="L474713" s="472"/>
      <c r="M474713" s="472"/>
    </row>
    <row r="474785" spans="12:13" x14ac:dyDescent="0.25">
      <c r="L474785" s="472"/>
      <c r="M474785" s="472"/>
    </row>
    <row r="474786" spans="12:13" x14ac:dyDescent="0.25">
      <c r="L474786" s="472"/>
      <c r="M474786" s="472"/>
    </row>
    <row r="474787" spans="12:13" x14ac:dyDescent="0.25">
      <c r="L474787" s="472"/>
      <c r="M474787" s="472"/>
    </row>
    <row r="474859" spans="12:13" x14ac:dyDescent="0.25">
      <c r="L474859" s="472"/>
      <c r="M474859" s="472"/>
    </row>
    <row r="474860" spans="12:13" x14ac:dyDescent="0.25">
      <c r="L474860" s="472"/>
      <c r="M474860" s="472"/>
    </row>
    <row r="474861" spans="12:13" x14ac:dyDescent="0.25">
      <c r="L474861" s="472"/>
      <c r="M474861" s="472"/>
    </row>
    <row r="474933" spans="12:13" x14ac:dyDescent="0.25">
      <c r="L474933" s="472"/>
      <c r="M474933" s="472"/>
    </row>
    <row r="474934" spans="12:13" x14ac:dyDescent="0.25">
      <c r="L474934" s="472"/>
      <c r="M474934" s="472"/>
    </row>
    <row r="474935" spans="12:13" x14ac:dyDescent="0.25">
      <c r="L474935" s="472"/>
      <c r="M474935" s="472"/>
    </row>
    <row r="475007" spans="12:13" x14ac:dyDescent="0.25">
      <c r="L475007" s="472"/>
      <c r="M475007" s="472"/>
    </row>
    <row r="475008" spans="12:13" x14ac:dyDescent="0.25">
      <c r="L475008" s="472"/>
      <c r="M475008" s="472"/>
    </row>
    <row r="475009" spans="12:13" x14ac:dyDescent="0.25">
      <c r="L475009" s="472"/>
      <c r="M475009" s="472"/>
    </row>
    <row r="475081" spans="12:13" x14ac:dyDescent="0.25">
      <c r="L475081" s="472"/>
      <c r="M475081" s="472"/>
    </row>
    <row r="475082" spans="12:13" x14ac:dyDescent="0.25">
      <c r="L475082" s="472"/>
      <c r="M475082" s="472"/>
    </row>
    <row r="475083" spans="12:13" x14ac:dyDescent="0.25">
      <c r="L475083" s="472"/>
      <c r="M475083" s="472"/>
    </row>
    <row r="475155" spans="12:13" x14ac:dyDescent="0.25">
      <c r="L475155" s="472"/>
      <c r="M475155" s="472"/>
    </row>
    <row r="475156" spans="12:13" x14ac:dyDescent="0.25">
      <c r="L475156" s="472"/>
      <c r="M475156" s="472"/>
    </row>
    <row r="475157" spans="12:13" x14ac:dyDescent="0.25">
      <c r="L475157" s="472"/>
      <c r="M475157" s="472"/>
    </row>
    <row r="475229" spans="12:13" x14ac:dyDescent="0.25">
      <c r="L475229" s="472"/>
      <c r="M475229" s="472"/>
    </row>
    <row r="475230" spans="12:13" x14ac:dyDescent="0.25">
      <c r="L475230" s="472"/>
      <c r="M475230" s="472"/>
    </row>
    <row r="475231" spans="12:13" x14ac:dyDescent="0.25">
      <c r="L475231" s="472"/>
      <c r="M475231" s="472"/>
    </row>
    <row r="475303" spans="12:13" x14ac:dyDescent="0.25">
      <c r="L475303" s="472"/>
      <c r="M475303" s="472"/>
    </row>
    <row r="475304" spans="12:13" x14ac:dyDescent="0.25">
      <c r="L475304" s="472"/>
      <c r="M475304" s="472"/>
    </row>
    <row r="475305" spans="12:13" x14ac:dyDescent="0.25">
      <c r="L475305" s="472"/>
      <c r="M475305" s="472"/>
    </row>
    <row r="475377" spans="12:13" x14ac:dyDescent="0.25">
      <c r="L475377" s="472"/>
      <c r="M475377" s="472"/>
    </row>
    <row r="475378" spans="12:13" x14ac:dyDescent="0.25">
      <c r="L475378" s="472"/>
      <c r="M475378" s="472"/>
    </row>
    <row r="475379" spans="12:13" x14ac:dyDescent="0.25">
      <c r="L475379" s="472"/>
      <c r="M475379" s="472"/>
    </row>
    <row r="475451" spans="12:13" x14ac:dyDescent="0.25">
      <c r="L475451" s="472"/>
      <c r="M475451" s="472"/>
    </row>
    <row r="475452" spans="12:13" x14ac:dyDescent="0.25">
      <c r="L475452" s="472"/>
      <c r="M475452" s="472"/>
    </row>
    <row r="475453" spans="12:13" x14ac:dyDescent="0.25">
      <c r="L475453" s="472"/>
      <c r="M475453" s="472"/>
    </row>
    <row r="475525" spans="12:13" x14ac:dyDescent="0.25">
      <c r="L475525" s="472"/>
      <c r="M475525" s="472"/>
    </row>
    <row r="475526" spans="12:13" x14ac:dyDescent="0.25">
      <c r="L475526" s="472"/>
      <c r="M475526" s="472"/>
    </row>
    <row r="475527" spans="12:13" x14ac:dyDescent="0.25">
      <c r="L475527" s="472"/>
      <c r="M475527" s="472"/>
    </row>
    <row r="475599" spans="12:13" x14ac:dyDescent="0.25">
      <c r="L475599" s="472"/>
      <c r="M475599" s="472"/>
    </row>
    <row r="475600" spans="12:13" x14ac:dyDescent="0.25">
      <c r="L475600" s="472"/>
      <c r="M475600" s="472"/>
    </row>
    <row r="475601" spans="12:13" x14ac:dyDescent="0.25">
      <c r="L475601" s="472"/>
      <c r="M475601" s="472"/>
    </row>
    <row r="475673" spans="12:13" x14ac:dyDescent="0.25">
      <c r="L475673" s="472"/>
      <c r="M475673" s="472"/>
    </row>
    <row r="475674" spans="12:13" x14ac:dyDescent="0.25">
      <c r="L475674" s="472"/>
      <c r="M475674" s="472"/>
    </row>
    <row r="475675" spans="12:13" x14ac:dyDescent="0.25">
      <c r="L475675" s="472"/>
      <c r="M475675" s="472"/>
    </row>
    <row r="475747" spans="12:13" x14ac:dyDescent="0.25">
      <c r="L475747" s="472"/>
      <c r="M475747" s="472"/>
    </row>
    <row r="475748" spans="12:13" x14ac:dyDescent="0.25">
      <c r="L475748" s="472"/>
      <c r="M475748" s="472"/>
    </row>
    <row r="475749" spans="12:13" x14ac:dyDescent="0.25">
      <c r="L475749" s="472"/>
      <c r="M475749" s="472"/>
    </row>
    <row r="475821" spans="12:13" x14ac:dyDescent="0.25">
      <c r="L475821" s="472"/>
      <c r="M475821" s="472"/>
    </row>
    <row r="475822" spans="12:13" x14ac:dyDescent="0.25">
      <c r="L475822" s="472"/>
      <c r="M475822" s="472"/>
    </row>
    <row r="475823" spans="12:13" x14ac:dyDescent="0.25">
      <c r="L475823" s="472"/>
      <c r="M475823" s="472"/>
    </row>
    <row r="475895" spans="12:13" x14ac:dyDescent="0.25">
      <c r="L475895" s="472"/>
      <c r="M475895" s="472"/>
    </row>
    <row r="475896" spans="12:13" x14ac:dyDescent="0.25">
      <c r="L475896" s="472"/>
      <c r="M475896" s="472"/>
    </row>
    <row r="475897" spans="12:13" x14ac:dyDescent="0.25">
      <c r="L475897" s="472"/>
      <c r="M475897" s="472"/>
    </row>
    <row r="475969" spans="12:13" x14ac:dyDescent="0.25">
      <c r="L475969" s="472"/>
      <c r="M475969" s="472"/>
    </row>
    <row r="475970" spans="12:13" x14ac:dyDescent="0.25">
      <c r="L475970" s="472"/>
      <c r="M475970" s="472"/>
    </row>
    <row r="475971" spans="12:13" x14ac:dyDescent="0.25">
      <c r="L475971" s="472"/>
      <c r="M475971" s="472"/>
    </row>
    <row r="476043" spans="12:13" x14ac:dyDescent="0.25">
      <c r="L476043" s="472"/>
      <c r="M476043" s="472"/>
    </row>
    <row r="476044" spans="12:13" x14ac:dyDescent="0.25">
      <c r="L476044" s="472"/>
      <c r="M476044" s="472"/>
    </row>
    <row r="476045" spans="12:13" x14ac:dyDescent="0.25">
      <c r="L476045" s="472"/>
      <c r="M476045" s="472"/>
    </row>
    <row r="476117" spans="12:13" x14ac:dyDescent="0.25">
      <c r="L476117" s="472"/>
      <c r="M476117" s="472"/>
    </row>
    <row r="476118" spans="12:13" x14ac:dyDescent="0.25">
      <c r="L476118" s="472"/>
      <c r="M476118" s="472"/>
    </row>
    <row r="476119" spans="12:13" x14ac:dyDescent="0.25">
      <c r="L476119" s="472"/>
      <c r="M476119" s="472"/>
    </row>
    <row r="476191" spans="12:13" x14ac:dyDescent="0.25">
      <c r="L476191" s="472"/>
      <c r="M476191" s="472"/>
    </row>
    <row r="476192" spans="12:13" x14ac:dyDescent="0.25">
      <c r="L476192" s="472"/>
      <c r="M476192" s="472"/>
    </row>
    <row r="476193" spans="12:13" x14ac:dyDescent="0.25">
      <c r="L476193" s="472"/>
      <c r="M476193" s="472"/>
    </row>
    <row r="476265" spans="12:13" x14ac:dyDescent="0.25">
      <c r="L476265" s="472"/>
      <c r="M476265" s="472"/>
    </row>
    <row r="476266" spans="12:13" x14ac:dyDescent="0.25">
      <c r="L476266" s="472"/>
      <c r="M476266" s="472"/>
    </row>
    <row r="476267" spans="12:13" x14ac:dyDescent="0.25">
      <c r="L476267" s="472"/>
      <c r="M476267" s="472"/>
    </row>
    <row r="476339" spans="12:13" x14ac:dyDescent="0.25">
      <c r="L476339" s="472"/>
      <c r="M476339" s="472"/>
    </row>
    <row r="476340" spans="12:13" x14ac:dyDescent="0.25">
      <c r="L476340" s="472"/>
      <c r="M476340" s="472"/>
    </row>
    <row r="476341" spans="12:13" x14ac:dyDescent="0.25">
      <c r="L476341" s="472"/>
      <c r="M476341" s="472"/>
    </row>
    <row r="476413" spans="12:13" x14ac:dyDescent="0.25">
      <c r="L476413" s="472"/>
      <c r="M476413" s="472"/>
    </row>
    <row r="476414" spans="12:13" x14ac:dyDescent="0.25">
      <c r="L476414" s="472"/>
      <c r="M476414" s="472"/>
    </row>
    <row r="476415" spans="12:13" x14ac:dyDescent="0.25">
      <c r="L476415" s="472"/>
      <c r="M476415" s="472"/>
    </row>
    <row r="476487" spans="12:13" x14ac:dyDescent="0.25">
      <c r="L476487" s="472"/>
      <c r="M476487" s="472"/>
    </row>
    <row r="476488" spans="12:13" x14ac:dyDescent="0.25">
      <c r="L476488" s="472"/>
      <c r="M476488" s="472"/>
    </row>
    <row r="476489" spans="12:13" x14ac:dyDescent="0.25">
      <c r="L476489" s="472"/>
      <c r="M476489" s="472"/>
    </row>
    <row r="476561" spans="12:13" x14ac:dyDescent="0.25">
      <c r="L476561" s="472"/>
      <c r="M476561" s="472"/>
    </row>
    <row r="476562" spans="12:13" x14ac:dyDescent="0.25">
      <c r="L476562" s="472"/>
      <c r="M476562" s="472"/>
    </row>
    <row r="476563" spans="12:13" x14ac:dyDescent="0.25">
      <c r="L476563" s="472"/>
      <c r="M476563" s="472"/>
    </row>
    <row r="476635" spans="12:13" x14ac:dyDescent="0.25">
      <c r="L476635" s="472"/>
      <c r="M476635" s="472"/>
    </row>
    <row r="476636" spans="12:13" x14ac:dyDescent="0.25">
      <c r="L476636" s="472"/>
      <c r="M476636" s="472"/>
    </row>
    <row r="476637" spans="12:13" x14ac:dyDescent="0.25">
      <c r="L476637" s="472"/>
      <c r="M476637" s="472"/>
    </row>
    <row r="476709" spans="12:13" x14ac:dyDescent="0.25">
      <c r="L476709" s="472"/>
      <c r="M476709" s="472"/>
    </row>
    <row r="476710" spans="12:13" x14ac:dyDescent="0.25">
      <c r="L476710" s="472"/>
      <c r="M476710" s="472"/>
    </row>
    <row r="476711" spans="12:13" x14ac:dyDescent="0.25">
      <c r="L476711" s="472"/>
      <c r="M476711" s="472"/>
    </row>
    <row r="476783" spans="12:13" x14ac:dyDescent="0.25">
      <c r="L476783" s="472"/>
      <c r="M476783" s="472"/>
    </row>
    <row r="476784" spans="12:13" x14ac:dyDescent="0.25">
      <c r="L476784" s="472"/>
      <c r="M476784" s="472"/>
    </row>
    <row r="476785" spans="12:13" x14ac:dyDescent="0.25">
      <c r="L476785" s="472"/>
      <c r="M476785" s="472"/>
    </row>
    <row r="476857" spans="12:13" x14ac:dyDescent="0.25">
      <c r="L476857" s="472"/>
      <c r="M476857" s="472"/>
    </row>
    <row r="476858" spans="12:13" x14ac:dyDescent="0.25">
      <c r="L476858" s="472"/>
      <c r="M476858" s="472"/>
    </row>
    <row r="476859" spans="12:13" x14ac:dyDescent="0.25">
      <c r="L476859" s="472"/>
      <c r="M476859" s="472"/>
    </row>
    <row r="476931" spans="12:13" x14ac:dyDescent="0.25">
      <c r="L476931" s="472"/>
      <c r="M476931" s="472"/>
    </row>
    <row r="476932" spans="12:13" x14ac:dyDescent="0.25">
      <c r="L476932" s="472"/>
      <c r="M476932" s="472"/>
    </row>
    <row r="476933" spans="12:13" x14ac:dyDescent="0.25">
      <c r="L476933" s="472"/>
      <c r="M476933" s="472"/>
    </row>
    <row r="477005" spans="12:13" x14ac:dyDescent="0.25">
      <c r="L477005" s="472"/>
      <c r="M477005" s="472"/>
    </row>
    <row r="477006" spans="12:13" x14ac:dyDescent="0.25">
      <c r="L477006" s="472"/>
      <c r="M477006" s="472"/>
    </row>
    <row r="477007" spans="12:13" x14ac:dyDescent="0.25">
      <c r="L477007" s="472"/>
      <c r="M477007" s="472"/>
    </row>
    <row r="477079" spans="12:13" x14ac:dyDescent="0.25">
      <c r="L477079" s="472"/>
      <c r="M477079" s="472"/>
    </row>
    <row r="477080" spans="12:13" x14ac:dyDescent="0.25">
      <c r="L477080" s="472"/>
      <c r="M477080" s="472"/>
    </row>
    <row r="477081" spans="12:13" x14ac:dyDescent="0.25">
      <c r="L477081" s="472"/>
      <c r="M477081" s="472"/>
    </row>
    <row r="477153" spans="12:13" x14ac:dyDescent="0.25">
      <c r="L477153" s="472"/>
      <c r="M477153" s="472"/>
    </row>
    <row r="477154" spans="12:13" x14ac:dyDescent="0.25">
      <c r="L477154" s="472"/>
      <c r="M477154" s="472"/>
    </row>
    <row r="477155" spans="12:13" x14ac:dyDescent="0.25">
      <c r="L477155" s="472"/>
      <c r="M477155" s="472"/>
    </row>
    <row r="477227" spans="12:13" x14ac:dyDescent="0.25">
      <c r="L477227" s="472"/>
      <c r="M477227" s="472"/>
    </row>
    <row r="477228" spans="12:13" x14ac:dyDescent="0.25">
      <c r="L477228" s="472"/>
      <c r="M477228" s="472"/>
    </row>
    <row r="477229" spans="12:13" x14ac:dyDescent="0.25">
      <c r="L477229" s="472"/>
      <c r="M477229" s="472"/>
    </row>
    <row r="477301" spans="12:13" x14ac:dyDescent="0.25">
      <c r="L477301" s="472"/>
      <c r="M477301" s="472"/>
    </row>
    <row r="477302" spans="12:13" x14ac:dyDescent="0.25">
      <c r="L477302" s="472"/>
      <c r="M477302" s="472"/>
    </row>
    <row r="477303" spans="12:13" x14ac:dyDescent="0.25">
      <c r="L477303" s="472"/>
      <c r="M477303" s="472"/>
    </row>
    <row r="477375" spans="12:13" x14ac:dyDescent="0.25">
      <c r="L477375" s="472"/>
      <c r="M477375" s="472"/>
    </row>
    <row r="477376" spans="12:13" x14ac:dyDescent="0.25">
      <c r="L477376" s="472"/>
      <c r="M477376" s="472"/>
    </row>
    <row r="477377" spans="12:13" x14ac:dyDescent="0.25">
      <c r="L477377" s="472"/>
      <c r="M477377" s="472"/>
    </row>
    <row r="477449" spans="12:13" x14ac:dyDescent="0.25">
      <c r="L477449" s="472"/>
      <c r="M477449" s="472"/>
    </row>
    <row r="477450" spans="12:13" x14ac:dyDescent="0.25">
      <c r="L477450" s="472"/>
      <c r="M477450" s="472"/>
    </row>
    <row r="477451" spans="12:13" x14ac:dyDescent="0.25">
      <c r="L477451" s="472"/>
      <c r="M477451" s="472"/>
    </row>
    <row r="477523" spans="12:13" x14ac:dyDescent="0.25">
      <c r="L477523" s="472"/>
      <c r="M477523" s="472"/>
    </row>
    <row r="477524" spans="12:13" x14ac:dyDescent="0.25">
      <c r="L477524" s="472"/>
      <c r="M477524" s="472"/>
    </row>
    <row r="477525" spans="12:13" x14ac:dyDescent="0.25">
      <c r="L477525" s="472"/>
      <c r="M477525" s="472"/>
    </row>
    <row r="477597" spans="12:13" x14ac:dyDescent="0.25">
      <c r="L477597" s="472"/>
      <c r="M477597" s="472"/>
    </row>
    <row r="477598" spans="12:13" x14ac:dyDescent="0.25">
      <c r="L477598" s="472"/>
      <c r="M477598" s="472"/>
    </row>
    <row r="477599" spans="12:13" x14ac:dyDescent="0.25">
      <c r="L477599" s="472"/>
      <c r="M477599" s="472"/>
    </row>
    <row r="477671" spans="12:13" x14ac:dyDescent="0.25">
      <c r="L477671" s="472"/>
      <c r="M477671" s="472"/>
    </row>
    <row r="477672" spans="12:13" x14ac:dyDescent="0.25">
      <c r="L477672" s="472"/>
      <c r="M477672" s="472"/>
    </row>
    <row r="477673" spans="12:13" x14ac:dyDescent="0.25">
      <c r="L477673" s="472"/>
      <c r="M477673" s="472"/>
    </row>
    <row r="477745" spans="12:13" x14ac:dyDescent="0.25">
      <c r="L477745" s="472"/>
      <c r="M477745" s="472"/>
    </row>
    <row r="477746" spans="12:13" x14ac:dyDescent="0.25">
      <c r="L477746" s="472"/>
      <c r="M477746" s="472"/>
    </row>
    <row r="477747" spans="12:13" x14ac:dyDescent="0.25">
      <c r="L477747" s="472"/>
      <c r="M477747" s="472"/>
    </row>
    <row r="477819" spans="12:13" x14ac:dyDescent="0.25">
      <c r="L477819" s="472"/>
      <c r="M477819" s="472"/>
    </row>
    <row r="477820" spans="12:13" x14ac:dyDescent="0.25">
      <c r="L477820" s="472"/>
      <c r="M477820" s="472"/>
    </row>
    <row r="477821" spans="12:13" x14ac:dyDescent="0.25">
      <c r="L477821" s="472"/>
      <c r="M477821" s="472"/>
    </row>
    <row r="477893" spans="12:13" x14ac:dyDescent="0.25">
      <c r="L477893" s="472"/>
      <c r="M477893" s="472"/>
    </row>
    <row r="477894" spans="12:13" x14ac:dyDescent="0.25">
      <c r="L477894" s="472"/>
      <c r="M477894" s="472"/>
    </row>
    <row r="477895" spans="12:13" x14ac:dyDescent="0.25">
      <c r="L477895" s="472"/>
      <c r="M477895" s="472"/>
    </row>
    <row r="477967" spans="12:13" x14ac:dyDescent="0.25">
      <c r="L477967" s="472"/>
      <c r="M477967" s="472"/>
    </row>
    <row r="477968" spans="12:13" x14ac:dyDescent="0.25">
      <c r="L477968" s="472"/>
      <c r="M477968" s="472"/>
    </row>
    <row r="477969" spans="12:13" x14ac:dyDescent="0.25">
      <c r="L477969" s="472"/>
      <c r="M477969" s="472"/>
    </row>
    <row r="478041" spans="12:13" x14ac:dyDescent="0.25">
      <c r="L478041" s="472"/>
      <c r="M478041" s="472"/>
    </row>
    <row r="478042" spans="12:13" x14ac:dyDescent="0.25">
      <c r="L478042" s="472"/>
      <c r="M478042" s="472"/>
    </row>
    <row r="478043" spans="12:13" x14ac:dyDescent="0.25">
      <c r="L478043" s="472"/>
      <c r="M478043" s="472"/>
    </row>
    <row r="478115" spans="12:13" x14ac:dyDescent="0.25">
      <c r="L478115" s="472"/>
      <c r="M478115" s="472"/>
    </row>
    <row r="478116" spans="12:13" x14ac:dyDescent="0.25">
      <c r="L478116" s="472"/>
      <c r="M478116" s="472"/>
    </row>
    <row r="478117" spans="12:13" x14ac:dyDescent="0.25">
      <c r="L478117" s="472"/>
      <c r="M478117" s="472"/>
    </row>
    <row r="478189" spans="12:13" x14ac:dyDescent="0.25">
      <c r="L478189" s="472"/>
      <c r="M478189" s="472"/>
    </row>
    <row r="478190" spans="12:13" x14ac:dyDescent="0.25">
      <c r="L478190" s="472"/>
      <c r="M478190" s="472"/>
    </row>
    <row r="478191" spans="12:13" x14ac:dyDescent="0.25">
      <c r="L478191" s="472"/>
      <c r="M478191" s="472"/>
    </row>
    <row r="478263" spans="12:13" x14ac:dyDescent="0.25">
      <c r="L478263" s="472"/>
      <c r="M478263" s="472"/>
    </row>
    <row r="478264" spans="12:13" x14ac:dyDescent="0.25">
      <c r="L478264" s="472"/>
      <c r="M478264" s="472"/>
    </row>
    <row r="478265" spans="12:13" x14ac:dyDescent="0.25">
      <c r="L478265" s="472"/>
      <c r="M478265" s="472"/>
    </row>
    <row r="478337" spans="12:13" x14ac:dyDescent="0.25">
      <c r="L478337" s="472"/>
      <c r="M478337" s="472"/>
    </row>
    <row r="478338" spans="12:13" x14ac:dyDescent="0.25">
      <c r="L478338" s="472"/>
      <c r="M478338" s="472"/>
    </row>
    <row r="478339" spans="12:13" x14ac:dyDescent="0.25">
      <c r="L478339" s="472"/>
      <c r="M478339" s="472"/>
    </row>
    <row r="478411" spans="12:13" x14ac:dyDescent="0.25">
      <c r="L478411" s="472"/>
      <c r="M478411" s="472"/>
    </row>
    <row r="478412" spans="12:13" x14ac:dyDescent="0.25">
      <c r="L478412" s="472"/>
      <c r="M478412" s="472"/>
    </row>
    <row r="478413" spans="12:13" x14ac:dyDescent="0.25">
      <c r="L478413" s="472"/>
      <c r="M478413" s="472"/>
    </row>
    <row r="478485" spans="12:13" x14ac:dyDescent="0.25">
      <c r="L478485" s="472"/>
      <c r="M478485" s="472"/>
    </row>
    <row r="478486" spans="12:13" x14ac:dyDescent="0.25">
      <c r="L478486" s="472"/>
      <c r="M478486" s="472"/>
    </row>
    <row r="478487" spans="12:13" x14ac:dyDescent="0.25">
      <c r="L478487" s="472"/>
      <c r="M478487" s="472"/>
    </row>
    <row r="478559" spans="12:13" x14ac:dyDescent="0.25">
      <c r="L478559" s="472"/>
      <c r="M478559" s="472"/>
    </row>
    <row r="478560" spans="12:13" x14ac:dyDescent="0.25">
      <c r="L478560" s="472"/>
      <c r="M478560" s="472"/>
    </row>
    <row r="478561" spans="12:13" x14ac:dyDescent="0.25">
      <c r="L478561" s="472"/>
      <c r="M478561" s="472"/>
    </row>
    <row r="478633" spans="12:13" x14ac:dyDescent="0.25">
      <c r="L478633" s="472"/>
      <c r="M478633" s="472"/>
    </row>
    <row r="478634" spans="12:13" x14ac:dyDescent="0.25">
      <c r="L478634" s="472"/>
      <c r="M478634" s="472"/>
    </row>
    <row r="478635" spans="12:13" x14ac:dyDescent="0.25">
      <c r="L478635" s="472"/>
      <c r="M478635" s="472"/>
    </row>
    <row r="478707" spans="12:13" x14ac:dyDescent="0.25">
      <c r="L478707" s="472"/>
      <c r="M478707" s="472"/>
    </row>
    <row r="478708" spans="12:13" x14ac:dyDescent="0.25">
      <c r="L478708" s="472"/>
      <c r="M478708" s="472"/>
    </row>
    <row r="478709" spans="12:13" x14ac:dyDescent="0.25">
      <c r="L478709" s="472"/>
      <c r="M478709" s="472"/>
    </row>
    <row r="478781" spans="12:13" x14ac:dyDescent="0.25">
      <c r="L478781" s="472"/>
      <c r="M478781" s="472"/>
    </row>
    <row r="478782" spans="12:13" x14ac:dyDescent="0.25">
      <c r="L478782" s="472"/>
      <c r="M478782" s="472"/>
    </row>
    <row r="478783" spans="12:13" x14ac:dyDescent="0.25">
      <c r="L478783" s="472"/>
      <c r="M478783" s="472"/>
    </row>
    <row r="478855" spans="12:13" x14ac:dyDescent="0.25">
      <c r="L478855" s="472"/>
      <c r="M478855" s="472"/>
    </row>
    <row r="478856" spans="12:13" x14ac:dyDescent="0.25">
      <c r="L478856" s="472"/>
      <c r="M478856" s="472"/>
    </row>
    <row r="478857" spans="12:13" x14ac:dyDescent="0.25">
      <c r="L478857" s="472"/>
      <c r="M478857" s="472"/>
    </row>
    <row r="478929" spans="12:13" x14ac:dyDescent="0.25">
      <c r="L478929" s="472"/>
      <c r="M478929" s="472"/>
    </row>
    <row r="478930" spans="12:13" x14ac:dyDescent="0.25">
      <c r="L478930" s="472"/>
      <c r="M478930" s="472"/>
    </row>
    <row r="478931" spans="12:13" x14ac:dyDescent="0.25">
      <c r="L478931" s="472"/>
      <c r="M478931" s="472"/>
    </row>
    <row r="479003" spans="12:13" x14ac:dyDescent="0.25">
      <c r="L479003" s="472"/>
      <c r="M479003" s="472"/>
    </row>
    <row r="479004" spans="12:13" x14ac:dyDescent="0.25">
      <c r="L479004" s="472"/>
      <c r="M479004" s="472"/>
    </row>
    <row r="479005" spans="12:13" x14ac:dyDescent="0.25">
      <c r="L479005" s="472"/>
      <c r="M479005" s="472"/>
    </row>
    <row r="479077" spans="12:13" x14ac:dyDescent="0.25">
      <c r="L479077" s="472"/>
      <c r="M479077" s="472"/>
    </row>
    <row r="479078" spans="12:13" x14ac:dyDescent="0.25">
      <c r="L479078" s="472"/>
      <c r="M479078" s="472"/>
    </row>
    <row r="479079" spans="12:13" x14ac:dyDescent="0.25">
      <c r="L479079" s="472"/>
      <c r="M479079" s="472"/>
    </row>
    <row r="479151" spans="12:13" x14ac:dyDescent="0.25">
      <c r="L479151" s="472"/>
      <c r="M479151" s="472"/>
    </row>
    <row r="479152" spans="12:13" x14ac:dyDescent="0.25">
      <c r="L479152" s="472"/>
      <c r="M479152" s="472"/>
    </row>
    <row r="479153" spans="12:13" x14ac:dyDescent="0.25">
      <c r="L479153" s="472"/>
      <c r="M479153" s="472"/>
    </row>
    <row r="479225" spans="12:13" x14ac:dyDescent="0.25">
      <c r="L479225" s="472"/>
      <c r="M479225" s="472"/>
    </row>
    <row r="479226" spans="12:13" x14ac:dyDescent="0.25">
      <c r="L479226" s="472"/>
      <c r="M479226" s="472"/>
    </row>
    <row r="479227" spans="12:13" x14ac:dyDescent="0.25">
      <c r="L479227" s="472"/>
      <c r="M479227" s="472"/>
    </row>
    <row r="479299" spans="12:13" x14ac:dyDescent="0.25">
      <c r="L479299" s="472"/>
      <c r="M479299" s="472"/>
    </row>
    <row r="479300" spans="12:13" x14ac:dyDescent="0.25">
      <c r="L479300" s="472"/>
      <c r="M479300" s="472"/>
    </row>
    <row r="479301" spans="12:13" x14ac:dyDescent="0.25">
      <c r="L479301" s="472"/>
      <c r="M479301" s="472"/>
    </row>
    <row r="479373" spans="12:13" x14ac:dyDescent="0.25">
      <c r="L479373" s="472"/>
      <c r="M479373" s="472"/>
    </row>
    <row r="479374" spans="12:13" x14ac:dyDescent="0.25">
      <c r="L479374" s="472"/>
      <c r="M479374" s="472"/>
    </row>
    <row r="479375" spans="12:13" x14ac:dyDescent="0.25">
      <c r="L479375" s="472"/>
      <c r="M479375" s="472"/>
    </row>
    <row r="479447" spans="12:13" x14ac:dyDescent="0.25">
      <c r="L479447" s="472"/>
      <c r="M479447" s="472"/>
    </row>
    <row r="479448" spans="12:13" x14ac:dyDescent="0.25">
      <c r="L479448" s="472"/>
      <c r="M479448" s="472"/>
    </row>
    <row r="479449" spans="12:13" x14ac:dyDescent="0.25">
      <c r="L479449" s="472"/>
      <c r="M479449" s="472"/>
    </row>
    <row r="479521" spans="12:13" x14ac:dyDescent="0.25">
      <c r="L479521" s="472"/>
      <c r="M479521" s="472"/>
    </row>
    <row r="479522" spans="12:13" x14ac:dyDescent="0.25">
      <c r="L479522" s="472"/>
      <c r="M479522" s="472"/>
    </row>
    <row r="479523" spans="12:13" x14ac:dyDescent="0.25">
      <c r="L479523" s="472"/>
      <c r="M479523" s="472"/>
    </row>
    <row r="479595" spans="12:13" x14ac:dyDescent="0.25">
      <c r="L479595" s="472"/>
      <c r="M479595" s="472"/>
    </row>
    <row r="479596" spans="12:13" x14ac:dyDescent="0.25">
      <c r="L479596" s="472"/>
      <c r="M479596" s="472"/>
    </row>
    <row r="479597" spans="12:13" x14ac:dyDescent="0.25">
      <c r="L479597" s="472"/>
      <c r="M479597" s="472"/>
    </row>
    <row r="479669" spans="12:13" x14ac:dyDescent="0.25">
      <c r="L479669" s="472"/>
      <c r="M479669" s="472"/>
    </row>
    <row r="479670" spans="12:13" x14ac:dyDescent="0.25">
      <c r="L479670" s="472"/>
      <c r="M479670" s="472"/>
    </row>
    <row r="479671" spans="12:13" x14ac:dyDescent="0.25">
      <c r="L479671" s="472"/>
      <c r="M479671" s="472"/>
    </row>
    <row r="479743" spans="12:13" x14ac:dyDescent="0.25">
      <c r="L479743" s="472"/>
      <c r="M479743" s="472"/>
    </row>
    <row r="479744" spans="12:13" x14ac:dyDescent="0.25">
      <c r="L479744" s="472"/>
      <c r="M479744" s="472"/>
    </row>
    <row r="479745" spans="12:13" x14ac:dyDescent="0.25">
      <c r="L479745" s="472"/>
      <c r="M479745" s="472"/>
    </row>
    <row r="479817" spans="12:13" x14ac:dyDescent="0.25">
      <c r="L479817" s="472"/>
      <c r="M479817" s="472"/>
    </row>
    <row r="479818" spans="12:13" x14ac:dyDescent="0.25">
      <c r="L479818" s="472"/>
      <c r="M479818" s="472"/>
    </row>
    <row r="479819" spans="12:13" x14ac:dyDescent="0.25">
      <c r="L479819" s="472"/>
      <c r="M479819" s="472"/>
    </row>
    <row r="479891" spans="12:13" x14ac:dyDescent="0.25">
      <c r="L479891" s="472"/>
      <c r="M479891" s="472"/>
    </row>
    <row r="479892" spans="12:13" x14ac:dyDescent="0.25">
      <c r="L479892" s="472"/>
      <c r="M479892" s="472"/>
    </row>
    <row r="479893" spans="12:13" x14ac:dyDescent="0.25">
      <c r="L479893" s="472"/>
      <c r="M479893" s="472"/>
    </row>
    <row r="479965" spans="12:13" x14ac:dyDescent="0.25">
      <c r="L479965" s="472"/>
      <c r="M479965" s="472"/>
    </row>
    <row r="479966" spans="12:13" x14ac:dyDescent="0.25">
      <c r="L479966" s="472"/>
      <c r="M479966" s="472"/>
    </row>
    <row r="479967" spans="12:13" x14ac:dyDescent="0.25">
      <c r="L479967" s="472"/>
      <c r="M479967" s="472"/>
    </row>
    <row r="480039" spans="12:13" x14ac:dyDescent="0.25">
      <c r="L480039" s="472"/>
      <c r="M480039" s="472"/>
    </row>
    <row r="480040" spans="12:13" x14ac:dyDescent="0.25">
      <c r="L480040" s="472"/>
      <c r="M480040" s="472"/>
    </row>
    <row r="480041" spans="12:13" x14ac:dyDescent="0.25">
      <c r="L480041" s="472"/>
      <c r="M480041" s="472"/>
    </row>
    <row r="480113" spans="12:13" x14ac:dyDescent="0.25">
      <c r="L480113" s="472"/>
      <c r="M480113" s="472"/>
    </row>
    <row r="480114" spans="12:13" x14ac:dyDescent="0.25">
      <c r="L480114" s="472"/>
      <c r="M480114" s="472"/>
    </row>
    <row r="480115" spans="12:13" x14ac:dyDescent="0.25">
      <c r="L480115" s="472"/>
      <c r="M480115" s="472"/>
    </row>
    <row r="480187" spans="12:13" x14ac:dyDescent="0.25">
      <c r="L480187" s="472"/>
      <c r="M480187" s="472"/>
    </row>
    <row r="480188" spans="12:13" x14ac:dyDescent="0.25">
      <c r="L480188" s="472"/>
      <c r="M480188" s="472"/>
    </row>
    <row r="480189" spans="12:13" x14ac:dyDescent="0.25">
      <c r="L480189" s="472"/>
      <c r="M480189" s="472"/>
    </row>
    <row r="480261" spans="12:13" x14ac:dyDescent="0.25">
      <c r="L480261" s="472"/>
      <c r="M480261" s="472"/>
    </row>
    <row r="480262" spans="12:13" x14ac:dyDescent="0.25">
      <c r="L480262" s="472"/>
      <c r="M480262" s="472"/>
    </row>
    <row r="480263" spans="12:13" x14ac:dyDescent="0.25">
      <c r="L480263" s="472"/>
      <c r="M480263" s="472"/>
    </row>
    <row r="480335" spans="12:13" x14ac:dyDescent="0.25">
      <c r="L480335" s="472"/>
      <c r="M480335" s="472"/>
    </row>
    <row r="480336" spans="12:13" x14ac:dyDescent="0.25">
      <c r="L480336" s="472"/>
      <c r="M480336" s="472"/>
    </row>
    <row r="480337" spans="12:13" x14ac:dyDescent="0.25">
      <c r="L480337" s="472"/>
      <c r="M480337" s="472"/>
    </row>
    <row r="480409" spans="12:13" x14ac:dyDescent="0.25">
      <c r="L480409" s="472"/>
      <c r="M480409" s="472"/>
    </row>
    <row r="480410" spans="12:13" x14ac:dyDescent="0.25">
      <c r="L480410" s="472"/>
      <c r="M480410" s="472"/>
    </row>
    <row r="480411" spans="12:13" x14ac:dyDescent="0.25">
      <c r="L480411" s="472"/>
      <c r="M480411" s="472"/>
    </row>
    <row r="480483" spans="12:13" x14ac:dyDescent="0.25">
      <c r="L480483" s="472"/>
      <c r="M480483" s="472"/>
    </row>
    <row r="480484" spans="12:13" x14ac:dyDescent="0.25">
      <c r="L480484" s="472"/>
      <c r="M480484" s="472"/>
    </row>
    <row r="480485" spans="12:13" x14ac:dyDescent="0.25">
      <c r="L480485" s="472"/>
      <c r="M480485" s="472"/>
    </row>
    <row r="480557" spans="12:13" x14ac:dyDescent="0.25">
      <c r="L480557" s="472"/>
      <c r="M480557" s="472"/>
    </row>
    <row r="480558" spans="12:13" x14ac:dyDescent="0.25">
      <c r="L480558" s="472"/>
      <c r="M480558" s="472"/>
    </row>
    <row r="480559" spans="12:13" x14ac:dyDescent="0.25">
      <c r="L480559" s="472"/>
      <c r="M480559" s="472"/>
    </row>
    <row r="480631" spans="12:13" x14ac:dyDescent="0.25">
      <c r="L480631" s="472"/>
      <c r="M480631" s="472"/>
    </row>
    <row r="480632" spans="12:13" x14ac:dyDescent="0.25">
      <c r="L480632" s="472"/>
      <c r="M480632" s="472"/>
    </row>
    <row r="480633" spans="12:13" x14ac:dyDescent="0.25">
      <c r="L480633" s="472"/>
      <c r="M480633" s="472"/>
    </row>
    <row r="480705" spans="12:13" x14ac:dyDescent="0.25">
      <c r="L480705" s="472"/>
      <c r="M480705" s="472"/>
    </row>
    <row r="480706" spans="12:13" x14ac:dyDescent="0.25">
      <c r="L480706" s="472"/>
      <c r="M480706" s="472"/>
    </row>
    <row r="480707" spans="12:13" x14ac:dyDescent="0.25">
      <c r="L480707" s="472"/>
      <c r="M480707" s="472"/>
    </row>
    <row r="480779" spans="12:13" x14ac:dyDescent="0.25">
      <c r="L480779" s="472"/>
      <c r="M480779" s="472"/>
    </row>
    <row r="480780" spans="12:13" x14ac:dyDescent="0.25">
      <c r="L480780" s="472"/>
      <c r="M480780" s="472"/>
    </row>
    <row r="480781" spans="12:13" x14ac:dyDescent="0.25">
      <c r="L480781" s="472"/>
      <c r="M480781" s="472"/>
    </row>
    <row r="480853" spans="12:13" x14ac:dyDescent="0.25">
      <c r="L480853" s="472"/>
      <c r="M480853" s="472"/>
    </row>
    <row r="480854" spans="12:13" x14ac:dyDescent="0.25">
      <c r="L480854" s="472"/>
      <c r="M480854" s="472"/>
    </row>
    <row r="480855" spans="12:13" x14ac:dyDescent="0.25">
      <c r="L480855" s="472"/>
      <c r="M480855" s="472"/>
    </row>
    <row r="480927" spans="12:13" x14ac:dyDescent="0.25">
      <c r="L480927" s="472"/>
      <c r="M480927" s="472"/>
    </row>
    <row r="480928" spans="12:13" x14ac:dyDescent="0.25">
      <c r="L480928" s="472"/>
      <c r="M480928" s="472"/>
    </row>
    <row r="480929" spans="12:13" x14ac:dyDescent="0.25">
      <c r="L480929" s="472"/>
      <c r="M480929" s="472"/>
    </row>
    <row r="481001" spans="12:13" x14ac:dyDescent="0.25">
      <c r="L481001" s="472"/>
      <c r="M481001" s="472"/>
    </row>
    <row r="481002" spans="12:13" x14ac:dyDescent="0.25">
      <c r="L481002" s="472"/>
      <c r="M481002" s="472"/>
    </row>
    <row r="481003" spans="12:13" x14ac:dyDescent="0.25">
      <c r="L481003" s="472"/>
      <c r="M481003" s="472"/>
    </row>
    <row r="481075" spans="12:13" x14ac:dyDescent="0.25">
      <c r="L481075" s="472"/>
      <c r="M481075" s="472"/>
    </row>
    <row r="481076" spans="12:13" x14ac:dyDescent="0.25">
      <c r="L481076" s="472"/>
      <c r="M481076" s="472"/>
    </row>
    <row r="481077" spans="12:13" x14ac:dyDescent="0.25">
      <c r="L481077" s="472"/>
      <c r="M481077" s="472"/>
    </row>
    <row r="481149" spans="12:13" x14ac:dyDescent="0.25">
      <c r="L481149" s="472"/>
      <c r="M481149" s="472"/>
    </row>
    <row r="481150" spans="12:13" x14ac:dyDescent="0.25">
      <c r="L481150" s="472"/>
      <c r="M481150" s="472"/>
    </row>
    <row r="481151" spans="12:13" x14ac:dyDescent="0.25">
      <c r="L481151" s="472"/>
      <c r="M481151" s="472"/>
    </row>
    <row r="481223" spans="12:13" x14ac:dyDescent="0.25">
      <c r="L481223" s="472"/>
      <c r="M481223" s="472"/>
    </row>
    <row r="481224" spans="12:13" x14ac:dyDescent="0.25">
      <c r="L481224" s="472"/>
      <c r="M481224" s="472"/>
    </row>
    <row r="481225" spans="12:13" x14ac:dyDescent="0.25">
      <c r="L481225" s="472"/>
      <c r="M481225" s="472"/>
    </row>
    <row r="481297" spans="12:13" x14ac:dyDescent="0.25">
      <c r="L481297" s="472"/>
      <c r="M481297" s="472"/>
    </row>
    <row r="481298" spans="12:13" x14ac:dyDescent="0.25">
      <c r="L481298" s="472"/>
      <c r="M481298" s="472"/>
    </row>
    <row r="481299" spans="12:13" x14ac:dyDescent="0.25">
      <c r="L481299" s="472"/>
      <c r="M481299" s="472"/>
    </row>
    <row r="481371" spans="12:13" x14ac:dyDescent="0.25">
      <c r="L481371" s="472"/>
      <c r="M481371" s="472"/>
    </row>
    <row r="481372" spans="12:13" x14ac:dyDescent="0.25">
      <c r="L481372" s="472"/>
      <c r="M481372" s="472"/>
    </row>
    <row r="481373" spans="12:13" x14ac:dyDescent="0.25">
      <c r="L481373" s="472"/>
      <c r="M481373" s="472"/>
    </row>
    <row r="481445" spans="12:13" x14ac:dyDescent="0.25">
      <c r="L481445" s="472"/>
      <c r="M481445" s="472"/>
    </row>
    <row r="481446" spans="12:13" x14ac:dyDescent="0.25">
      <c r="L481446" s="472"/>
      <c r="M481446" s="472"/>
    </row>
    <row r="481447" spans="12:13" x14ac:dyDescent="0.25">
      <c r="L481447" s="472"/>
      <c r="M481447" s="472"/>
    </row>
    <row r="481519" spans="12:13" x14ac:dyDescent="0.25">
      <c r="L481519" s="472"/>
      <c r="M481519" s="472"/>
    </row>
    <row r="481520" spans="12:13" x14ac:dyDescent="0.25">
      <c r="L481520" s="472"/>
      <c r="M481520" s="472"/>
    </row>
    <row r="481521" spans="12:13" x14ac:dyDescent="0.25">
      <c r="L481521" s="472"/>
      <c r="M481521" s="472"/>
    </row>
    <row r="481593" spans="12:13" x14ac:dyDescent="0.25">
      <c r="L481593" s="472"/>
      <c r="M481593" s="472"/>
    </row>
    <row r="481594" spans="12:13" x14ac:dyDescent="0.25">
      <c r="L481594" s="472"/>
      <c r="M481594" s="472"/>
    </row>
    <row r="481595" spans="12:13" x14ac:dyDescent="0.25">
      <c r="L481595" s="472"/>
      <c r="M481595" s="472"/>
    </row>
    <row r="481667" spans="12:13" x14ac:dyDescent="0.25">
      <c r="L481667" s="472"/>
      <c r="M481667" s="472"/>
    </row>
    <row r="481668" spans="12:13" x14ac:dyDescent="0.25">
      <c r="L481668" s="472"/>
      <c r="M481668" s="472"/>
    </row>
    <row r="481669" spans="12:13" x14ac:dyDescent="0.25">
      <c r="L481669" s="472"/>
      <c r="M481669" s="472"/>
    </row>
    <row r="481741" spans="12:13" x14ac:dyDescent="0.25">
      <c r="L481741" s="472"/>
      <c r="M481741" s="472"/>
    </row>
    <row r="481742" spans="12:13" x14ac:dyDescent="0.25">
      <c r="L481742" s="472"/>
      <c r="M481742" s="472"/>
    </row>
    <row r="481743" spans="12:13" x14ac:dyDescent="0.25">
      <c r="L481743" s="472"/>
      <c r="M481743" s="472"/>
    </row>
    <row r="481815" spans="12:13" x14ac:dyDescent="0.25">
      <c r="L481815" s="472"/>
      <c r="M481815" s="472"/>
    </row>
    <row r="481816" spans="12:13" x14ac:dyDescent="0.25">
      <c r="L481816" s="472"/>
      <c r="M481816" s="472"/>
    </row>
    <row r="481817" spans="12:13" x14ac:dyDescent="0.25">
      <c r="L481817" s="472"/>
      <c r="M481817" s="472"/>
    </row>
    <row r="481889" spans="12:13" x14ac:dyDescent="0.25">
      <c r="L481889" s="472"/>
      <c r="M481889" s="472"/>
    </row>
    <row r="481890" spans="12:13" x14ac:dyDescent="0.25">
      <c r="L481890" s="472"/>
      <c r="M481890" s="472"/>
    </row>
    <row r="481891" spans="12:13" x14ac:dyDescent="0.25">
      <c r="L481891" s="472"/>
      <c r="M481891" s="472"/>
    </row>
    <row r="481963" spans="12:13" x14ac:dyDescent="0.25">
      <c r="L481963" s="472"/>
      <c r="M481963" s="472"/>
    </row>
    <row r="481964" spans="12:13" x14ac:dyDescent="0.25">
      <c r="L481964" s="472"/>
      <c r="M481964" s="472"/>
    </row>
    <row r="481965" spans="12:13" x14ac:dyDescent="0.25">
      <c r="L481965" s="472"/>
      <c r="M481965" s="472"/>
    </row>
    <row r="482037" spans="12:13" x14ac:dyDescent="0.25">
      <c r="L482037" s="472"/>
      <c r="M482037" s="472"/>
    </row>
    <row r="482038" spans="12:13" x14ac:dyDescent="0.25">
      <c r="L482038" s="472"/>
      <c r="M482038" s="472"/>
    </row>
    <row r="482039" spans="12:13" x14ac:dyDescent="0.25">
      <c r="L482039" s="472"/>
      <c r="M482039" s="472"/>
    </row>
    <row r="482111" spans="12:13" x14ac:dyDescent="0.25">
      <c r="L482111" s="472"/>
      <c r="M482111" s="472"/>
    </row>
    <row r="482112" spans="12:13" x14ac:dyDescent="0.25">
      <c r="L482112" s="472"/>
      <c r="M482112" s="472"/>
    </row>
    <row r="482113" spans="12:13" x14ac:dyDescent="0.25">
      <c r="L482113" s="472"/>
      <c r="M482113" s="472"/>
    </row>
    <row r="482185" spans="12:13" x14ac:dyDescent="0.25">
      <c r="L482185" s="472"/>
      <c r="M482185" s="472"/>
    </row>
    <row r="482186" spans="12:13" x14ac:dyDescent="0.25">
      <c r="L482186" s="472"/>
      <c r="M482186" s="472"/>
    </row>
    <row r="482187" spans="12:13" x14ac:dyDescent="0.25">
      <c r="L482187" s="472"/>
      <c r="M482187" s="472"/>
    </row>
    <row r="482259" spans="12:13" x14ac:dyDescent="0.25">
      <c r="L482259" s="472"/>
      <c r="M482259" s="472"/>
    </row>
    <row r="482260" spans="12:13" x14ac:dyDescent="0.25">
      <c r="L482260" s="472"/>
      <c r="M482260" s="472"/>
    </row>
    <row r="482261" spans="12:13" x14ac:dyDescent="0.25">
      <c r="L482261" s="472"/>
      <c r="M482261" s="472"/>
    </row>
    <row r="482333" spans="12:13" x14ac:dyDescent="0.25">
      <c r="L482333" s="472"/>
      <c r="M482333" s="472"/>
    </row>
    <row r="482334" spans="12:13" x14ac:dyDescent="0.25">
      <c r="L482334" s="472"/>
      <c r="M482334" s="472"/>
    </row>
    <row r="482335" spans="12:13" x14ac:dyDescent="0.25">
      <c r="L482335" s="472"/>
      <c r="M482335" s="472"/>
    </row>
    <row r="482407" spans="12:13" x14ac:dyDescent="0.25">
      <c r="L482407" s="472"/>
      <c r="M482407" s="472"/>
    </row>
    <row r="482408" spans="12:13" x14ac:dyDescent="0.25">
      <c r="L482408" s="472"/>
      <c r="M482408" s="472"/>
    </row>
    <row r="482409" spans="12:13" x14ac:dyDescent="0.25">
      <c r="L482409" s="472"/>
      <c r="M482409" s="472"/>
    </row>
    <row r="482481" spans="12:13" x14ac:dyDescent="0.25">
      <c r="L482481" s="472"/>
      <c r="M482481" s="472"/>
    </row>
    <row r="482482" spans="12:13" x14ac:dyDescent="0.25">
      <c r="L482482" s="472"/>
      <c r="M482482" s="472"/>
    </row>
    <row r="482483" spans="12:13" x14ac:dyDescent="0.25">
      <c r="L482483" s="472"/>
      <c r="M482483" s="472"/>
    </row>
    <row r="482555" spans="12:13" x14ac:dyDescent="0.25">
      <c r="L482555" s="472"/>
      <c r="M482555" s="472"/>
    </row>
    <row r="482556" spans="12:13" x14ac:dyDescent="0.25">
      <c r="L482556" s="472"/>
      <c r="M482556" s="472"/>
    </row>
    <row r="482557" spans="12:13" x14ac:dyDescent="0.25">
      <c r="L482557" s="472"/>
      <c r="M482557" s="472"/>
    </row>
    <row r="482629" spans="12:13" x14ac:dyDescent="0.25">
      <c r="L482629" s="472"/>
      <c r="M482629" s="472"/>
    </row>
    <row r="482630" spans="12:13" x14ac:dyDescent="0.25">
      <c r="L482630" s="472"/>
      <c r="M482630" s="472"/>
    </row>
    <row r="482631" spans="12:13" x14ac:dyDescent="0.25">
      <c r="L482631" s="472"/>
      <c r="M482631" s="472"/>
    </row>
    <row r="482703" spans="12:13" x14ac:dyDescent="0.25">
      <c r="L482703" s="472"/>
      <c r="M482703" s="472"/>
    </row>
    <row r="482704" spans="12:13" x14ac:dyDescent="0.25">
      <c r="L482704" s="472"/>
      <c r="M482704" s="472"/>
    </row>
    <row r="482705" spans="12:13" x14ac:dyDescent="0.25">
      <c r="L482705" s="472"/>
      <c r="M482705" s="472"/>
    </row>
    <row r="482777" spans="12:13" x14ac:dyDescent="0.25">
      <c r="L482777" s="472"/>
      <c r="M482777" s="472"/>
    </row>
    <row r="482778" spans="12:13" x14ac:dyDescent="0.25">
      <c r="L482778" s="472"/>
      <c r="M482778" s="472"/>
    </row>
    <row r="482779" spans="12:13" x14ac:dyDescent="0.25">
      <c r="L482779" s="472"/>
      <c r="M482779" s="472"/>
    </row>
    <row r="482851" spans="12:13" x14ac:dyDescent="0.25">
      <c r="L482851" s="472"/>
      <c r="M482851" s="472"/>
    </row>
    <row r="482852" spans="12:13" x14ac:dyDescent="0.25">
      <c r="L482852" s="472"/>
      <c r="M482852" s="472"/>
    </row>
    <row r="482853" spans="12:13" x14ac:dyDescent="0.25">
      <c r="L482853" s="472"/>
      <c r="M482853" s="472"/>
    </row>
    <row r="482925" spans="12:13" x14ac:dyDescent="0.25">
      <c r="L482925" s="472"/>
      <c r="M482925" s="472"/>
    </row>
    <row r="482926" spans="12:13" x14ac:dyDescent="0.25">
      <c r="L482926" s="472"/>
      <c r="M482926" s="472"/>
    </row>
    <row r="482927" spans="12:13" x14ac:dyDescent="0.25">
      <c r="L482927" s="472"/>
      <c r="M482927" s="472"/>
    </row>
    <row r="482999" spans="12:13" x14ac:dyDescent="0.25">
      <c r="L482999" s="472"/>
      <c r="M482999" s="472"/>
    </row>
    <row r="483000" spans="12:13" x14ac:dyDescent="0.25">
      <c r="L483000" s="472"/>
      <c r="M483000" s="472"/>
    </row>
    <row r="483001" spans="12:13" x14ac:dyDescent="0.25">
      <c r="L483001" s="472"/>
      <c r="M483001" s="472"/>
    </row>
    <row r="483073" spans="12:13" x14ac:dyDescent="0.25">
      <c r="L483073" s="472"/>
      <c r="M483073" s="472"/>
    </row>
    <row r="483074" spans="12:13" x14ac:dyDescent="0.25">
      <c r="L483074" s="472"/>
      <c r="M483074" s="472"/>
    </row>
    <row r="483075" spans="12:13" x14ac:dyDescent="0.25">
      <c r="L483075" s="472"/>
      <c r="M483075" s="472"/>
    </row>
    <row r="483147" spans="12:13" x14ac:dyDescent="0.25">
      <c r="L483147" s="472"/>
      <c r="M483147" s="472"/>
    </row>
    <row r="483148" spans="12:13" x14ac:dyDescent="0.25">
      <c r="L483148" s="472"/>
      <c r="M483148" s="472"/>
    </row>
    <row r="483149" spans="12:13" x14ac:dyDescent="0.25">
      <c r="L483149" s="472"/>
      <c r="M483149" s="472"/>
    </row>
    <row r="483221" spans="12:13" x14ac:dyDescent="0.25">
      <c r="L483221" s="472"/>
      <c r="M483221" s="472"/>
    </row>
    <row r="483222" spans="12:13" x14ac:dyDescent="0.25">
      <c r="L483222" s="472"/>
      <c r="M483222" s="472"/>
    </row>
    <row r="483223" spans="12:13" x14ac:dyDescent="0.25">
      <c r="L483223" s="472"/>
      <c r="M483223" s="472"/>
    </row>
    <row r="483295" spans="12:13" x14ac:dyDescent="0.25">
      <c r="L483295" s="472"/>
      <c r="M483295" s="472"/>
    </row>
    <row r="483296" spans="12:13" x14ac:dyDescent="0.25">
      <c r="L483296" s="472"/>
      <c r="M483296" s="472"/>
    </row>
    <row r="483297" spans="12:13" x14ac:dyDescent="0.25">
      <c r="L483297" s="472"/>
      <c r="M483297" s="472"/>
    </row>
    <row r="483369" spans="12:13" x14ac:dyDescent="0.25">
      <c r="L483369" s="472"/>
      <c r="M483369" s="472"/>
    </row>
    <row r="483370" spans="12:13" x14ac:dyDescent="0.25">
      <c r="L483370" s="472"/>
      <c r="M483370" s="472"/>
    </row>
    <row r="483371" spans="12:13" x14ac:dyDescent="0.25">
      <c r="L483371" s="472"/>
      <c r="M483371" s="472"/>
    </row>
    <row r="483443" spans="12:13" x14ac:dyDescent="0.25">
      <c r="L483443" s="472"/>
      <c r="M483443" s="472"/>
    </row>
    <row r="483444" spans="12:13" x14ac:dyDescent="0.25">
      <c r="L483444" s="472"/>
      <c r="M483444" s="472"/>
    </row>
    <row r="483445" spans="12:13" x14ac:dyDescent="0.25">
      <c r="L483445" s="472"/>
      <c r="M483445" s="472"/>
    </row>
    <row r="483517" spans="12:13" x14ac:dyDescent="0.25">
      <c r="L483517" s="472"/>
      <c r="M483517" s="472"/>
    </row>
    <row r="483518" spans="12:13" x14ac:dyDescent="0.25">
      <c r="L483518" s="472"/>
      <c r="M483518" s="472"/>
    </row>
    <row r="483519" spans="12:13" x14ac:dyDescent="0.25">
      <c r="L483519" s="472"/>
      <c r="M483519" s="472"/>
    </row>
    <row r="483591" spans="12:13" x14ac:dyDescent="0.25">
      <c r="L483591" s="472"/>
      <c r="M483591" s="472"/>
    </row>
    <row r="483592" spans="12:13" x14ac:dyDescent="0.25">
      <c r="L483592" s="472"/>
      <c r="M483592" s="472"/>
    </row>
    <row r="483593" spans="12:13" x14ac:dyDescent="0.25">
      <c r="L483593" s="472"/>
      <c r="M483593" s="472"/>
    </row>
    <row r="483665" spans="12:13" x14ac:dyDescent="0.25">
      <c r="L483665" s="472"/>
      <c r="M483665" s="472"/>
    </row>
    <row r="483666" spans="12:13" x14ac:dyDescent="0.25">
      <c r="L483666" s="472"/>
      <c r="M483666" s="472"/>
    </row>
    <row r="483667" spans="12:13" x14ac:dyDescent="0.25">
      <c r="L483667" s="472"/>
      <c r="M483667" s="472"/>
    </row>
    <row r="483739" spans="12:13" x14ac:dyDescent="0.25">
      <c r="L483739" s="472"/>
      <c r="M483739" s="472"/>
    </row>
    <row r="483740" spans="12:13" x14ac:dyDescent="0.25">
      <c r="L483740" s="472"/>
      <c r="M483740" s="472"/>
    </row>
    <row r="483741" spans="12:13" x14ac:dyDescent="0.25">
      <c r="L483741" s="472"/>
      <c r="M483741" s="472"/>
    </row>
    <row r="483813" spans="12:13" x14ac:dyDescent="0.25">
      <c r="L483813" s="472"/>
      <c r="M483813" s="472"/>
    </row>
    <row r="483814" spans="12:13" x14ac:dyDescent="0.25">
      <c r="L483814" s="472"/>
      <c r="M483814" s="472"/>
    </row>
    <row r="483815" spans="12:13" x14ac:dyDescent="0.25">
      <c r="L483815" s="472"/>
      <c r="M483815" s="472"/>
    </row>
    <row r="483887" spans="12:13" x14ac:dyDescent="0.25">
      <c r="L483887" s="472"/>
      <c r="M483887" s="472"/>
    </row>
    <row r="483888" spans="12:13" x14ac:dyDescent="0.25">
      <c r="L483888" s="472"/>
      <c r="M483888" s="472"/>
    </row>
    <row r="483889" spans="12:13" x14ac:dyDescent="0.25">
      <c r="L483889" s="472"/>
      <c r="M483889" s="472"/>
    </row>
    <row r="483961" spans="12:13" x14ac:dyDescent="0.25">
      <c r="L483961" s="472"/>
      <c r="M483961" s="472"/>
    </row>
    <row r="483962" spans="12:13" x14ac:dyDescent="0.25">
      <c r="L483962" s="472"/>
      <c r="M483962" s="472"/>
    </row>
    <row r="483963" spans="12:13" x14ac:dyDescent="0.25">
      <c r="L483963" s="472"/>
      <c r="M483963" s="472"/>
    </row>
    <row r="484035" spans="12:13" x14ac:dyDescent="0.25">
      <c r="L484035" s="472"/>
      <c r="M484035" s="472"/>
    </row>
    <row r="484036" spans="12:13" x14ac:dyDescent="0.25">
      <c r="L484036" s="472"/>
      <c r="M484036" s="472"/>
    </row>
    <row r="484037" spans="12:13" x14ac:dyDescent="0.25">
      <c r="L484037" s="472"/>
      <c r="M484037" s="472"/>
    </row>
    <row r="484109" spans="12:13" x14ac:dyDescent="0.25">
      <c r="L484109" s="472"/>
      <c r="M484109" s="472"/>
    </row>
    <row r="484110" spans="12:13" x14ac:dyDescent="0.25">
      <c r="L484110" s="472"/>
      <c r="M484110" s="472"/>
    </row>
    <row r="484111" spans="12:13" x14ac:dyDescent="0.25">
      <c r="L484111" s="472"/>
      <c r="M484111" s="472"/>
    </row>
    <row r="484183" spans="12:13" x14ac:dyDescent="0.25">
      <c r="L484183" s="472"/>
      <c r="M484183" s="472"/>
    </row>
    <row r="484184" spans="12:13" x14ac:dyDescent="0.25">
      <c r="L484184" s="472"/>
      <c r="M484184" s="472"/>
    </row>
    <row r="484185" spans="12:13" x14ac:dyDescent="0.25">
      <c r="L484185" s="472"/>
      <c r="M484185" s="472"/>
    </row>
    <row r="484257" spans="12:13" x14ac:dyDescent="0.25">
      <c r="L484257" s="472"/>
      <c r="M484257" s="472"/>
    </row>
    <row r="484258" spans="12:13" x14ac:dyDescent="0.25">
      <c r="L484258" s="472"/>
      <c r="M484258" s="472"/>
    </row>
    <row r="484259" spans="12:13" x14ac:dyDescent="0.25">
      <c r="L484259" s="472"/>
      <c r="M484259" s="472"/>
    </row>
    <row r="484331" spans="12:13" x14ac:dyDescent="0.25">
      <c r="L484331" s="472"/>
      <c r="M484331" s="472"/>
    </row>
    <row r="484332" spans="12:13" x14ac:dyDescent="0.25">
      <c r="L484332" s="472"/>
      <c r="M484332" s="472"/>
    </row>
    <row r="484333" spans="12:13" x14ac:dyDescent="0.25">
      <c r="L484333" s="472"/>
      <c r="M484333" s="472"/>
    </row>
    <row r="484405" spans="12:13" x14ac:dyDescent="0.25">
      <c r="L484405" s="472"/>
      <c r="M484405" s="472"/>
    </row>
    <row r="484406" spans="12:13" x14ac:dyDescent="0.25">
      <c r="L484406" s="472"/>
      <c r="M484406" s="472"/>
    </row>
    <row r="484407" spans="12:13" x14ac:dyDescent="0.25">
      <c r="L484407" s="472"/>
      <c r="M484407" s="472"/>
    </row>
    <row r="484479" spans="12:13" x14ac:dyDescent="0.25">
      <c r="L484479" s="472"/>
      <c r="M484479" s="472"/>
    </row>
    <row r="484480" spans="12:13" x14ac:dyDescent="0.25">
      <c r="L484480" s="472"/>
      <c r="M484480" s="472"/>
    </row>
    <row r="484481" spans="12:13" x14ac:dyDescent="0.25">
      <c r="L484481" s="472"/>
      <c r="M484481" s="472"/>
    </row>
    <row r="484553" spans="12:13" x14ac:dyDescent="0.25">
      <c r="L484553" s="472"/>
      <c r="M484553" s="472"/>
    </row>
    <row r="484554" spans="12:13" x14ac:dyDescent="0.25">
      <c r="L484554" s="472"/>
      <c r="M484554" s="472"/>
    </row>
    <row r="484555" spans="12:13" x14ac:dyDescent="0.25">
      <c r="L484555" s="472"/>
      <c r="M484555" s="472"/>
    </row>
    <row r="484627" spans="12:13" x14ac:dyDescent="0.25">
      <c r="L484627" s="472"/>
      <c r="M484627" s="472"/>
    </row>
    <row r="484628" spans="12:13" x14ac:dyDescent="0.25">
      <c r="L484628" s="472"/>
      <c r="M484628" s="472"/>
    </row>
    <row r="484629" spans="12:13" x14ac:dyDescent="0.25">
      <c r="L484629" s="472"/>
      <c r="M484629" s="472"/>
    </row>
    <row r="484701" spans="12:13" x14ac:dyDescent="0.25">
      <c r="L484701" s="472"/>
      <c r="M484701" s="472"/>
    </row>
    <row r="484702" spans="12:13" x14ac:dyDescent="0.25">
      <c r="L484702" s="472"/>
      <c r="M484702" s="472"/>
    </row>
    <row r="484703" spans="12:13" x14ac:dyDescent="0.25">
      <c r="L484703" s="472"/>
      <c r="M484703" s="472"/>
    </row>
    <row r="484775" spans="12:13" x14ac:dyDescent="0.25">
      <c r="L484775" s="472"/>
      <c r="M484775" s="472"/>
    </row>
    <row r="484776" spans="12:13" x14ac:dyDescent="0.25">
      <c r="L484776" s="472"/>
      <c r="M484776" s="472"/>
    </row>
    <row r="484777" spans="12:13" x14ac:dyDescent="0.25">
      <c r="L484777" s="472"/>
      <c r="M484777" s="472"/>
    </row>
    <row r="484849" spans="12:13" x14ac:dyDescent="0.25">
      <c r="L484849" s="472"/>
      <c r="M484849" s="472"/>
    </row>
    <row r="484850" spans="12:13" x14ac:dyDescent="0.25">
      <c r="L484850" s="472"/>
      <c r="M484850" s="472"/>
    </row>
    <row r="484851" spans="12:13" x14ac:dyDescent="0.25">
      <c r="L484851" s="472"/>
      <c r="M484851" s="472"/>
    </row>
    <row r="484923" spans="12:13" x14ac:dyDescent="0.25">
      <c r="L484923" s="472"/>
      <c r="M484923" s="472"/>
    </row>
    <row r="484924" spans="12:13" x14ac:dyDescent="0.25">
      <c r="L484924" s="472"/>
      <c r="M484924" s="472"/>
    </row>
    <row r="484925" spans="12:13" x14ac:dyDescent="0.25">
      <c r="L484925" s="472"/>
      <c r="M484925" s="472"/>
    </row>
    <row r="484997" spans="12:13" x14ac:dyDescent="0.25">
      <c r="L484997" s="472"/>
      <c r="M484997" s="472"/>
    </row>
    <row r="484998" spans="12:13" x14ac:dyDescent="0.25">
      <c r="L484998" s="472"/>
      <c r="M484998" s="472"/>
    </row>
    <row r="484999" spans="12:13" x14ac:dyDescent="0.25">
      <c r="L484999" s="472"/>
      <c r="M484999" s="472"/>
    </row>
    <row r="485071" spans="12:13" x14ac:dyDescent="0.25">
      <c r="L485071" s="472"/>
      <c r="M485071" s="472"/>
    </row>
    <row r="485072" spans="12:13" x14ac:dyDescent="0.25">
      <c r="L485072" s="472"/>
      <c r="M485072" s="472"/>
    </row>
    <row r="485073" spans="12:13" x14ac:dyDescent="0.25">
      <c r="L485073" s="472"/>
      <c r="M485073" s="472"/>
    </row>
    <row r="485145" spans="12:13" x14ac:dyDescent="0.25">
      <c r="L485145" s="472"/>
      <c r="M485145" s="472"/>
    </row>
    <row r="485146" spans="12:13" x14ac:dyDescent="0.25">
      <c r="L485146" s="472"/>
      <c r="M485146" s="472"/>
    </row>
    <row r="485147" spans="12:13" x14ac:dyDescent="0.25">
      <c r="L485147" s="472"/>
      <c r="M485147" s="472"/>
    </row>
    <row r="485219" spans="12:13" x14ac:dyDescent="0.25">
      <c r="L485219" s="472"/>
      <c r="M485219" s="472"/>
    </row>
    <row r="485220" spans="12:13" x14ac:dyDescent="0.25">
      <c r="L485220" s="472"/>
      <c r="M485220" s="472"/>
    </row>
    <row r="485221" spans="12:13" x14ac:dyDescent="0.25">
      <c r="L485221" s="472"/>
      <c r="M485221" s="472"/>
    </row>
    <row r="485293" spans="12:13" x14ac:dyDescent="0.25">
      <c r="L485293" s="472"/>
      <c r="M485293" s="472"/>
    </row>
    <row r="485294" spans="12:13" x14ac:dyDescent="0.25">
      <c r="L485294" s="472"/>
      <c r="M485294" s="472"/>
    </row>
    <row r="485295" spans="12:13" x14ac:dyDescent="0.25">
      <c r="L485295" s="472"/>
      <c r="M485295" s="472"/>
    </row>
    <row r="485367" spans="12:13" x14ac:dyDescent="0.25">
      <c r="L485367" s="472"/>
      <c r="M485367" s="472"/>
    </row>
    <row r="485368" spans="12:13" x14ac:dyDescent="0.25">
      <c r="L485368" s="472"/>
      <c r="M485368" s="472"/>
    </row>
    <row r="485369" spans="12:13" x14ac:dyDescent="0.25">
      <c r="L485369" s="472"/>
      <c r="M485369" s="472"/>
    </row>
    <row r="485441" spans="12:13" x14ac:dyDescent="0.25">
      <c r="L485441" s="472"/>
      <c r="M485441" s="472"/>
    </row>
    <row r="485442" spans="12:13" x14ac:dyDescent="0.25">
      <c r="L485442" s="472"/>
      <c r="M485442" s="472"/>
    </row>
    <row r="485443" spans="12:13" x14ac:dyDescent="0.25">
      <c r="L485443" s="472"/>
      <c r="M485443" s="472"/>
    </row>
    <row r="485515" spans="12:13" x14ac:dyDescent="0.25">
      <c r="L485515" s="472"/>
      <c r="M485515" s="472"/>
    </row>
    <row r="485516" spans="12:13" x14ac:dyDescent="0.25">
      <c r="L485516" s="472"/>
      <c r="M485516" s="472"/>
    </row>
    <row r="485517" spans="12:13" x14ac:dyDescent="0.25">
      <c r="L485517" s="472"/>
      <c r="M485517" s="472"/>
    </row>
    <row r="485589" spans="12:13" x14ac:dyDescent="0.25">
      <c r="L485589" s="472"/>
      <c r="M485589" s="472"/>
    </row>
    <row r="485590" spans="12:13" x14ac:dyDescent="0.25">
      <c r="L485590" s="472"/>
      <c r="M485590" s="472"/>
    </row>
    <row r="485591" spans="12:13" x14ac:dyDescent="0.25">
      <c r="L485591" s="472"/>
      <c r="M485591" s="472"/>
    </row>
    <row r="485663" spans="12:13" x14ac:dyDescent="0.25">
      <c r="L485663" s="472"/>
      <c r="M485663" s="472"/>
    </row>
    <row r="485664" spans="12:13" x14ac:dyDescent="0.25">
      <c r="L485664" s="472"/>
      <c r="M485664" s="472"/>
    </row>
    <row r="485665" spans="12:13" x14ac:dyDescent="0.25">
      <c r="L485665" s="472"/>
      <c r="M485665" s="472"/>
    </row>
    <row r="485737" spans="12:13" x14ac:dyDescent="0.25">
      <c r="L485737" s="472"/>
      <c r="M485737" s="472"/>
    </row>
    <row r="485738" spans="12:13" x14ac:dyDescent="0.25">
      <c r="L485738" s="472"/>
      <c r="M485738" s="472"/>
    </row>
    <row r="485739" spans="12:13" x14ac:dyDescent="0.25">
      <c r="L485739" s="472"/>
      <c r="M485739" s="472"/>
    </row>
    <row r="485811" spans="12:13" x14ac:dyDescent="0.25">
      <c r="L485811" s="472"/>
      <c r="M485811" s="472"/>
    </row>
    <row r="485812" spans="12:13" x14ac:dyDescent="0.25">
      <c r="L485812" s="472"/>
      <c r="M485812" s="472"/>
    </row>
    <row r="485813" spans="12:13" x14ac:dyDescent="0.25">
      <c r="L485813" s="472"/>
      <c r="M485813" s="472"/>
    </row>
    <row r="485885" spans="12:13" x14ac:dyDescent="0.25">
      <c r="L485885" s="472"/>
      <c r="M485885" s="472"/>
    </row>
    <row r="485886" spans="12:13" x14ac:dyDescent="0.25">
      <c r="L485886" s="472"/>
      <c r="M485886" s="472"/>
    </row>
    <row r="485887" spans="12:13" x14ac:dyDescent="0.25">
      <c r="L485887" s="472"/>
      <c r="M485887" s="472"/>
    </row>
    <row r="485959" spans="12:13" x14ac:dyDescent="0.25">
      <c r="L485959" s="472"/>
      <c r="M485959" s="472"/>
    </row>
    <row r="485960" spans="12:13" x14ac:dyDescent="0.25">
      <c r="L485960" s="472"/>
      <c r="M485960" s="472"/>
    </row>
    <row r="485961" spans="12:13" x14ac:dyDescent="0.25">
      <c r="L485961" s="472"/>
      <c r="M485961" s="472"/>
    </row>
    <row r="486033" spans="12:13" x14ac:dyDescent="0.25">
      <c r="L486033" s="472"/>
      <c r="M486033" s="472"/>
    </row>
    <row r="486034" spans="12:13" x14ac:dyDescent="0.25">
      <c r="L486034" s="472"/>
      <c r="M486034" s="472"/>
    </row>
    <row r="486035" spans="12:13" x14ac:dyDescent="0.25">
      <c r="L486035" s="472"/>
      <c r="M486035" s="472"/>
    </row>
    <row r="486107" spans="12:13" x14ac:dyDescent="0.25">
      <c r="L486107" s="472"/>
      <c r="M486107" s="472"/>
    </row>
    <row r="486108" spans="12:13" x14ac:dyDescent="0.25">
      <c r="L486108" s="472"/>
      <c r="M486108" s="472"/>
    </row>
    <row r="486109" spans="12:13" x14ac:dyDescent="0.25">
      <c r="L486109" s="472"/>
      <c r="M486109" s="472"/>
    </row>
    <row r="486181" spans="12:13" x14ac:dyDescent="0.25">
      <c r="L486181" s="472"/>
      <c r="M486181" s="472"/>
    </row>
    <row r="486182" spans="12:13" x14ac:dyDescent="0.25">
      <c r="L486182" s="472"/>
      <c r="M486182" s="472"/>
    </row>
    <row r="486183" spans="12:13" x14ac:dyDescent="0.25">
      <c r="L486183" s="472"/>
      <c r="M486183" s="472"/>
    </row>
    <row r="486255" spans="12:13" x14ac:dyDescent="0.25">
      <c r="L486255" s="472"/>
      <c r="M486255" s="472"/>
    </row>
    <row r="486256" spans="12:13" x14ac:dyDescent="0.25">
      <c r="L486256" s="472"/>
      <c r="M486256" s="472"/>
    </row>
    <row r="486257" spans="12:13" x14ac:dyDescent="0.25">
      <c r="L486257" s="472"/>
      <c r="M486257" s="472"/>
    </row>
    <row r="486329" spans="12:13" x14ac:dyDescent="0.25">
      <c r="L486329" s="472"/>
      <c r="M486329" s="472"/>
    </row>
    <row r="486330" spans="12:13" x14ac:dyDescent="0.25">
      <c r="L486330" s="472"/>
      <c r="M486330" s="472"/>
    </row>
    <row r="486331" spans="12:13" x14ac:dyDescent="0.25">
      <c r="L486331" s="472"/>
      <c r="M486331" s="472"/>
    </row>
    <row r="486403" spans="12:13" x14ac:dyDescent="0.25">
      <c r="L486403" s="472"/>
      <c r="M486403" s="472"/>
    </row>
    <row r="486404" spans="12:13" x14ac:dyDescent="0.25">
      <c r="L486404" s="472"/>
      <c r="M486404" s="472"/>
    </row>
    <row r="486405" spans="12:13" x14ac:dyDescent="0.25">
      <c r="L486405" s="472"/>
      <c r="M486405" s="472"/>
    </row>
    <row r="486477" spans="12:13" x14ac:dyDescent="0.25">
      <c r="L486477" s="472"/>
      <c r="M486477" s="472"/>
    </row>
    <row r="486478" spans="12:13" x14ac:dyDescent="0.25">
      <c r="L486478" s="472"/>
      <c r="M486478" s="472"/>
    </row>
    <row r="486479" spans="12:13" x14ac:dyDescent="0.25">
      <c r="L486479" s="472"/>
      <c r="M486479" s="472"/>
    </row>
    <row r="486551" spans="12:13" x14ac:dyDescent="0.25">
      <c r="L486551" s="472"/>
      <c r="M486551" s="472"/>
    </row>
    <row r="486552" spans="12:13" x14ac:dyDescent="0.25">
      <c r="L486552" s="472"/>
      <c r="M486552" s="472"/>
    </row>
    <row r="486553" spans="12:13" x14ac:dyDescent="0.25">
      <c r="L486553" s="472"/>
      <c r="M486553" s="472"/>
    </row>
    <row r="486625" spans="12:13" x14ac:dyDescent="0.25">
      <c r="L486625" s="472"/>
      <c r="M486625" s="472"/>
    </row>
    <row r="486626" spans="12:13" x14ac:dyDescent="0.25">
      <c r="L486626" s="472"/>
      <c r="M486626" s="472"/>
    </row>
    <row r="486627" spans="12:13" x14ac:dyDescent="0.25">
      <c r="L486627" s="472"/>
      <c r="M486627" s="472"/>
    </row>
    <row r="486699" spans="12:13" x14ac:dyDescent="0.25">
      <c r="L486699" s="472"/>
      <c r="M486699" s="472"/>
    </row>
    <row r="486700" spans="12:13" x14ac:dyDescent="0.25">
      <c r="L486700" s="472"/>
      <c r="M486700" s="472"/>
    </row>
    <row r="486701" spans="12:13" x14ac:dyDescent="0.25">
      <c r="L486701" s="472"/>
      <c r="M486701" s="472"/>
    </row>
    <row r="486773" spans="12:13" x14ac:dyDescent="0.25">
      <c r="L486773" s="472"/>
      <c r="M486773" s="472"/>
    </row>
    <row r="486774" spans="12:13" x14ac:dyDescent="0.25">
      <c r="L486774" s="472"/>
      <c r="M486774" s="472"/>
    </row>
    <row r="486775" spans="12:13" x14ac:dyDescent="0.25">
      <c r="L486775" s="472"/>
      <c r="M486775" s="472"/>
    </row>
    <row r="486847" spans="12:13" x14ac:dyDescent="0.25">
      <c r="L486847" s="472"/>
      <c r="M486847" s="472"/>
    </row>
    <row r="486848" spans="12:13" x14ac:dyDescent="0.25">
      <c r="L486848" s="472"/>
      <c r="M486848" s="472"/>
    </row>
    <row r="486849" spans="12:13" x14ac:dyDescent="0.25">
      <c r="L486849" s="472"/>
      <c r="M486849" s="472"/>
    </row>
    <row r="486921" spans="12:13" x14ac:dyDescent="0.25">
      <c r="L486921" s="472"/>
      <c r="M486921" s="472"/>
    </row>
    <row r="486922" spans="12:13" x14ac:dyDescent="0.25">
      <c r="L486922" s="472"/>
      <c r="M486922" s="472"/>
    </row>
    <row r="486923" spans="12:13" x14ac:dyDescent="0.25">
      <c r="L486923" s="472"/>
      <c r="M486923" s="472"/>
    </row>
    <row r="486995" spans="12:13" x14ac:dyDescent="0.25">
      <c r="L486995" s="472"/>
      <c r="M486995" s="472"/>
    </row>
    <row r="486996" spans="12:13" x14ac:dyDescent="0.25">
      <c r="L486996" s="472"/>
      <c r="M486996" s="472"/>
    </row>
    <row r="486997" spans="12:13" x14ac:dyDescent="0.25">
      <c r="L486997" s="472"/>
      <c r="M486997" s="472"/>
    </row>
    <row r="487069" spans="12:13" x14ac:dyDescent="0.25">
      <c r="L487069" s="472"/>
      <c r="M487069" s="472"/>
    </row>
    <row r="487070" spans="12:13" x14ac:dyDescent="0.25">
      <c r="L487070" s="472"/>
      <c r="M487070" s="472"/>
    </row>
    <row r="487071" spans="12:13" x14ac:dyDescent="0.25">
      <c r="L487071" s="472"/>
      <c r="M487071" s="472"/>
    </row>
    <row r="487143" spans="12:13" x14ac:dyDescent="0.25">
      <c r="L487143" s="472"/>
      <c r="M487143" s="472"/>
    </row>
    <row r="487144" spans="12:13" x14ac:dyDescent="0.25">
      <c r="L487144" s="472"/>
      <c r="M487144" s="472"/>
    </row>
    <row r="487145" spans="12:13" x14ac:dyDescent="0.25">
      <c r="L487145" s="472"/>
      <c r="M487145" s="472"/>
    </row>
    <row r="487217" spans="12:13" x14ac:dyDescent="0.25">
      <c r="L487217" s="472"/>
      <c r="M487217" s="472"/>
    </row>
    <row r="487218" spans="12:13" x14ac:dyDescent="0.25">
      <c r="L487218" s="472"/>
      <c r="M487218" s="472"/>
    </row>
    <row r="487219" spans="12:13" x14ac:dyDescent="0.25">
      <c r="L487219" s="472"/>
      <c r="M487219" s="472"/>
    </row>
    <row r="487291" spans="12:13" x14ac:dyDescent="0.25">
      <c r="L487291" s="472"/>
      <c r="M487291" s="472"/>
    </row>
    <row r="487292" spans="12:13" x14ac:dyDescent="0.25">
      <c r="L487292" s="472"/>
      <c r="M487292" s="472"/>
    </row>
    <row r="487293" spans="12:13" x14ac:dyDescent="0.25">
      <c r="L487293" s="472"/>
      <c r="M487293" s="472"/>
    </row>
    <row r="487365" spans="12:13" x14ac:dyDescent="0.25">
      <c r="L487365" s="472"/>
      <c r="M487365" s="472"/>
    </row>
    <row r="487366" spans="12:13" x14ac:dyDescent="0.25">
      <c r="L487366" s="472"/>
      <c r="M487366" s="472"/>
    </row>
    <row r="487367" spans="12:13" x14ac:dyDescent="0.25">
      <c r="L487367" s="472"/>
      <c r="M487367" s="472"/>
    </row>
    <row r="487439" spans="12:13" x14ac:dyDescent="0.25">
      <c r="L487439" s="472"/>
      <c r="M487439" s="472"/>
    </row>
    <row r="487440" spans="12:13" x14ac:dyDescent="0.25">
      <c r="L487440" s="472"/>
      <c r="M487440" s="472"/>
    </row>
    <row r="487441" spans="12:13" x14ac:dyDescent="0.25">
      <c r="L487441" s="472"/>
      <c r="M487441" s="472"/>
    </row>
    <row r="487513" spans="12:13" x14ac:dyDescent="0.25">
      <c r="L487513" s="472"/>
      <c r="M487513" s="472"/>
    </row>
    <row r="487514" spans="12:13" x14ac:dyDescent="0.25">
      <c r="L487514" s="472"/>
      <c r="M487514" s="472"/>
    </row>
    <row r="487515" spans="12:13" x14ac:dyDescent="0.25">
      <c r="L487515" s="472"/>
      <c r="M487515" s="472"/>
    </row>
    <row r="487587" spans="12:13" x14ac:dyDescent="0.25">
      <c r="L487587" s="472"/>
      <c r="M487587" s="472"/>
    </row>
    <row r="487588" spans="12:13" x14ac:dyDescent="0.25">
      <c r="L487588" s="472"/>
      <c r="M487588" s="472"/>
    </row>
    <row r="487589" spans="12:13" x14ac:dyDescent="0.25">
      <c r="L487589" s="472"/>
      <c r="M487589" s="472"/>
    </row>
    <row r="487661" spans="12:13" x14ac:dyDescent="0.25">
      <c r="L487661" s="472"/>
      <c r="M487661" s="472"/>
    </row>
    <row r="487662" spans="12:13" x14ac:dyDescent="0.25">
      <c r="L487662" s="472"/>
      <c r="M487662" s="472"/>
    </row>
    <row r="487663" spans="12:13" x14ac:dyDescent="0.25">
      <c r="L487663" s="472"/>
      <c r="M487663" s="472"/>
    </row>
    <row r="487735" spans="12:13" x14ac:dyDescent="0.25">
      <c r="L487735" s="472"/>
      <c r="M487735" s="472"/>
    </row>
    <row r="487736" spans="12:13" x14ac:dyDescent="0.25">
      <c r="L487736" s="472"/>
      <c r="M487736" s="472"/>
    </row>
    <row r="487737" spans="12:13" x14ac:dyDescent="0.25">
      <c r="L487737" s="472"/>
      <c r="M487737" s="472"/>
    </row>
    <row r="487809" spans="12:13" x14ac:dyDescent="0.25">
      <c r="L487809" s="472"/>
      <c r="M487809" s="472"/>
    </row>
    <row r="487810" spans="12:13" x14ac:dyDescent="0.25">
      <c r="L487810" s="472"/>
      <c r="M487810" s="472"/>
    </row>
    <row r="487811" spans="12:13" x14ac:dyDescent="0.25">
      <c r="L487811" s="472"/>
      <c r="M487811" s="472"/>
    </row>
    <row r="487883" spans="12:13" x14ac:dyDescent="0.25">
      <c r="L487883" s="472"/>
      <c r="M487883" s="472"/>
    </row>
    <row r="487884" spans="12:13" x14ac:dyDescent="0.25">
      <c r="L487884" s="472"/>
      <c r="M487884" s="472"/>
    </row>
    <row r="487885" spans="12:13" x14ac:dyDescent="0.25">
      <c r="L487885" s="472"/>
      <c r="M487885" s="472"/>
    </row>
    <row r="487957" spans="12:13" x14ac:dyDescent="0.25">
      <c r="L487957" s="472"/>
      <c r="M487957" s="472"/>
    </row>
    <row r="487958" spans="12:13" x14ac:dyDescent="0.25">
      <c r="L487958" s="472"/>
      <c r="M487958" s="472"/>
    </row>
    <row r="487959" spans="12:13" x14ac:dyDescent="0.25">
      <c r="L487959" s="472"/>
      <c r="M487959" s="472"/>
    </row>
    <row r="488031" spans="12:13" x14ac:dyDescent="0.25">
      <c r="L488031" s="472"/>
      <c r="M488031" s="472"/>
    </row>
    <row r="488032" spans="12:13" x14ac:dyDescent="0.25">
      <c r="L488032" s="472"/>
      <c r="M488032" s="472"/>
    </row>
    <row r="488033" spans="12:13" x14ac:dyDescent="0.25">
      <c r="L488033" s="472"/>
      <c r="M488033" s="472"/>
    </row>
    <row r="488105" spans="12:13" x14ac:dyDescent="0.25">
      <c r="L488105" s="472"/>
      <c r="M488105" s="472"/>
    </row>
    <row r="488106" spans="12:13" x14ac:dyDescent="0.25">
      <c r="L488106" s="472"/>
      <c r="M488106" s="472"/>
    </row>
    <row r="488107" spans="12:13" x14ac:dyDescent="0.25">
      <c r="L488107" s="472"/>
      <c r="M488107" s="472"/>
    </row>
    <row r="488179" spans="12:13" x14ac:dyDescent="0.25">
      <c r="L488179" s="472"/>
      <c r="M488179" s="472"/>
    </row>
    <row r="488180" spans="12:13" x14ac:dyDescent="0.25">
      <c r="L488180" s="472"/>
      <c r="M488180" s="472"/>
    </row>
    <row r="488181" spans="12:13" x14ac:dyDescent="0.25">
      <c r="L488181" s="472"/>
      <c r="M488181" s="472"/>
    </row>
    <row r="488253" spans="12:13" x14ac:dyDescent="0.25">
      <c r="L488253" s="472"/>
      <c r="M488253" s="472"/>
    </row>
    <row r="488254" spans="12:13" x14ac:dyDescent="0.25">
      <c r="L488254" s="472"/>
      <c r="M488254" s="472"/>
    </row>
    <row r="488255" spans="12:13" x14ac:dyDescent="0.25">
      <c r="L488255" s="472"/>
      <c r="M488255" s="472"/>
    </row>
    <row r="488327" spans="12:13" x14ac:dyDescent="0.25">
      <c r="L488327" s="472"/>
      <c r="M488327" s="472"/>
    </row>
    <row r="488328" spans="12:13" x14ac:dyDescent="0.25">
      <c r="L488328" s="472"/>
      <c r="M488328" s="472"/>
    </row>
    <row r="488329" spans="12:13" x14ac:dyDescent="0.25">
      <c r="L488329" s="472"/>
      <c r="M488329" s="472"/>
    </row>
    <row r="488401" spans="12:13" x14ac:dyDescent="0.25">
      <c r="L488401" s="472"/>
      <c r="M488401" s="472"/>
    </row>
    <row r="488402" spans="12:13" x14ac:dyDescent="0.25">
      <c r="L488402" s="472"/>
      <c r="M488402" s="472"/>
    </row>
    <row r="488403" spans="12:13" x14ac:dyDescent="0.25">
      <c r="L488403" s="472"/>
      <c r="M488403" s="472"/>
    </row>
    <row r="488475" spans="12:13" x14ac:dyDescent="0.25">
      <c r="L488475" s="472"/>
      <c r="M488475" s="472"/>
    </row>
    <row r="488476" spans="12:13" x14ac:dyDescent="0.25">
      <c r="L488476" s="472"/>
      <c r="M488476" s="472"/>
    </row>
    <row r="488477" spans="12:13" x14ac:dyDescent="0.25">
      <c r="L488477" s="472"/>
      <c r="M488477" s="472"/>
    </row>
    <row r="488549" spans="12:13" x14ac:dyDescent="0.25">
      <c r="L488549" s="472"/>
      <c r="M488549" s="472"/>
    </row>
    <row r="488550" spans="12:13" x14ac:dyDescent="0.25">
      <c r="L488550" s="472"/>
      <c r="M488550" s="472"/>
    </row>
    <row r="488551" spans="12:13" x14ac:dyDescent="0.25">
      <c r="L488551" s="472"/>
      <c r="M488551" s="472"/>
    </row>
    <row r="488623" spans="12:13" x14ac:dyDescent="0.25">
      <c r="L488623" s="472"/>
      <c r="M488623" s="472"/>
    </row>
    <row r="488624" spans="12:13" x14ac:dyDescent="0.25">
      <c r="L488624" s="472"/>
      <c r="M488624" s="472"/>
    </row>
    <row r="488625" spans="12:13" x14ac:dyDescent="0.25">
      <c r="L488625" s="472"/>
      <c r="M488625" s="472"/>
    </row>
    <row r="488697" spans="12:13" x14ac:dyDescent="0.25">
      <c r="L488697" s="472"/>
      <c r="M488697" s="472"/>
    </row>
    <row r="488698" spans="12:13" x14ac:dyDescent="0.25">
      <c r="L488698" s="472"/>
      <c r="M488698" s="472"/>
    </row>
    <row r="488699" spans="12:13" x14ac:dyDescent="0.25">
      <c r="L488699" s="472"/>
      <c r="M488699" s="472"/>
    </row>
    <row r="488771" spans="12:13" x14ac:dyDescent="0.25">
      <c r="L488771" s="472"/>
      <c r="M488771" s="472"/>
    </row>
    <row r="488772" spans="12:13" x14ac:dyDescent="0.25">
      <c r="L488772" s="472"/>
      <c r="M488772" s="472"/>
    </row>
    <row r="488773" spans="12:13" x14ac:dyDescent="0.25">
      <c r="L488773" s="472"/>
      <c r="M488773" s="472"/>
    </row>
    <row r="488845" spans="12:13" x14ac:dyDescent="0.25">
      <c r="L488845" s="472"/>
      <c r="M488845" s="472"/>
    </row>
    <row r="488846" spans="12:13" x14ac:dyDescent="0.25">
      <c r="L488846" s="472"/>
      <c r="M488846" s="472"/>
    </row>
    <row r="488847" spans="12:13" x14ac:dyDescent="0.25">
      <c r="L488847" s="472"/>
      <c r="M488847" s="472"/>
    </row>
    <row r="488919" spans="12:13" x14ac:dyDescent="0.25">
      <c r="L488919" s="472"/>
      <c r="M488919" s="472"/>
    </row>
    <row r="488920" spans="12:13" x14ac:dyDescent="0.25">
      <c r="L488920" s="472"/>
      <c r="M488920" s="472"/>
    </row>
    <row r="488921" spans="12:13" x14ac:dyDescent="0.25">
      <c r="L488921" s="472"/>
      <c r="M488921" s="472"/>
    </row>
    <row r="488993" spans="12:13" x14ac:dyDescent="0.25">
      <c r="L488993" s="472"/>
      <c r="M488993" s="472"/>
    </row>
    <row r="488994" spans="12:13" x14ac:dyDescent="0.25">
      <c r="L488994" s="472"/>
      <c r="M488994" s="472"/>
    </row>
    <row r="488995" spans="12:13" x14ac:dyDescent="0.25">
      <c r="L488995" s="472"/>
      <c r="M488995" s="472"/>
    </row>
    <row r="489067" spans="12:13" x14ac:dyDescent="0.25">
      <c r="L489067" s="472"/>
      <c r="M489067" s="472"/>
    </row>
    <row r="489068" spans="12:13" x14ac:dyDescent="0.25">
      <c r="L489068" s="472"/>
      <c r="M489068" s="472"/>
    </row>
    <row r="489069" spans="12:13" x14ac:dyDescent="0.25">
      <c r="L489069" s="472"/>
      <c r="M489069" s="472"/>
    </row>
    <row r="489141" spans="12:13" x14ac:dyDescent="0.25">
      <c r="L489141" s="472"/>
      <c r="M489141" s="472"/>
    </row>
    <row r="489142" spans="12:13" x14ac:dyDescent="0.25">
      <c r="L489142" s="472"/>
      <c r="M489142" s="472"/>
    </row>
    <row r="489143" spans="12:13" x14ac:dyDescent="0.25">
      <c r="L489143" s="472"/>
      <c r="M489143" s="472"/>
    </row>
    <row r="489215" spans="12:13" x14ac:dyDescent="0.25">
      <c r="L489215" s="472"/>
      <c r="M489215" s="472"/>
    </row>
    <row r="489216" spans="12:13" x14ac:dyDescent="0.25">
      <c r="L489216" s="472"/>
      <c r="M489216" s="472"/>
    </row>
    <row r="489217" spans="12:13" x14ac:dyDescent="0.25">
      <c r="L489217" s="472"/>
      <c r="M489217" s="472"/>
    </row>
    <row r="489289" spans="12:13" x14ac:dyDescent="0.25">
      <c r="L489289" s="472"/>
      <c r="M489289" s="472"/>
    </row>
    <row r="489290" spans="12:13" x14ac:dyDescent="0.25">
      <c r="L489290" s="472"/>
      <c r="M489290" s="472"/>
    </row>
    <row r="489291" spans="12:13" x14ac:dyDescent="0.25">
      <c r="L489291" s="472"/>
      <c r="M489291" s="472"/>
    </row>
    <row r="489363" spans="12:13" x14ac:dyDescent="0.25">
      <c r="L489363" s="472"/>
      <c r="M489363" s="472"/>
    </row>
    <row r="489364" spans="12:13" x14ac:dyDescent="0.25">
      <c r="L489364" s="472"/>
      <c r="M489364" s="472"/>
    </row>
    <row r="489365" spans="12:13" x14ac:dyDescent="0.25">
      <c r="L489365" s="472"/>
      <c r="M489365" s="472"/>
    </row>
    <row r="489437" spans="12:13" x14ac:dyDescent="0.25">
      <c r="L489437" s="472"/>
      <c r="M489437" s="472"/>
    </row>
    <row r="489438" spans="12:13" x14ac:dyDescent="0.25">
      <c r="L489438" s="472"/>
      <c r="M489438" s="472"/>
    </row>
    <row r="489439" spans="12:13" x14ac:dyDescent="0.25">
      <c r="L489439" s="472"/>
      <c r="M489439" s="472"/>
    </row>
    <row r="489511" spans="12:13" x14ac:dyDescent="0.25">
      <c r="L489511" s="472"/>
      <c r="M489511" s="472"/>
    </row>
    <row r="489512" spans="12:13" x14ac:dyDescent="0.25">
      <c r="L489512" s="472"/>
      <c r="M489512" s="472"/>
    </row>
    <row r="489513" spans="12:13" x14ac:dyDescent="0.25">
      <c r="L489513" s="472"/>
      <c r="M489513" s="472"/>
    </row>
    <row r="489585" spans="12:13" x14ac:dyDescent="0.25">
      <c r="L489585" s="472"/>
      <c r="M489585" s="472"/>
    </row>
    <row r="489586" spans="12:13" x14ac:dyDescent="0.25">
      <c r="L489586" s="472"/>
      <c r="M489586" s="472"/>
    </row>
    <row r="489587" spans="12:13" x14ac:dyDescent="0.25">
      <c r="L489587" s="472"/>
      <c r="M489587" s="472"/>
    </row>
    <row r="489659" spans="12:13" x14ac:dyDescent="0.25">
      <c r="L489659" s="472"/>
      <c r="M489659" s="472"/>
    </row>
    <row r="489660" spans="12:13" x14ac:dyDescent="0.25">
      <c r="L489660" s="472"/>
      <c r="M489660" s="472"/>
    </row>
    <row r="489661" spans="12:13" x14ac:dyDescent="0.25">
      <c r="L489661" s="472"/>
      <c r="M489661" s="472"/>
    </row>
    <row r="489733" spans="12:13" x14ac:dyDescent="0.25">
      <c r="L489733" s="472"/>
      <c r="M489733" s="472"/>
    </row>
    <row r="489734" spans="12:13" x14ac:dyDescent="0.25">
      <c r="L489734" s="472"/>
      <c r="M489734" s="472"/>
    </row>
    <row r="489735" spans="12:13" x14ac:dyDescent="0.25">
      <c r="L489735" s="472"/>
      <c r="M489735" s="472"/>
    </row>
    <row r="489807" spans="12:13" x14ac:dyDescent="0.25">
      <c r="L489807" s="472"/>
      <c r="M489807" s="472"/>
    </row>
    <row r="489808" spans="12:13" x14ac:dyDescent="0.25">
      <c r="L489808" s="472"/>
      <c r="M489808" s="472"/>
    </row>
    <row r="489809" spans="12:13" x14ac:dyDescent="0.25">
      <c r="L489809" s="472"/>
      <c r="M489809" s="472"/>
    </row>
    <row r="489881" spans="12:13" x14ac:dyDescent="0.25">
      <c r="L489881" s="472"/>
      <c r="M489881" s="472"/>
    </row>
    <row r="489882" spans="12:13" x14ac:dyDescent="0.25">
      <c r="L489882" s="472"/>
      <c r="M489882" s="472"/>
    </row>
    <row r="489883" spans="12:13" x14ac:dyDescent="0.25">
      <c r="L489883" s="472"/>
      <c r="M489883" s="472"/>
    </row>
    <row r="489955" spans="12:13" x14ac:dyDescent="0.25">
      <c r="L489955" s="472"/>
      <c r="M489955" s="472"/>
    </row>
    <row r="489956" spans="12:13" x14ac:dyDescent="0.25">
      <c r="L489956" s="472"/>
      <c r="M489956" s="472"/>
    </row>
    <row r="489957" spans="12:13" x14ac:dyDescent="0.25">
      <c r="L489957" s="472"/>
      <c r="M489957" s="472"/>
    </row>
    <row r="490029" spans="12:13" x14ac:dyDescent="0.25">
      <c r="L490029" s="472"/>
      <c r="M490029" s="472"/>
    </row>
    <row r="490030" spans="12:13" x14ac:dyDescent="0.25">
      <c r="L490030" s="472"/>
      <c r="M490030" s="472"/>
    </row>
    <row r="490031" spans="12:13" x14ac:dyDescent="0.25">
      <c r="L490031" s="472"/>
      <c r="M490031" s="472"/>
    </row>
    <row r="490103" spans="12:13" x14ac:dyDescent="0.25">
      <c r="L490103" s="472"/>
      <c r="M490103" s="472"/>
    </row>
    <row r="490104" spans="12:13" x14ac:dyDescent="0.25">
      <c r="L490104" s="472"/>
      <c r="M490104" s="472"/>
    </row>
    <row r="490105" spans="12:13" x14ac:dyDescent="0.25">
      <c r="L490105" s="472"/>
      <c r="M490105" s="472"/>
    </row>
    <row r="490177" spans="12:13" x14ac:dyDescent="0.25">
      <c r="L490177" s="472"/>
      <c r="M490177" s="472"/>
    </row>
    <row r="490178" spans="12:13" x14ac:dyDescent="0.25">
      <c r="L490178" s="472"/>
      <c r="M490178" s="472"/>
    </row>
    <row r="490179" spans="12:13" x14ac:dyDescent="0.25">
      <c r="L490179" s="472"/>
      <c r="M490179" s="472"/>
    </row>
    <row r="490251" spans="12:13" x14ac:dyDescent="0.25">
      <c r="L490251" s="472"/>
      <c r="M490251" s="472"/>
    </row>
    <row r="490252" spans="12:13" x14ac:dyDescent="0.25">
      <c r="L490252" s="472"/>
      <c r="M490252" s="472"/>
    </row>
    <row r="490253" spans="12:13" x14ac:dyDescent="0.25">
      <c r="L490253" s="472"/>
      <c r="M490253" s="472"/>
    </row>
    <row r="490325" spans="12:13" x14ac:dyDescent="0.25">
      <c r="L490325" s="472"/>
      <c r="M490325" s="472"/>
    </row>
    <row r="490326" spans="12:13" x14ac:dyDescent="0.25">
      <c r="L490326" s="472"/>
      <c r="M490326" s="472"/>
    </row>
    <row r="490327" spans="12:13" x14ac:dyDescent="0.25">
      <c r="L490327" s="472"/>
      <c r="M490327" s="472"/>
    </row>
    <row r="490399" spans="12:13" x14ac:dyDescent="0.25">
      <c r="L490399" s="472"/>
      <c r="M490399" s="472"/>
    </row>
    <row r="490400" spans="12:13" x14ac:dyDescent="0.25">
      <c r="L490400" s="472"/>
      <c r="M490400" s="472"/>
    </row>
    <row r="490401" spans="12:13" x14ac:dyDescent="0.25">
      <c r="L490401" s="472"/>
      <c r="M490401" s="472"/>
    </row>
    <row r="490473" spans="12:13" x14ac:dyDescent="0.25">
      <c r="L490473" s="472"/>
      <c r="M490473" s="472"/>
    </row>
    <row r="490474" spans="12:13" x14ac:dyDescent="0.25">
      <c r="L490474" s="472"/>
      <c r="M490474" s="472"/>
    </row>
    <row r="490475" spans="12:13" x14ac:dyDescent="0.25">
      <c r="L490475" s="472"/>
      <c r="M490475" s="472"/>
    </row>
    <row r="490547" spans="12:13" x14ac:dyDescent="0.25">
      <c r="L490547" s="472"/>
      <c r="M490547" s="472"/>
    </row>
    <row r="490548" spans="12:13" x14ac:dyDescent="0.25">
      <c r="L490548" s="472"/>
      <c r="M490548" s="472"/>
    </row>
    <row r="490549" spans="12:13" x14ac:dyDescent="0.25">
      <c r="L490549" s="472"/>
      <c r="M490549" s="472"/>
    </row>
    <row r="490621" spans="12:13" x14ac:dyDescent="0.25">
      <c r="L490621" s="472"/>
      <c r="M490621" s="472"/>
    </row>
    <row r="490622" spans="12:13" x14ac:dyDescent="0.25">
      <c r="L490622" s="472"/>
      <c r="M490622" s="472"/>
    </row>
    <row r="490623" spans="12:13" x14ac:dyDescent="0.25">
      <c r="L490623" s="472"/>
      <c r="M490623" s="472"/>
    </row>
    <row r="490695" spans="12:13" x14ac:dyDescent="0.25">
      <c r="L490695" s="472"/>
      <c r="M490695" s="472"/>
    </row>
    <row r="490696" spans="12:13" x14ac:dyDescent="0.25">
      <c r="L490696" s="472"/>
      <c r="M490696" s="472"/>
    </row>
    <row r="490697" spans="12:13" x14ac:dyDescent="0.25">
      <c r="L490697" s="472"/>
      <c r="M490697" s="472"/>
    </row>
    <row r="490769" spans="12:13" x14ac:dyDescent="0.25">
      <c r="L490769" s="472"/>
      <c r="M490769" s="472"/>
    </row>
    <row r="490770" spans="12:13" x14ac:dyDescent="0.25">
      <c r="L490770" s="472"/>
      <c r="M490770" s="472"/>
    </row>
    <row r="490771" spans="12:13" x14ac:dyDescent="0.25">
      <c r="L490771" s="472"/>
      <c r="M490771" s="472"/>
    </row>
    <row r="490843" spans="12:13" x14ac:dyDescent="0.25">
      <c r="L490843" s="472"/>
      <c r="M490843" s="472"/>
    </row>
    <row r="490844" spans="12:13" x14ac:dyDescent="0.25">
      <c r="L490844" s="472"/>
      <c r="M490844" s="472"/>
    </row>
    <row r="490845" spans="12:13" x14ac:dyDescent="0.25">
      <c r="L490845" s="472"/>
      <c r="M490845" s="472"/>
    </row>
    <row r="490917" spans="12:13" x14ac:dyDescent="0.25">
      <c r="L490917" s="472"/>
      <c r="M490917" s="472"/>
    </row>
    <row r="490918" spans="12:13" x14ac:dyDescent="0.25">
      <c r="L490918" s="472"/>
      <c r="M490918" s="472"/>
    </row>
    <row r="490919" spans="12:13" x14ac:dyDescent="0.25">
      <c r="L490919" s="472"/>
      <c r="M490919" s="472"/>
    </row>
    <row r="490991" spans="12:13" x14ac:dyDescent="0.25">
      <c r="L490991" s="472"/>
      <c r="M490991" s="472"/>
    </row>
    <row r="490992" spans="12:13" x14ac:dyDescent="0.25">
      <c r="L490992" s="472"/>
      <c r="M490992" s="472"/>
    </row>
    <row r="490993" spans="12:13" x14ac:dyDescent="0.25">
      <c r="L490993" s="472"/>
      <c r="M490993" s="472"/>
    </row>
    <row r="491065" spans="12:13" x14ac:dyDescent="0.25">
      <c r="L491065" s="472"/>
      <c r="M491065" s="472"/>
    </row>
    <row r="491066" spans="12:13" x14ac:dyDescent="0.25">
      <c r="L491066" s="472"/>
      <c r="M491066" s="472"/>
    </row>
    <row r="491067" spans="12:13" x14ac:dyDescent="0.25">
      <c r="L491067" s="472"/>
      <c r="M491067" s="472"/>
    </row>
    <row r="491139" spans="12:13" x14ac:dyDescent="0.25">
      <c r="L491139" s="472"/>
      <c r="M491139" s="472"/>
    </row>
    <row r="491140" spans="12:13" x14ac:dyDescent="0.25">
      <c r="L491140" s="472"/>
      <c r="M491140" s="472"/>
    </row>
    <row r="491141" spans="12:13" x14ac:dyDescent="0.25">
      <c r="L491141" s="472"/>
      <c r="M491141" s="472"/>
    </row>
    <row r="491213" spans="12:13" x14ac:dyDescent="0.25">
      <c r="L491213" s="472"/>
      <c r="M491213" s="472"/>
    </row>
    <row r="491214" spans="12:13" x14ac:dyDescent="0.25">
      <c r="L491214" s="472"/>
      <c r="M491214" s="472"/>
    </row>
    <row r="491215" spans="12:13" x14ac:dyDescent="0.25">
      <c r="L491215" s="472"/>
      <c r="M491215" s="472"/>
    </row>
    <row r="491287" spans="12:13" x14ac:dyDescent="0.25">
      <c r="L491287" s="472"/>
      <c r="M491287" s="472"/>
    </row>
    <row r="491288" spans="12:13" x14ac:dyDescent="0.25">
      <c r="L491288" s="472"/>
      <c r="M491288" s="472"/>
    </row>
    <row r="491289" spans="12:13" x14ac:dyDescent="0.25">
      <c r="L491289" s="472"/>
      <c r="M491289" s="472"/>
    </row>
    <row r="491361" spans="12:13" x14ac:dyDescent="0.25">
      <c r="L491361" s="472"/>
      <c r="M491361" s="472"/>
    </row>
    <row r="491362" spans="12:13" x14ac:dyDescent="0.25">
      <c r="L491362" s="472"/>
      <c r="M491362" s="472"/>
    </row>
    <row r="491363" spans="12:13" x14ac:dyDescent="0.25">
      <c r="L491363" s="472"/>
      <c r="M491363" s="472"/>
    </row>
    <row r="491435" spans="12:13" x14ac:dyDescent="0.25">
      <c r="L491435" s="472"/>
      <c r="M491435" s="472"/>
    </row>
    <row r="491436" spans="12:13" x14ac:dyDescent="0.25">
      <c r="L491436" s="472"/>
      <c r="M491436" s="472"/>
    </row>
    <row r="491437" spans="12:13" x14ac:dyDescent="0.25">
      <c r="L491437" s="472"/>
      <c r="M491437" s="472"/>
    </row>
    <row r="491509" spans="12:13" x14ac:dyDescent="0.25">
      <c r="L491509" s="472"/>
      <c r="M491509" s="472"/>
    </row>
    <row r="491510" spans="12:13" x14ac:dyDescent="0.25">
      <c r="L491510" s="472"/>
      <c r="M491510" s="472"/>
    </row>
    <row r="491511" spans="12:13" x14ac:dyDescent="0.25">
      <c r="L491511" s="472"/>
      <c r="M491511" s="472"/>
    </row>
    <row r="491583" spans="12:13" x14ac:dyDescent="0.25">
      <c r="L491583" s="472"/>
      <c r="M491583" s="472"/>
    </row>
    <row r="491584" spans="12:13" x14ac:dyDescent="0.25">
      <c r="L491584" s="472"/>
      <c r="M491584" s="472"/>
    </row>
    <row r="491585" spans="12:13" x14ac:dyDescent="0.25">
      <c r="L491585" s="472"/>
      <c r="M491585" s="472"/>
    </row>
    <row r="491657" spans="12:13" x14ac:dyDescent="0.25">
      <c r="L491657" s="472"/>
      <c r="M491657" s="472"/>
    </row>
    <row r="491658" spans="12:13" x14ac:dyDescent="0.25">
      <c r="L491658" s="472"/>
      <c r="M491658" s="472"/>
    </row>
    <row r="491659" spans="12:13" x14ac:dyDescent="0.25">
      <c r="L491659" s="472"/>
      <c r="M491659" s="472"/>
    </row>
    <row r="491731" spans="12:13" x14ac:dyDescent="0.25">
      <c r="L491731" s="472"/>
      <c r="M491731" s="472"/>
    </row>
    <row r="491732" spans="12:13" x14ac:dyDescent="0.25">
      <c r="L491732" s="472"/>
      <c r="M491732" s="472"/>
    </row>
    <row r="491733" spans="12:13" x14ac:dyDescent="0.25">
      <c r="L491733" s="472"/>
      <c r="M491733" s="472"/>
    </row>
    <row r="491805" spans="12:13" x14ac:dyDescent="0.25">
      <c r="L491805" s="472"/>
      <c r="M491805" s="472"/>
    </row>
    <row r="491806" spans="12:13" x14ac:dyDescent="0.25">
      <c r="L491806" s="472"/>
      <c r="M491806" s="472"/>
    </row>
    <row r="491807" spans="12:13" x14ac:dyDescent="0.25">
      <c r="L491807" s="472"/>
      <c r="M491807" s="472"/>
    </row>
    <row r="491879" spans="12:13" x14ac:dyDescent="0.25">
      <c r="L491879" s="472"/>
      <c r="M491879" s="472"/>
    </row>
    <row r="491880" spans="12:13" x14ac:dyDescent="0.25">
      <c r="L491880" s="472"/>
      <c r="M491880" s="472"/>
    </row>
    <row r="491881" spans="12:13" x14ac:dyDescent="0.25">
      <c r="L491881" s="472"/>
      <c r="M491881" s="472"/>
    </row>
    <row r="491953" spans="12:13" x14ac:dyDescent="0.25">
      <c r="L491953" s="472"/>
      <c r="M491953" s="472"/>
    </row>
    <row r="491954" spans="12:13" x14ac:dyDescent="0.25">
      <c r="L491954" s="472"/>
      <c r="M491954" s="472"/>
    </row>
    <row r="491955" spans="12:13" x14ac:dyDescent="0.25">
      <c r="L491955" s="472"/>
      <c r="M491955" s="472"/>
    </row>
    <row r="492027" spans="12:13" x14ac:dyDescent="0.25">
      <c r="L492027" s="472"/>
      <c r="M492027" s="472"/>
    </row>
    <row r="492028" spans="12:13" x14ac:dyDescent="0.25">
      <c r="L492028" s="472"/>
      <c r="M492028" s="472"/>
    </row>
    <row r="492029" spans="12:13" x14ac:dyDescent="0.25">
      <c r="L492029" s="472"/>
      <c r="M492029" s="472"/>
    </row>
    <row r="492101" spans="12:13" x14ac:dyDescent="0.25">
      <c r="L492101" s="472"/>
      <c r="M492101" s="472"/>
    </row>
    <row r="492102" spans="12:13" x14ac:dyDescent="0.25">
      <c r="L492102" s="472"/>
      <c r="M492102" s="472"/>
    </row>
    <row r="492103" spans="12:13" x14ac:dyDescent="0.25">
      <c r="L492103" s="472"/>
      <c r="M492103" s="472"/>
    </row>
    <row r="492175" spans="12:13" x14ac:dyDescent="0.25">
      <c r="L492175" s="472"/>
      <c r="M492175" s="472"/>
    </row>
    <row r="492176" spans="12:13" x14ac:dyDescent="0.25">
      <c r="L492176" s="472"/>
      <c r="M492176" s="472"/>
    </row>
    <row r="492177" spans="12:13" x14ac:dyDescent="0.25">
      <c r="L492177" s="472"/>
      <c r="M492177" s="472"/>
    </row>
    <row r="492249" spans="12:13" x14ac:dyDescent="0.25">
      <c r="L492249" s="472"/>
      <c r="M492249" s="472"/>
    </row>
    <row r="492250" spans="12:13" x14ac:dyDescent="0.25">
      <c r="L492250" s="472"/>
      <c r="M492250" s="472"/>
    </row>
    <row r="492251" spans="12:13" x14ac:dyDescent="0.25">
      <c r="L492251" s="472"/>
      <c r="M492251" s="472"/>
    </row>
    <row r="492323" spans="12:13" x14ac:dyDescent="0.25">
      <c r="L492323" s="472"/>
      <c r="M492323" s="472"/>
    </row>
    <row r="492324" spans="12:13" x14ac:dyDescent="0.25">
      <c r="L492324" s="472"/>
      <c r="M492324" s="472"/>
    </row>
    <row r="492325" spans="12:13" x14ac:dyDescent="0.25">
      <c r="L492325" s="472"/>
      <c r="M492325" s="472"/>
    </row>
    <row r="492397" spans="12:13" x14ac:dyDescent="0.25">
      <c r="L492397" s="472"/>
      <c r="M492397" s="472"/>
    </row>
    <row r="492398" spans="12:13" x14ac:dyDescent="0.25">
      <c r="L492398" s="472"/>
      <c r="M492398" s="472"/>
    </row>
    <row r="492399" spans="12:13" x14ac:dyDescent="0.25">
      <c r="L492399" s="472"/>
      <c r="M492399" s="472"/>
    </row>
    <row r="492471" spans="12:13" x14ac:dyDescent="0.25">
      <c r="L492471" s="472"/>
      <c r="M492471" s="472"/>
    </row>
    <row r="492472" spans="12:13" x14ac:dyDescent="0.25">
      <c r="L492472" s="472"/>
      <c r="M492472" s="472"/>
    </row>
    <row r="492473" spans="12:13" x14ac:dyDescent="0.25">
      <c r="L492473" s="472"/>
      <c r="M492473" s="472"/>
    </row>
    <row r="492545" spans="12:13" x14ac:dyDescent="0.25">
      <c r="L492545" s="472"/>
      <c r="M492545" s="472"/>
    </row>
    <row r="492546" spans="12:13" x14ac:dyDescent="0.25">
      <c r="L492546" s="472"/>
      <c r="M492546" s="472"/>
    </row>
    <row r="492547" spans="12:13" x14ac:dyDescent="0.25">
      <c r="L492547" s="472"/>
      <c r="M492547" s="472"/>
    </row>
    <row r="492619" spans="12:13" x14ac:dyDescent="0.25">
      <c r="L492619" s="472"/>
      <c r="M492619" s="472"/>
    </row>
    <row r="492620" spans="12:13" x14ac:dyDescent="0.25">
      <c r="L492620" s="472"/>
      <c r="M492620" s="472"/>
    </row>
    <row r="492621" spans="12:13" x14ac:dyDescent="0.25">
      <c r="L492621" s="472"/>
      <c r="M492621" s="472"/>
    </row>
    <row r="492693" spans="12:13" x14ac:dyDescent="0.25">
      <c r="L492693" s="472"/>
      <c r="M492693" s="472"/>
    </row>
    <row r="492694" spans="12:13" x14ac:dyDescent="0.25">
      <c r="L492694" s="472"/>
      <c r="M492694" s="472"/>
    </row>
    <row r="492695" spans="12:13" x14ac:dyDescent="0.25">
      <c r="L492695" s="472"/>
      <c r="M492695" s="472"/>
    </row>
    <row r="492767" spans="12:13" x14ac:dyDescent="0.25">
      <c r="L492767" s="472"/>
      <c r="M492767" s="472"/>
    </row>
    <row r="492768" spans="12:13" x14ac:dyDescent="0.25">
      <c r="L492768" s="472"/>
      <c r="M492768" s="472"/>
    </row>
    <row r="492769" spans="12:13" x14ac:dyDescent="0.25">
      <c r="L492769" s="472"/>
      <c r="M492769" s="472"/>
    </row>
    <row r="492841" spans="12:13" x14ac:dyDescent="0.25">
      <c r="L492841" s="472"/>
      <c r="M492841" s="472"/>
    </row>
    <row r="492842" spans="12:13" x14ac:dyDescent="0.25">
      <c r="L492842" s="472"/>
      <c r="M492842" s="472"/>
    </row>
    <row r="492843" spans="12:13" x14ac:dyDescent="0.25">
      <c r="L492843" s="472"/>
      <c r="M492843" s="472"/>
    </row>
    <row r="492915" spans="12:13" x14ac:dyDescent="0.25">
      <c r="L492915" s="472"/>
      <c r="M492915" s="472"/>
    </row>
    <row r="492916" spans="12:13" x14ac:dyDescent="0.25">
      <c r="L492916" s="472"/>
      <c r="M492916" s="472"/>
    </row>
    <row r="492917" spans="12:13" x14ac:dyDescent="0.25">
      <c r="L492917" s="472"/>
      <c r="M492917" s="472"/>
    </row>
    <row r="492989" spans="12:13" x14ac:dyDescent="0.25">
      <c r="L492989" s="472"/>
      <c r="M492989" s="472"/>
    </row>
    <row r="492990" spans="12:13" x14ac:dyDescent="0.25">
      <c r="L492990" s="472"/>
      <c r="M492990" s="472"/>
    </row>
    <row r="492991" spans="12:13" x14ac:dyDescent="0.25">
      <c r="L492991" s="472"/>
      <c r="M492991" s="472"/>
    </row>
    <row r="493063" spans="12:13" x14ac:dyDescent="0.25">
      <c r="L493063" s="472"/>
      <c r="M493063" s="472"/>
    </row>
    <row r="493064" spans="12:13" x14ac:dyDescent="0.25">
      <c r="L493064" s="472"/>
      <c r="M493064" s="472"/>
    </row>
    <row r="493065" spans="12:13" x14ac:dyDescent="0.25">
      <c r="L493065" s="472"/>
      <c r="M493065" s="472"/>
    </row>
    <row r="493137" spans="12:13" x14ac:dyDescent="0.25">
      <c r="L493137" s="472"/>
      <c r="M493137" s="472"/>
    </row>
    <row r="493138" spans="12:13" x14ac:dyDescent="0.25">
      <c r="L493138" s="472"/>
      <c r="M493138" s="472"/>
    </row>
    <row r="493139" spans="12:13" x14ac:dyDescent="0.25">
      <c r="L493139" s="472"/>
      <c r="M493139" s="472"/>
    </row>
    <row r="493211" spans="12:13" x14ac:dyDescent="0.25">
      <c r="L493211" s="472"/>
      <c r="M493211" s="472"/>
    </row>
    <row r="493212" spans="12:13" x14ac:dyDescent="0.25">
      <c r="L493212" s="472"/>
      <c r="M493212" s="472"/>
    </row>
    <row r="493213" spans="12:13" x14ac:dyDescent="0.25">
      <c r="L493213" s="472"/>
      <c r="M493213" s="472"/>
    </row>
    <row r="493285" spans="12:13" x14ac:dyDescent="0.25">
      <c r="L493285" s="472"/>
      <c r="M493285" s="472"/>
    </row>
    <row r="493286" spans="12:13" x14ac:dyDescent="0.25">
      <c r="L493286" s="472"/>
      <c r="M493286" s="472"/>
    </row>
    <row r="493287" spans="12:13" x14ac:dyDescent="0.25">
      <c r="L493287" s="472"/>
      <c r="M493287" s="472"/>
    </row>
    <row r="493359" spans="12:13" x14ac:dyDescent="0.25">
      <c r="L493359" s="472"/>
      <c r="M493359" s="472"/>
    </row>
    <row r="493360" spans="12:13" x14ac:dyDescent="0.25">
      <c r="L493360" s="472"/>
      <c r="M493360" s="472"/>
    </row>
    <row r="493361" spans="12:13" x14ac:dyDescent="0.25">
      <c r="L493361" s="472"/>
      <c r="M493361" s="472"/>
    </row>
    <row r="493433" spans="12:13" x14ac:dyDescent="0.25">
      <c r="L493433" s="472"/>
      <c r="M493433" s="472"/>
    </row>
    <row r="493434" spans="12:13" x14ac:dyDescent="0.25">
      <c r="L493434" s="472"/>
      <c r="M493434" s="472"/>
    </row>
    <row r="493435" spans="12:13" x14ac:dyDescent="0.25">
      <c r="L493435" s="472"/>
      <c r="M493435" s="472"/>
    </row>
    <row r="493507" spans="12:13" x14ac:dyDescent="0.25">
      <c r="L493507" s="472"/>
      <c r="M493507" s="472"/>
    </row>
    <row r="493508" spans="12:13" x14ac:dyDescent="0.25">
      <c r="L493508" s="472"/>
      <c r="M493508" s="472"/>
    </row>
    <row r="493509" spans="12:13" x14ac:dyDescent="0.25">
      <c r="L493509" s="472"/>
      <c r="M493509" s="472"/>
    </row>
    <row r="493581" spans="12:13" x14ac:dyDescent="0.25">
      <c r="L493581" s="472"/>
      <c r="M493581" s="472"/>
    </row>
    <row r="493582" spans="12:13" x14ac:dyDescent="0.25">
      <c r="L493582" s="472"/>
      <c r="M493582" s="472"/>
    </row>
    <row r="493583" spans="12:13" x14ac:dyDescent="0.25">
      <c r="L493583" s="472"/>
      <c r="M493583" s="472"/>
    </row>
    <row r="493655" spans="12:13" x14ac:dyDescent="0.25">
      <c r="L493655" s="472"/>
      <c r="M493655" s="472"/>
    </row>
    <row r="493656" spans="12:13" x14ac:dyDescent="0.25">
      <c r="L493656" s="472"/>
      <c r="M493656" s="472"/>
    </row>
    <row r="493657" spans="12:13" x14ac:dyDescent="0.25">
      <c r="L493657" s="472"/>
      <c r="M493657" s="472"/>
    </row>
    <row r="493729" spans="12:13" x14ac:dyDescent="0.25">
      <c r="L493729" s="472"/>
      <c r="M493729" s="472"/>
    </row>
    <row r="493730" spans="12:13" x14ac:dyDescent="0.25">
      <c r="L493730" s="472"/>
      <c r="M493730" s="472"/>
    </row>
    <row r="493731" spans="12:13" x14ac:dyDescent="0.25">
      <c r="L493731" s="472"/>
      <c r="M493731" s="472"/>
    </row>
    <row r="493803" spans="12:13" x14ac:dyDescent="0.25">
      <c r="L493803" s="472"/>
      <c r="M493803" s="472"/>
    </row>
    <row r="493804" spans="12:13" x14ac:dyDescent="0.25">
      <c r="L493804" s="472"/>
      <c r="M493804" s="472"/>
    </row>
    <row r="493805" spans="12:13" x14ac:dyDescent="0.25">
      <c r="L493805" s="472"/>
      <c r="M493805" s="472"/>
    </row>
    <row r="493877" spans="12:13" x14ac:dyDescent="0.25">
      <c r="L493877" s="472"/>
      <c r="M493877" s="472"/>
    </row>
    <row r="493878" spans="12:13" x14ac:dyDescent="0.25">
      <c r="L493878" s="472"/>
      <c r="M493878" s="472"/>
    </row>
    <row r="493879" spans="12:13" x14ac:dyDescent="0.25">
      <c r="L493879" s="472"/>
      <c r="M493879" s="472"/>
    </row>
    <row r="493951" spans="12:13" x14ac:dyDescent="0.25">
      <c r="L493951" s="472"/>
      <c r="M493951" s="472"/>
    </row>
    <row r="493952" spans="12:13" x14ac:dyDescent="0.25">
      <c r="L493952" s="472"/>
      <c r="M493952" s="472"/>
    </row>
    <row r="493953" spans="12:13" x14ac:dyDescent="0.25">
      <c r="L493953" s="472"/>
      <c r="M493953" s="472"/>
    </row>
    <row r="494025" spans="12:13" x14ac:dyDescent="0.25">
      <c r="L494025" s="472"/>
      <c r="M494025" s="472"/>
    </row>
    <row r="494026" spans="12:13" x14ac:dyDescent="0.25">
      <c r="L494026" s="472"/>
      <c r="M494026" s="472"/>
    </row>
    <row r="494027" spans="12:13" x14ac:dyDescent="0.25">
      <c r="L494027" s="472"/>
      <c r="M494027" s="472"/>
    </row>
    <row r="494099" spans="12:13" x14ac:dyDescent="0.25">
      <c r="L494099" s="472"/>
      <c r="M494099" s="472"/>
    </row>
    <row r="494100" spans="12:13" x14ac:dyDescent="0.25">
      <c r="L494100" s="472"/>
      <c r="M494100" s="472"/>
    </row>
    <row r="494101" spans="12:13" x14ac:dyDescent="0.25">
      <c r="L494101" s="472"/>
      <c r="M494101" s="472"/>
    </row>
    <row r="494173" spans="12:13" x14ac:dyDescent="0.25">
      <c r="L494173" s="472"/>
      <c r="M494173" s="472"/>
    </row>
    <row r="494174" spans="12:13" x14ac:dyDescent="0.25">
      <c r="L494174" s="472"/>
      <c r="M494174" s="472"/>
    </row>
    <row r="494175" spans="12:13" x14ac:dyDescent="0.25">
      <c r="L494175" s="472"/>
      <c r="M494175" s="472"/>
    </row>
    <row r="494247" spans="12:13" x14ac:dyDescent="0.25">
      <c r="L494247" s="472"/>
      <c r="M494247" s="472"/>
    </row>
    <row r="494248" spans="12:13" x14ac:dyDescent="0.25">
      <c r="L494248" s="472"/>
      <c r="M494248" s="472"/>
    </row>
    <row r="494249" spans="12:13" x14ac:dyDescent="0.25">
      <c r="L494249" s="472"/>
      <c r="M494249" s="472"/>
    </row>
    <row r="494321" spans="12:13" x14ac:dyDescent="0.25">
      <c r="L494321" s="472"/>
      <c r="M494321" s="472"/>
    </row>
    <row r="494322" spans="12:13" x14ac:dyDescent="0.25">
      <c r="L494322" s="472"/>
      <c r="M494322" s="472"/>
    </row>
    <row r="494323" spans="12:13" x14ac:dyDescent="0.25">
      <c r="L494323" s="472"/>
      <c r="M494323" s="472"/>
    </row>
    <row r="494395" spans="12:13" x14ac:dyDescent="0.25">
      <c r="L494395" s="472"/>
      <c r="M494395" s="472"/>
    </row>
    <row r="494396" spans="12:13" x14ac:dyDescent="0.25">
      <c r="L494396" s="472"/>
      <c r="M494396" s="472"/>
    </row>
    <row r="494397" spans="12:13" x14ac:dyDescent="0.25">
      <c r="L494397" s="472"/>
      <c r="M494397" s="472"/>
    </row>
    <row r="494469" spans="12:13" x14ac:dyDescent="0.25">
      <c r="L494469" s="472"/>
      <c r="M494469" s="472"/>
    </row>
    <row r="494470" spans="12:13" x14ac:dyDescent="0.25">
      <c r="L494470" s="472"/>
      <c r="M494470" s="472"/>
    </row>
    <row r="494471" spans="12:13" x14ac:dyDescent="0.25">
      <c r="L494471" s="472"/>
      <c r="M494471" s="472"/>
    </row>
    <row r="494543" spans="12:13" x14ac:dyDescent="0.25">
      <c r="L494543" s="472"/>
      <c r="M494543" s="472"/>
    </row>
    <row r="494544" spans="12:13" x14ac:dyDescent="0.25">
      <c r="L494544" s="472"/>
      <c r="M494544" s="472"/>
    </row>
    <row r="494545" spans="12:13" x14ac:dyDescent="0.25">
      <c r="L494545" s="472"/>
      <c r="M494545" s="472"/>
    </row>
    <row r="494617" spans="12:13" x14ac:dyDescent="0.25">
      <c r="L494617" s="472"/>
      <c r="M494617" s="472"/>
    </row>
    <row r="494618" spans="12:13" x14ac:dyDescent="0.25">
      <c r="L494618" s="472"/>
      <c r="M494618" s="472"/>
    </row>
    <row r="494619" spans="12:13" x14ac:dyDescent="0.25">
      <c r="L494619" s="472"/>
      <c r="M494619" s="472"/>
    </row>
    <row r="494691" spans="12:13" x14ac:dyDescent="0.25">
      <c r="L494691" s="472"/>
      <c r="M494691" s="472"/>
    </row>
    <row r="494692" spans="12:13" x14ac:dyDescent="0.25">
      <c r="L494692" s="472"/>
      <c r="M494692" s="472"/>
    </row>
    <row r="494693" spans="12:13" x14ac:dyDescent="0.25">
      <c r="L494693" s="472"/>
      <c r="M494693" s="472"/>
    </row>
    <row r="494765" spans="12:13" x14ac:dyDescent="0.25">
      <c r="L494765" s="472"/>
      <c r="M494765" s="472"/>
    </row>
    <row r="494766" spans="12:13" x14ac:dyDescent="0.25">
      <c r="L494766" s="472"/>
      <c r="M494766" s="472"/>
    </row>
    <row r="494767" spans="12:13" x14ac:dyDescent="0.25">
      <c r="L494767" s="472"/>
      <c r="M494767" s="472"/>
    </row>
    <row r="494839" spans="12:13" x14ac:dyDescent="0.25">
      <c r="L494839" s="472"/>
      <c r="M494839" s="472"/>
    </row>
    <row r="494840" spans="12:13" x14ac:dyDescent="0.25">
      <c r="L494840" s="472"/>
      <c r="M494840" s="472"/>
    </row>
    <row r="494841" spans="12:13" x14ac:dyDescent="0.25">
      <c r="L494841" s="472"/>
      <c r="M494841" s="472"/>
    </row>
    <row r="494913" spans="12:13" x14ac:dyDescent="0.25">
      <c r="L494913" s="472"/>
      <c r="M494913" s="472"/>
    </row>
    <row r="494914" spans="12:13" x14ac:dyDescent="0.25">
      <c r="L494914" s="472"/>
      <c r="M494914" s="472"/>
    </row>
    <row r="494915" spans="12:13" x14ac:dyDescent="0.25">
      <c r="L494915" s="472"/>
      <c r="M494915" s="472"/>
    </row>
    <row r="494987" spans="12:13" x14ac:dyDescent="0.25">
      <c r="L494987" s="472"/>
      <c r="M494987" s="472"/>
    </row>
    <row r="494988" spans="12:13" x14ac:dyDescent="0.25">
      <c r="L494988" s="472"/>
      <c r="M494988" s="472"/>
    </row>
    <row r="494989" spans="12:13" x14ac:dyDescent="0.25">
      <c r="L494989" s="472"/>
      <c r="M494989" s="472"/>
    </row>
    <row r="495061" spans="12:13" x14ac:dyDescent="0.25">
      <c r="L495061" s="472"/>
      <c r="M495061" s="472"/>
    </row>
    <row r="495062" spans="12:13" x14ac:dyDescent="0.25">
      <c r="L495062" s="472"/>
      <c r="M495062" s="472"/>
    </row>
    <row r="495063" spans="12:13" x14ac:dyDescent="0.25">
      <c r="L495063" s="472"/>
      <c r="M495063" s="472"/>
    </row>
    <row r="495135" spans="12:13" x14ac:dyDescent="0.25">
      <c r="L495135" s="472"/>
      <c r="M495135" s="472"/>
    </row>
    <row r="495136" spans="12:13" x14ac:dyDescent="0.25">
      <c r="L495136" s="472"/>
      <c r="M495136" s="472"/>
    </row>
    <row r="495137" spans="12:13" x14ac:dyDescent="0.25">
      <c r="L495137" s="472"/>
      <c r="M495137" s="472"/>
    </row>
    <row r="495209" spans="12:13" x14ac:dyDescent="0.25">
      <c r="L495209" s="472"/>
      <c r="M495209" s="472"/>
    </row>
    <row r="495210" spans="12:13" x14ac:dyDescent="0.25">
      <c r="L495210" s="472"/>
      <c r="M495210" s="472"/>
    </row>
    <row r="495211" spans="12:13" x14ac:dyDescent="0.25">
      <c r="L495211" s="472"/>
      <c r="M495211" s="472"/>
    </row>
    <row r="495283" spans="12:13" x14ac:dyDescent="0.25">
      <c r="L495283" s="472"/>
      <c r="M495283" s="472"/>
    </row>
    <row r="495284" spans="12:13" x14ac:dyDescent="0.25">
      <c r="L495284" s="472"/>
      <c r="M495284" s="472"/>
    </row>
    <row r="495285" spans="12:13" x14ac:dyDescent="0.25">
      <c r="L495285" s="472"/>
      <c r="M495285" s="472"/>
    </row>
    <row r="495357" spans="12:13" x14ac:dyDescent="0.25">
      <c r="L495357" s="472"/>
      <c r="M495357" s="472"/>
    </row>
    <row r="495358" spans="12:13" x14ac:dyDescent="0.25">
      <c r="L495358" s="472"/>
      <c r="M495358" s="472"/>
    </row>
    <row r="495359" spans="12:13" x14ac:dyDescent="0.25">
      <c r="L495359" s="472"/>
      <c r="M495359" s="472"/>
    </row>
    <row r="495431" spans="12:13" x14ac:dyDescent="0.25">
      <c r="L495431" s="472"/>
      <c r="M495431" s="472"/>
    </row>
    <row r="495432" spans="12:13" x14ac:dyDescent="0.25">
      <c r="L495432" s="472"/>
      <c r="M495432" s="472"/>
    </row>
    <row r="495433" spans="12:13" x14ac:dyDescent="0.25">
      <c r="L495433" s="472"/>
      <c r="M495433" s="472"/>
    </row>
    <row r="495505" spans="12:13" x14ac:dyDescent="0.25">
      <c r="L495505" s="472"/>
      <c r="M495505" s="472"/>
    </row>
    <row r="495506" spans="12:13" x14ac:dyDescent="0.25">
      <c r="L495506" s="472"/>
      <c r="M495506" s="472"/>
    </row>
    <row r="495507" spans="12:13" x14ac:dyDescent="0.25">
      <c r="L495507" s="472"/>
      <c r="M495507" s="472"/>
    </row>
    <row r="495579" spans="12:13" x14ac:dyDescent="0.25">
      <c r="L495579" s="472"/>
      <c r="M495579" s="472"/>
    </row>
    <row r="495580" spans="12:13" x14ac:dyDescent="0.25">
      <c r="L495580" s="472"/>
      <c r="M495580" s="472"/>
    </row>
    <row r="495581" spans="12:13" x14ac:dyDescent="0.25">
      <c r="L495581" s="472"/>
      <c r="M495581" s="472"/>
    </row>
    <row r="495653" spans="12:13" x14ac:dyDescent="0.25">
      <c r="L495653" s="472"/>
      <c r="M495653" s="472"/>
    </row>
    <row r="495654" spans="12:13" x14ac:dyDescent="0.25">
      <c r="L495654" s="472"/>
      <c r="M495654" s="472"/>
    </row>
    <row r="495655" spans="12:13" x14ac:dyDescent="0.25">
      <c r="L495655" s="472"/>
      <c r="M495655" s="472"/>
    </row>
    <row r="495727" spans="12:13" x14ac:dyDescent="0.25">
      <c r="L495727" s="472"/>
      <c r="M495727" s="472"/>
    </row>
    <row r="495728" spans="12:13" x14ac:dyDescent="0.25">
      <c r="L495728" s="472"/>
      <c r="M495728" s="472"/>
    </row>
    <row r="495729" spans="12:13" x14ac:dyDescent="0.25">
      <c r="L495729" s="472"/>
      <c r="M495729" s="472"/>
    </row>
    <row r="495801" spans="12:13" x14ac:dyDescent="0.25">
      <c r="L495801" s="472"/>
      <c r="M495801" s="472"/>
    </row>
    <row r="495802" spans="12:13" x14ac:dyDescent="0.25">
      <c r="L495802" s="472"/>
      <c r="M495802" s="472"/>
    </row>
    <row r="495803" spans="12:13" x14ac:dyDescent="0.25">
      <c r="L495803" s="472"/>
      <c r="M495803" s="472"/>
    </row>
    <row r="495875" spans="12:13" x14ac:dyDescent="0.25">
      <c r="L495875" s="472"/>
      <c r="M495875" s="472"/>
    </row>
    <row r="495876" spans="12:13" x14ac:dyDescent="0.25">
      <c r="L495876" s="472"/>
      <c r="M495876" s="472"/>
    </row>
    <row r="495877" spans="12:13" x14ac:dyDescent="0.25">
      <c r="L495877" s="472"/>
      <c r="M495877" s="472"/>
    </row>
    <row r="495949" spans="12:13" x14ac:dyDescent="0.25">
      <c r="L495949" s="472"/>
      <c r="M495949" s="472"/>
    </row>
    <row r="495950" spans="12:13" x14ac:dyDescent="0.25">
      <c r="L495950" s="472"/>
      <c r="M495950" s="472"/>
    </row>
    <row r="495951" spans="12:13" x14ac:dyDescent="0.25">
      <c r="L495951" s="472"/>
      <c r="M495951" s="472"/>
    </row>
    <row r="496023" spans="12:13" x14ac:dyDescent="0.25">
      <c r="L496023" s="472"/>
      <c r="M496023" s="472"/>
    </row>
    <row r="496024" spans="12:13" x14ac:dyDescent="0.25">
      <c r="L496024" s="472"/>
      <c r="M496024" s="472"/>
    </row>
    <row r="496025" spans="12:13" x14ac:dyDescent="0.25">
      <c r="L496025" s="472"/>
      <c r="M496025" s="472"/>
    </row>
    <row r="496097" spans="12:13" x14ac:dyDescent="0.25">
      <c r="L496097" s="472"/>
      <c r="M496097" s="472"/>
    </row>
    <row r="496098" spans="12:13" x14ac:dyDescent="0.25">
      <c r="L496098" s="472"/>
      <c r="M496098" s="472"/>
    </row>
    <row r="496099" spans="12:13" x14ac:dyDescent="0.25">
      <c r="L496099" s="472"/>
      <c r="M496099" s="472"/>
    </row>
    <row r="496171" spans="12:13" x14ac:dyDescent="0.25">
      <c r="L496171" s="472"/>
      <c r="M496171" s="472"/>
    </row>
    <row r="496172" spans="12:13" x14ac:dyDescent="0.25">
      <c r="L496172" s="472"/>
      <c r="M496172" s="472"/>
    </row>
    <row r="496173" spans="12:13" x14ac:dyDescent="0.25">
      <c r="L496173" s="472"/>
      <c r="M496173" s="472"/>
    </row>
    <row r="496245" spans="12:13" x14ac:dyDescent="0.25">
      <c r="L496245" s="472"/>
      <c r="M496245" s="472"/>
    </row>
    <row r="496246" spans="12:13" x14ac:dyDescent="0.25">
      <c r="L496246" s="472"/>
      <c r="M496246" s="472"/>
    </row>
    <row r="496247" spans="12:13" x14ac:dyDescent="0.25">
      <c r="L496247" s="472"/>
      <c r="M496247" s="472"/>
    </row>
    <row r="496319" spans="12:13" x14ac:dyDescent="0.25">
      <c r="L496319" s="472"/>
      <c r="M496319" s="472"/>
    </row>
    <row r="496320" spans="12:13" x14ac:dyDescent="0.25">
      <c r="L496320" s="472"/>
      <c r="M496320" s="472"/>
    </row>
    <row r="496321" spans="12:13" x14ac:dyDescent="0.25">
      <c r="L496321" s="472"/>
      <c r="M496321" s="472"/>
    </row>
    <row r="496393" spans="12:13" x14ac:dyDescent="0.25">
      <c r="L496393" s="472"/>
      <c r="M496393" s="472"/>
    </row>
    <row r="496394" spans="12:13" x14ac:dyDescent="0.25">
      <c r="L496394" s="472"/>
      <c r="M496394" s="472"/>
    </row>
    <row r="496395" spans="12:13" x14ac:dyDescent="0.25">
      <c r="L496395" s="472"/>
      <c r="M496395" s="472"/>
    </row>
    <row r="496467" spans="12:13" x14ac:dyDescent="0.25">
      <c r="L496467" s="472"/>
      <c r="M496467" s="472"/>
    </row>
    <row r="496468" spans="12:13" x14ac:dyDescent="0.25">
      <c r="L496468" s="472"/>
      <c r="M496468" s="472"/>
    </row>
    <row r="496469" spans="12:13" x14ac:dyDescent="0.25">
      <c r="L496469" s="472"/>
      <c r="M496469" s="472"/>
    </row>
    <row r="496541" spans="12:13" x14ac:dyDescent="0.25">
      <c r="L496541" s="472"/>
      <c r="M496541" s="472"/>
    </row>
    <row r="496542" spans="12:13" x14ac:dyDescent="0.25">
      <c r="L496542" s="472"/>
      <c r="M496542" s="472"/>
    </row>
    <row r="496543" spans="12:13" x14ac:dyDescent="0.25">
      <c r="L496543" s="472"/>
      <c r="M496543" s="472"/>
    </row>
    <row r="496615" spans="12:13" x14ac:dyDescent="0.25">
      <c r="L496615" s="472"/>
      <c r="M496615" s="472"/>
    </row>
    <row r="496616" spans="12:13" x14ac:dyDescent="0.25">
      <c r="L496616" s="472"/>
      <c r="M496616" s="472"/>
    </row>
    <row r="496617" spans="12:13" x14ac:dyDescent="0.25">
      <c r="L496617" s="472"/>
      <c r="M496617" s="472"/>
    </row>
    <row r="496689" spans="12:13" x14ac:dyDescent="0.25">
      <c r="L496689" s="472"/>
      <c r="M496689" s="472"/>
    </row>
    <row r="496690" spans="12:13" x14ac:dyDescent="0.25">
      <c r="L496690" s="472"/>
      <c r="M496690" s="472"/>
    </row>
    <row r="496691" spans="12:13" x14ac:dyDescent="0.25">
      <c r="L496691" s="472"/>
      <c r="M496691" s="472"/>
    </row>
    <row r="496763" spans="12:13" x14ac:dyDescent="0.25">
      <c r="L496763" s="472"/>
      <c r="M496763" s="472"/>
    </row>
    <row r="496764" spans="12:13" x14ac:dyDescent="0.25">
      <c r="L496764" s="472"/>
      <c r="M496764" s="472"/>
    </row>
    <row r="496765" spans="12:13" x14ac:dyDescent="0.25">
      <c r="L496765" s="472"/>
      <c r="M496765" s="472"/>
    </row>
    <row r="496837" spans="12:13" x14ac:dyDescent="0.25">
      <c r="L496837" s="472"/>
      <c r="M496837" s="472"/>
    </row>
    <row r="496838" spans="12:13" x14ac:dyDescent="0.25">
      <c r="L496838" s="472"/>
      <c r="M496838" s="472"/>
    </row>
    <row r="496839" spans="12:13" x14ac:dyDescent="0.25">
      <c r="L496839" s="472"/>
      <c r="M496839" s="472"/>
    </row>
    <row r="496911" spans="12:13" x14ac:dyDescent="0.25">
      <c r="L496911" s="472"/>
      <c r="M496911" s="472"/>
    </row>
    <row r="496912" spans="12:13" x14ac:dyDescent="0.25">
      <c r="L496912" s="472"/>
      <c r="M496912" s="472"/>
    </row>
    <row r="496913" spans="12:13" x14ac:dyDescent="0.25">
      <c r="L496913" s="472"/>
      <c r="M496913" s="472"/>
    </row>
    <row r="496985" spans="12:13" x14ac:dyDescent="0.25">
      <c r="L496985" s="472"/>
      <c r="M496985" s="472"/>
    </row>
    <row r="496986" spans="12:13" x14ac:dyDescent="0.25">
      <c r="L496986" s="472"/>
      <c r="M496986" s="472"/>
    </row>
    <row r="496987" spans="12:13" x14ac:dyDescent="0.25">
      <c r="L496987" s="472"/>
      <c r="M496987" s="472"/>
    </row>
    <row r="497059" spans="12:13" x14ac:dyDescent="0.25">
      <c r="L497059" s="472"/>
      <c r="M497059" s="472"/>
    </row>
    <row r="497060" spans="12:13" x14ac:dyDescent="0.25">
      <c r="L497060" s="472"/>
      <c r="M497060" s="472"/>
    </row>
    <row r="497061" spans="12:13" x14ac:dyDescent="0.25">
      <c r="L497061" s="472"/>
      <c r="M497061" s="472"/>
    </row>
    <row r="497133" spans="12:13" x14ac:dyDescent="0.25">
      <c r="L497133" s="472"/>
      <c r="M497133" s="472"/>
    </row>
    <row r="497134" spans="12:13" x14ac:dyDescent="0.25">
      <c r="L497134" s="472"/>
      <c r="M497134" s="472"/>
    </row>
    <row r="497135" spans="12:13" x14ac:dyDescent="0.25">
      <c r="L497135" s="472"/>
      <c r="M497135" s="472"/>
    </row>
    <row r="497207" spans="12:13" x14ac:dyDescent="0.25">
      <c r="L497207" s="472"/>
      <c r="M497207" s="472"/>
    </row>
    <row r="497208" spans="12:13" x14ac:dyDescent="0.25">
      <c r="L497208" s="472"/>
      <c r="M497208" s="472"/>
    </row>
    <row r="497209" spans="12:13" x14ac:dyDescent="0.25">
      <c r="L497209" s="472"/>
      <c r="M497209" s="472"/>
    </row>
    <row r="497281" spans="12:13" x14ac:dyDescent="0.25">
      <c r="L497281" s="472"/>
      <c r="M497281" s="472"/>
    </row>
    <row r="497282" spans="12:13" x14ac:dyDescent="0.25">
      <c r="L497282" s="472"/>
      <c r="M497282" s="472"/>
    </row>
    <row r="497283" spans="12:13" x14ac:dyDescent="0.25">
      <c r="L497283" s="472"/>
      <c r="M497283" s="472"/>
    </row>
    <row r="497355" spans="12:13" x14ac:dyDescent="0.25">
      <c r="L497355" s="472"/>
      <c r="M497355" s="472"/>
    </row>
    <row r="497356" spans="12:13" x14ac:dyDescent="0.25">
      <c r="L497356" s="472"/>
      <c r="M497356" s="472"/>
    </row>
    <row r="497357" spans="12:13" x14ac:dyDescent="0.25">
      <c r="L497357" s="472"/>
      <c r="M497357" s="472"/>
    </row>
    <row r="497429" spans="12:13" x14ac:dyDescent="0.25">
      <c r="L497429" s="472"/>
      <c r="M497429" s="472"/>
    </row>
    <row r="497430" spans="12:13" x14ac:dyDescent="0.25">
      <c r="L497430" s="472"/>
      <c r="M497430" s="472"/>
    </row>
    <row r="497431" spans="12:13" x14ac:dyDescent="0.25">
      <c r="L497431" s="472"/>
      <c r="M497431" s="472"/>
    </row>
    <row r="497503" spans="12:13" x14ac:dyDescent="0.25">
      <c r="L497503" s="472"/>
      <c r="M497503" s="472"/>
    </row>
    <row r="497504" spans="12:13" x14ac:dyDescent="0.25">
      <c r="L497504" s="472"/>
      <c r="M497504" s="472"/>
    </row>
    <row r="497505" spans="12:13" x14ac:dyDescent="0.25">
      <c r="L497505" s="472"/>
      <c r="M497505" s="472"/>
    </row>
    <row r="497577" spans="12:13" x14ac:dyDescent="0.25">
      <c r="L497577" s="472"/>
      <c r="M497577" s="472"/>
    </row>
    <row r="497578" spans="12:13" x14ac:dyDescent="0.25">
      <c r="L497578" s="472"/>
      <c r="M497578" s="472"/>
    </row>
    <row r="497579" spans="12:13" x14ac:dyDescent="0.25">
      <c r="L497579" s="472"/>
      <c r="M497579" s="472"/>
    </row>
    <row r="497651" spans="12:13" x14ac:dyDescent="0.25">
      <c r="L497651" s="472"/>
      <c r="M497651" s="472"/>
    </row>
    <row r="497652" spans="12:13" x14ac:dyDescent="0.25">
      <c r="L497652" s="472"/>
      <c r="M497652" s="472"/>
    </row>
    <row r="497653" spans="12:13" x14ac:dyDescent="0.25">
      <c r="L497653" s="472"/>
      <c r="M497653" s="472"/>
    </row>
    <row r="497725" spans="12:13" x14ac:dyDescent="0.25">
      <c r="L497725" s="472"/>
      <c r="M497725" s="472"/>
    </row>
    <row r="497726" spans="12:13" x14ac:dyDescent="0.25">
      <c r="L497726" s="472"/>
      <c r="M497726" s="472"/>
    </row>
    <row r="497727" spans="12:13" x14ac:dyDescent="0.25">
      <c r="L497727" s="472"/>
      <c r="M497727" s="472"/>
    </row>
    <row r="497799" spans="12:13" x14ac:dyDescent="0.25">
      <c r="L497799" s="472"/>
      <c r="M497799" s="472"/>
    </row>
    <row r="497800" spans="12:13" x14ac:dyDescent="0.25">
      <c r="L497800" s="472"/>
      <c r="M497800" s="472"/>
    </row>
    <row r="497801" spans="12:13" x14ac:dyDescent="0.25">
      <c r="L497801" s="472"/>
      <c r="M497801" s="472"/>
    </row>
    <row r="497873" spans="12:13" x14ac:dyDescent="0.25">
      <c r="L497873" s="472"/>
      <c r="M497873" s="472"/>
    </row>
    <row r="497874" spans="12:13" x14ac:dyDescent="0.25">
      <c r="L497874" s="472"/>
      <c r="M497874" s="472"/>
    </row>
    <row r="497875" spans="12:13" x14ac:dyDescent="0.25">
      <c r="L497875" s="472"/>
      <c r="M497875" s="472"/>
    </row>
    <row r="497947" spans="12:13" x14ac:dyDescent="0.25">
      <c r="L497947" s="472"/>
      <c r="M497947" s="472"/>
    </row>
    <row r="497948" spans="12:13" x14ac:dyDescent="0.25">
      <c r="L497948" s="472"/>
      <c r="M497948" s="472"/>
    </row>
    <row r="497949" spans="12:13" x14ac:dyDescent="0.25">
      <c r="L497949" s="472"/>
      <c r="M497949" s="472"/>
    </row>
    <row r="498021" spans="12:13" x14ac:dyDescent="0.25">
      <c r="L498021" s="472"/>
      <c r="M498021" s="472"/>
    </row>
    <row r="498022" spans="12:13" x14ac:dyDescent="0.25">
      <c r="L498022" s="472"/>
      <c r="M498022" s="472"/>
    </row>
    <row r="498023" spans="12:13" x14ac:dyDescent="0.25">
      <c r="L498023" s="472"/>
      <c r="M498023" s="472"/>
    </row>
    <row r="498095" spans="12:13" x14ac:dyDescent="0.25">
      <c r="L498095" s="472"/>
      <c r="M498095" s="472"/>
    </row>
    <row r="498096" spans="12:13" x14ac:dyDescent="0.25">
      <c r="L498096" s="472"/>
      <c r="M498096" s="472"/>
    </row>
    <row r="498097" spans="12:13" x14ac:dyDescent="0.25">
      <c r="L498097" s="472"/>
      <c r="M498097" s="472"/>
    </row>
    <row r="498169" spans="12:13" x14ac:dyDescent="0.25">
      <c r="L498169" s="472"/>
      <c r="M498169" s="472"/>
    </row>
    <row r="498170" spans="12:13" x14ac:dyDescent="0.25">
      <c r="L498170" s="472"/>
      <c r="M498170" s="472"/>
    </row>
    <row r="498171" spans="12:13" x14ac:dyDescent="0.25">
      <c r="L498171" s="472"/>
      <c r="M498171" s="472"/>
    </row>
    <row r="498243" spans="12:13" x14ac:dyDescent="0.25">
      <c r="L498243" s="472"/>
      <c r="M498243" s="472"/>
    </row>
    <row r="498244" spans="12:13" x14ac:dyDescent="0.25">
      <c r="L498244" s="472"/>
      <c r="M498244" s="472"/>
    </row>
    <row r="498245" spans="12:13" x14ac:dyDescent="0.25">
      <c r="L498245" s="472"/>
      <c r="M498245" s="472"/>
    </row>
    <row r="498317" spans="12:13" x14ac:dyDescent="0.25">
      <c r="L498317" s="472"/>
      <c r="M498317" s="472"/>
    </row>
    <row r="498318" spans="12:13" x14ac:dyDescent="0.25">
      <c r="L498318" s="472"/>
      <c r="M498318" s="472"/>
    </row>
    <row r="498319" spans="12:13" x14ac:dyDescent="0.25">
      <c r="L498319" s="472"/>
      <c r="M498319" s="472"/>
    </row>
    <row r="498391" spans="12:13" x14ac:dyDescent="0.25">
      <c r="L498391" s="472"/>
      <c r="M498391" s="472"/>
    </row>
    <row r="498392" spans="12:13" x14ac:dyDescent="0.25">
      <c r="L498392" s="472"/>
      <c r="M498392" s="472"/>
    </row>
    <row r="498393" spans="12:13" x14ac:dyDescent="0.25">
      <c r="L498393" s="472"/>
      <c r="M498393" s="472"/>
    </row>
    <row r="498465" spans="12:13" x14ac:dyDescent="0.25">
      <c r="L498465" s="472"/>
      <c r="M498465" s="472"/>
    </row>
    <row r="498466" spans="12:13" x14ac:dyDescent="0.25">
      <c r="L498466" s="472"/>
      <c r="M498466" s="472"/>
    </row>
    <row r="498467" spans="12:13" x14ac:dyDescent="0.25">
      <c r="L498467" s="472"/>
      <c r="M498467" s="472"/>
    </row>
    <row r="498539" spans="12:13" x14ac:dyDescent="0.25">
      <c r="L498539" s="472"/>
      <c r="M498539" s="472"/>
    </row>
    <row r="498540" spans="12:13" x14ac:dyDescent="0.25">
      <c r="L498540" s="472"/>
      <c r="M498540" s="472"/>
    </row>
    <row r="498541" spans="12:13" x14ac:dyDescent="0.25">
      <c r="L498541" s="472"/>
      <c r="M498541" s="472"/>
    </row>
    <row r="498613" spans="12:13" x14ac:dyDescent="0.25">
      <c r="L498613" s="472"/>
      <c r="M498613" s="472"/>
    </row>
    <row r="498614" spans="12:13" x14ac:dyDescent="0.25">
      <c r="L498614" s="472"/>
      <c r="M498614" s="472"/>
    </row>
    <row r="498615" spans="12:13" x14ac:dyDescent="0.25">
      <c r="L498615" s="472"/>
      <c r="M498615" s="472"/>
    </row>
    <row r="498687" spans="12:13" x14ac:dyDescent="0.25">
      <c r="L498687" s="472"/>
      <c r="M498687" s="472"/>
    </row>
    <row r="498688" spans="12:13" x14ac:dyDescent="0.25">
      <c r="L498688" s="472"/>
      <c r="M498688" s="472"/>
    </row>
    <row r="498689" spans="12:13" x14ac:dyDescent="0.25">
      <c r="L498689" s="472"/>
      <c r="M498689" s="472"/>
    </row>
    <row r="498761" spans="12:13" x14ac:dyDescent="0.25">
      <c r="L498761" s="472"/>
      <c r="M498761" s="472"/>
    </row>
    <row r="498762" spans="12:13" x14ac:dyDescent="0.25">
      <c r="L498762" s="472"/>
      <c r="M498762" s="472"/>
    </row>
    <row r="498763" spans="12:13" x14ac:dyDescent="0.25">
      <c r="L498763" s="472"/>
      <c r="M498763" s="472"/>
    </row>
    <row r="498835" spans="12:13" x14ac:dyDescent="0.25">
      <c r="L498835" s="472"/>
      <c r="M498835" s="472"/>
    </row>
    <row r="498836" spans="12:13" x14ac:dyDescent="0.25">
      <c r="L498836" s="472"/>
      <c r="M498836" s="472"/>
    </row>
    <row r="498837" spans="12:13" x14ac:dyDescent="0.25">
      <c r="L498837" s="472"/>
      <c r="M498837" s="472"/>
    </row>
    <row r="498909" spans="12:13" x14ac:dyDescent="0.25">
      <c r="L498909" s="472"/>
      <c r="M498909" s="472"/>
    </row>
    <row r="498910" spans="12:13" x14ac:dyDescent="0.25">
      <c r="L498910" s="472"/>
      <c r="M498910" s="472"/>
    </row>
    <row r="498911" spans="12:13" x14ac:dyDescent="0.25">
      <c r="L498911" s="472"/>
      <c r="M498911" s="472"/>
    </row>
    <row r="498983" spans="12:13" x14ac:dyDescent="0.25">
      <c r="L498983" s="472"/>
      <c r="M498983" s="472"/>
    </row>
    <row r="498984" spans="12:13" x14ac:dyDescent="0.25">
      <c r="L498984" s="472"/>
      <c r="M498984" s="472"/>
    </row>
    <row r="498985" spans="12:13" x14ac:dyDescent="0.25">
      <c r="L498985" s="472"/>
      <c r="M498985" s="472"/>
    </row>
    <row r="499057" spans="12:13" x14ac:dyDescent="0.25">
      <c r="L499057" s="472"/>
      <c r="M499057" s="472"/>
    </row>
    <row r="499058" spans="12:13" x14ac:dyDescent="0.25">
      <c r="L499058" s="472"/>
      <c r="M499058" s="472"/>
    </row>
    <row r="499059" spans="12:13" x14ac:dyDescent="0.25">
      <c r="L499059" s="472"/>
      <c r="M499059" s="472"/>
    </row>
    <row r="499131" spans="12:13" x14ac:dyDescent="0.25">
      <c r="L499131" s="472"/>
      <c r="M499131" s="472"/>
    </row>
    <row r="499132" spans="12:13" x14ac:dyDescent="0.25">
      <c r="L499132" s="472"/>
      <c r="M499132" s="472"/>
    </row>
    <row r="499133" spans="12:13" x14ac:dyDescent="0.25">
      <c r="L499133" s="472"/>
      <c r="M499133" s="472"/>
    </row>
    <row r="499205" spans="12:13" x14ac:dyDescent="0.25">
      <c r="L499205" s="472"/>
      <c r="M499205" s="472"/>
    </row>
    <row r="499206" spans="12:13" x14ac:dyDescent="0.25">
      <c r="L499206" s="472"/>
      <c r="M499206" s="472"/>
    </row>
    <row r="499207" spans="12:13" x14ac:dyDescent="0.25">
      <c r="L499207" s="472"/>
      <c r="M499207" s="472"/>
    </row>
    <row r="499279" spans="12:13" x14ac:dyDescent="0.25">
      <c r="L499279" s="472"/>
      <c r="M499279" s="472"/>
    </row>
    <row r="499280" spans="12:13" x14ac:dyDescent="0.25">
      <c r="L499280" s="472"/>
      <c r="M499280" s="472"/>
    </row>
    <row r="499281" spans="12:13" x14ac:dyDescent="0.25">
      <c r="L499281" s="472"/>
      <c r="M499281" s="472"/>
    </row>
    <row r="499353" spans="12:13" x14ac:dyDescent="0.25">
      <c r="L499353" s="472"/>
      <c r="M499353" s="472"/>
    </row>
    <row r="499354" spans="12:13" x14ac:dyDescent="0.25">
      <c r="L499354" s="472"/>
      <c r="M499354" s="472"/>
    </row>
    <row r="499355" spans="12:13" x14ac:dyDescent="0.25">
      <c r="L499355" s="472"/>
      <c r="M499355" s="472"/>
    </row>
    <row r="499427" spans="12:13" x14ac:dyDescent="0.25">
      <c r="L499427" s="472"/>
      <c r="M499427" s="472"/>
    </row>
    <row r="499428" spans="12:13" x14ac:dyDescent="0.25">
      <c r="L499428" s="472"/>
      <c r="M499428" s="472"/>
    </row>
    <row r="499429" spans="12:13" x14ac:dyDescent="0.25">
      <c r="L499429" s="472"/>
      <c r="M499429" s="472"/>
    </row>
    <row r="499501" spans="12:13" x14ac:dyDescent="0.25">
      <c r="L499501" s="472"/>
      <c r="M499501" s="472"/>
    </row>
    <row r="499502" spans="12:13" x14ac:dyDescent="0.25">
      <c r="L499502" s="472"/>
      <c r="M499502" s="472"/>
    </row>
    <row r="499503" spans="12:13" x14ac:dyDescent="0.25">
      <c r="L499503" s="472"/>
      <c r="M499503" s="472"/>
    </row>
    <row r="499575" spans="12:13" x14ac:dyDescent="0.25">
      <c r="L499575" s="472"/>
      <c r="M499575" s="472"/>
    </row>
    <row r="499576" spans="12:13" x14ac:dyDescent="0.25">
      <c r="L499576" s="472"/>
      <c r="M499576" s="472"/>
    </row>
    <row r="499577" spans="12:13" x14ac:dyDescent="0.25">
      <c r="L499577" s="472"/>
      <c r="M499577" s="472"/>
    </row>
    <row r="499649" spans="12:13" x14ac:dyDescent="0.25">
      <c r="L499649" s="472"/>
      <c r="M499649" s="472"/>
    </row>
    <row r="499650" spans="12:13" x14ac:dyDescent="0.25">
      <c r="L499650" s="472"/>
      <c r="M499650" s="472"/>
    </row>
    <row r="499651" spans="12:13" x14ac:dyDescent="0.25">
      <c r="L499651" s="472"/>
      <c r="M499651" s="472"/>
    </row>
    <row r="499723" spans="12:13" x14ac:dyDescent="0.25">
      <c r="L499723" s="472"/>
      <c r="M499723" s="472"/>
    </row>
    <row r="499724" spans="12:13" x14ac:dyDescent="0.25">
      <c r="L499724" s="472"/>
      <c r="M499724" s="472"/>
    </row>
    <row r="499725" spans="12:13" x14ac:dyDescent="0.25">
      <c r="L499725" s="472"/>
      <c r="M499725" s="472"/>
    </row>
    <row r="499797" spans="12:13" x14ac:dyDescent="0.25">
      <c r="L499797" s="472"/>
      <c r="M499797" s="472"/>
    </row>
    <row r="499798" spans="12:13" x14ac:dyDescent="0.25">
      <c r="L499798" s="472"/>
      <c r="M499798" s="472"/>
    </row>
    <row r="499799" spans="12:13" x14ac:dyDescent="0.25">
      <c r="L499799" s="472"/>
      <c r="M499799" s="472"/>
    </row>
    <row r="499871" spans="12:13" x14ac:dyDescent="0.25">
      <c r="L499871" s="472"/>
      <c r="M499871" s="472"/>
    </row>
    <row r="499872" spans="12:13" x14ac:dyDescent="0.25">
      <c r="L499872" s="472"/>
      <c r="M499872" s="472"/>
    </row>
    <row r="499873" spans="12:13" x14ac:dyDescent="0.25">
      <c r="L499873" s="472"/>
      <c r="M499873" s="472"/>
    </row>
    <row r="499945" spans="12:13" x14ac:dyDescent="0.25">
      <c r="L499945" s="472"/>
      <c r="M499945" s="472"/>
    </row>
    <row r="499946" spans="12:13" x14ac:dyDescent="0.25">
      <c r="L499946" s="472"/>
      <c r="M499946" s="472"/>
    </row>
    <row r="499947" spans="12:13" x14ac:dyDescent="0.25">
      <c r="L499947" s="472"/>
      <c r="M499947" s="472"/>
    </row>
    <row r="500019" spans="12:13" x14ac:dyDescent="0.25">
      <c r="L500019" s="472"/>
      <c r="M500019" s="472"/>
    </row>
    <row r="500020" spans="12:13" x14ac:dyDescent="0.25">
      <c r="L500020" s="472"/>
      <c r="M500020" s="472"/>
    </row>
    <row r="500021" spans="12:13" x14ac:dyDescent="0.25">
      <c r="L500021" s="472"/>
      <c r="M500021" s="472"/>
    </row>
    <row r="500093" spans="12:13" x14ac:dyDescent="0.25">
      <c r="L500093" s="472"/>
      <c r="M500093" s="472"/>
    </row>
    <row r="500094" spans="12:13" x14ac:dyDescent="0.25">
      <c r="L500094" s="472"/>
      <c r="M500094" s="472"/>
    </row>
    <row r="500095" spans="12:13" x14ac:dyDescent="0.25">
      <c r="L500095" s="472"/>
      <c r="M500095" s="472"/>
    </row>
    <row r="500167" spans="12:13" x14ac:dyDescent="0.25">
      <c r="L500167" s="472"/>
      <c r="M500167" s="472"/>
    </row>
    <row r="500168" spans="12:13" x14ac:dyDescent="0.25">
      <c r="L500168" s="472"/>
      <c r="M500168" s="472"/>
    </row>
    <row r="500169" spans="12:13" x14ac:dyDescent="0.25">
      <c r="L500169" s="472"/>
      <c r="M500169" s="472"/>
    </row>
    <row r="500241" spans="12:13" x14ac:dyDescent="0.25">
      <c r="L500241" s="472"/>
      <c r="M500241" s="472"/>
    </row>
    <row r="500242" spans="12:13" x14ac:dyDescent="0.25">
      <c r="L500242" s="472"/>
      <c r="M500242" s="472"/>
    </row>
    <row r="500243" spans="12:13" x14ac:dyDescent="0.25">
      <c r="L500243" s="472"/>
      <c r="M500243" s="472"/>
    </row>
    <row r="500315" spans="12:13" x14ac:dyDescent="0.25">
      <c r="L500315" s="472"/>
      <c r="M500315" s="472"/>
    </row>
    <row r="500316" spans="12:13" x14ac:dyDescent="0.25">
      <c r="L500316" s="472"/>
      <c r="M500316" s="472"/>
    </row>
    <row r="500317" spans="12:13" x14ac:dyDescent="0.25">
      <c r="L500317" s="472"/>
      <c r="M500317" s="472"/>
    </row>
    <row r="500389" spans="12:13" x14ac:dyDescent="0.25">
      <c r="L500389" s="472"/>
      <c r="M500389" s="472"/>
    </row>
    <row r="500390" spans="12:13" x14ac:dyDescent="0.25">
      <c r="L500390" s="472"/>
      <c r="M500390" s="472"/>
    </row>
    <row r="500391" spans="12:13" x14ac:dyDescent="0.25">
      <c r="L500391" s="472"/>
      <c r="M500391" s="472"/>
    </row>
    <row r="500463" spans="12:13" x14ac:dyDescent="0.25">
      <c r="L500463" s="472"/>
      <c r="M500463" s="472"/>
    </row>
    <row r="500464" spans="12:13" x14ac:dyDescent="0.25">
      <c r="L500464" s="472"/>
      <c r="M500464" s="472"/>
    </row>
    <row r="500465" spans="12:13" x14ac:dyDescent="0.25">
      <c r="L500465" s="472"/>
      <c r="M500465" s="472"/>
    </row>
    <row r="500537" spans="12:13" x14ac:dyDescent="0.25">
      <c r="L500537" s="472"/>
      <c r="M500537" s="472"/>
    </row>
    <row r="500538" spans="12:13" x14ac:dyDescent="0.25">
      <c r="L500538" s="472"/>
      <c r="M500538" s="472"/>
    </row>
    <row r="500539" spans="12:13" x14ac:dyDescent="0.25">
      <c r="L500539" s="472"/>
      <c r="M500539" s="472"/>
    </row>
    <row r="500611" spans="12:13" x14ac:dyDescent="0.25">
      <c r="L500611" s="472"/>
      <c r="M500611" s="472"/>
    </row>
    <row r="500612" spans="12:13" x14ac:dyDescent="0.25">
      <c r="L500612" s="472"/>
      <c r="M500612" s="472"/>
    </row>
    <row r="500613" spans="12:13" x14ac:dyDescent="0.25">
      <c r="L500613" s="472"/>
      <c r="M500613" s="472"/>
    </row>
    <row r="500685" spans="12:13" x14ac:dyDescent="0.25">
      <c r="L500685" s="472"/>
      <c r="M500685" s="472"/>
    </row>
    <row r="500686" spans="12:13" x14ac:dyDescent="0.25">
      <c r="L500686" s="472"/>
      <c r="M500686" s="472"/>
    </row>
    <row r="500687" spans="12:13" x14ac:dyDescent="0.25">
      <c r="L500687" s="472"/>
      <c r="M500687" s="472"/>
    </row>
    <row r="500759" spans="12:13" x14ac:dyDescent="0.25">
      <c r="L500759" s="472"/>
      <c r="M500759" s="472"/>
    </row>
    <row r="500760" spans="12:13" x14ac:dyDescent="0.25">
      <c r="L500760" s="472"/>
      <c r="M500760" s="472"/>
    </row>
    <row r="500761" spans="12:13" x14ac:dyDescent="0.25">
      <c r="L500761" s="472"/>
      <c r="M500761" s="472"/>
    </row>
    <row r="500833" spans="12:13" x14ac:dyDescent="0.25">
      <c r="L500833" s="472"/>
      <c r="M500833" s="472"/>
    </row>
    <row r="500834" spans="12:13" x14ac:dyDescent="0.25">
      <c r="L500834" s="472"/>
      <c r="M500834" s="472"/>
    </row>
    <row r="500835" spans="12:13" x14ac:dyDescent="0.25">
      <c r="L500835" s="472"/>
      <c r="M500835" s="472"/>
    </row>
    <row r="500907" spans="12:13" x14ac:dyDescent="0.25">
      <c r="L500907" s="472"/>
      <c r="M500907" s="472"/>
    </row>
    <row r="500908" spans="12:13" x14ac:dyDescent="0.25">
      <c r="L500908" s="472"/>
      <c r="M500908" s="472"/>
    </row>
    <row r="500909" spans="12:13" x14ac:dyDescent="0.25">
      <c r="L500909" s="472"/>
      <c r="M500909" s="472"/>
    </row>
    <row r="500981" spans="12:13" x14ac:dyDescent="0.25">
      <c r="L500981" s="472"/>
      <c r="M500981" s="472"/>
    </row>
    <row r="500982" spans="12:13" x14ac:dyDescent="0.25">
      <c r="L500982" s="472"/>
      <c r="M500982" s="472"/>
    </row>
    <row r="500983" spans="12:13" x14ac:dyDescent="0.25">
      <c r="L500983" s="472"/>
      <c r="M500983" s="472"/>
    </row>
    <row r="501055" spans="12:13" x14ac:dyDescent="0.25">
      <c r="L501055" s="472"/>
      <c r="M501055" s="472"/>
    </row>
    <row r="501056" spans="12:13" x14ac:dyDescent="0.25">
      <c r="L501056" s="472"/>
      <c r="M501056" s="472"/>
    </row>
    <row r="501057" spans="12:13" x14ac:dyDescent="0.25">
      <c r="L501057" s="472"/>
      <c r="M501057" s="472"/>
    </row>
    <row r="501129" spans="12:13" x14ac:dyDescent="0.25">
      <c r="L501129" s="472"/>
      <c r="M501129" s="472"/>
    </row>
    <row r="501130" spans="12:13" x14ac:dyDescent="0.25">
      <c r="L501130" s="472"/>
      <c r="M501130" s="472"/>
    </row>
    <row r="501131" spans="12:13" x14ac:dyDescent="0.25">
      <c r="L501131" s="472"/>
      <c r="M501131" s="472"/>
    </row>
    <row r="501203" spans="12:13" x14ac:dyDescent="0.25">
      <c r="L501203" s="472"/>
      <c r="M501203" s="472"/>
    </row>
    <row r="501204" spans="12:13" x14ac:dyDescent="0.25">
      <c r="L501204" s="472"/>
      <c r="M501204" s="472"/>
    </row>
    <row r="501205" spans="12:13" x14ac:dyDescent="0.25">
      <c r="L501205" s="472"/>
      <c r="M501205" s="472"/>
    </row>
    <row r="501277" spans="12:13" x14ac:dyDescent="0.25">
      <c r="L501277" s="472"/>
      <c r="M501277" s="472"/>
    </row>
    <row r="501278" spans="12:13" x14ac:dyDescent="0.25">
      <c r="L501278" s="472"/>
      <c r="M501278" s="472"/>
    </row>
    <row r="501279" spans="12:13" x14ac:dyDescent="0.25">
      <c r="L501279" s="472"/>
      <c r="M501279" s="472"/>
    </row>
    <row r="501351" spans="12:13" x14ac:dyDescent="0.25">
      <c r="L501351" s="472"/>
      <c r="M501351" s="472"/>
    </row>
    <row r="501352" spans="12:13" x14ac:dyDescent="0.25">
      <c r="L501352" s="472"/>
      <c r="M501352" s="472"/>
    </row>
    <row r="501353" spans="12:13" x14ac:dyDescent="0.25">
      <c r="L501353" s="472"/>
      <c r="M501353" s="472"/>
    </row>
    <row r="501425" spans="12:13" x14ac:dyDescent="0.25">
      <c r="L501425" s="472"/>
      <c r="M501425" s="472"/>
    </row>
    <row r="501426" spans="12:13" x14ac:dyDescent="0.25">
      <c r="L501426" s="472"/>
      <c r="M501426" s="472"/>
    </row>
    <row r="501427" spans="12:13" x14ac:dyDescent="0.25">
      <c r="L501427" s="472"/>
      <c r="M501427" s="472"/>
    </row>
    <row r="501499" spans="12:13" x14ac:dyDescent="0.25">
      <c r="L501499" s="472"/>
      <c r="M501499" s="472"/>
    </row>
    <row r="501500" spans="12:13" x14ac:dyDescent="0.25">
      <c r="L501500" s="472"/>
      <c r="M501500" s="472"/>
    </row>
    <row r="501501" spans="12:13" x14ac:dyDescent="0.25">
      <c r="L501501" s="472"/>
      <c r="M501501" s="472"/>
    </row>
    <row r="501573" spans="12:13" x14ac:dyDescent="0.25">
      <c r="L501573" s="472"/>
      <c r="M501573" s="472"/>
    </row>
    <row r="501574" spans="12:13" x14ac:dyDescent="0.25">
      <c r="L501574" s="472"/>
      <c r="M501574" s="472"/>
    </row>
    <row r="501575" spans="12:13" x14ac:dyDescent="0.25">
      <c r="L501575" s="472"/>
      <c r="M501575" s="472"/>
    </row>
    <row r="501647" spans="12:13" x14ac:dyDescent="0.25">
      <c r="L501647" s="472"/>
      <c r="M501647" s="472"/>
    </row>
    <row r="501648" spans="12:13" x14ac:dyDescent="0.25">
      <c r="L501648" s="472"/>
      <c r="M501648" s="472"/>
    </row>
    <row r="501649" spans="12:13" x14ac:dyDescent="0.25">
      <c r="L501649" s="472"/>
      <c r="M501649" s="472"/>
    </row>
    <row r="501721" spans="12:13" x14ac:dyDescent="0.25">
      <c r="L501721" s="472"/>
      <c r="M501721" s="472"/>
    </row>
    <row r="501722" spans="12:13" x14ac:dyDescent="0.25">
      <c r="L501722" s="472"/>
      <c r="M501722" s="472"/>
    </row>
    <row r="501723" spans="12:13" x14ac:dyDescent="0.25">
      <c r="L501723" s="472"/>
      <c r="M501723" s="472"/>
    </row>
    <row r="501795" spans="12:13" x14ac:dyDescent="0.25">
      <c r="L501795" s="472"/>
      <c r="M501795" s="472"/>
    </row>
    <row r="501796" spans="12:13" x14ac:dyDescent="0.25">
      <c r="L501796" s="472"/>
      <c r="M501796" s="472"/>
    </row>
    <row r="501797" spans="12:13" x14ac:dyDescent="0.25">
      <c r="L501797" s="472"/>
      <c r="M501797" s="472"/>
    </row>
    <row r="501869" spans="12:13" x14ac:dyDescent="0.25">
      <c r="L501869" s="472"/>
      <c r="M501869" s="472"/>
    </row>
    <row r="501870" spans="12:13" x14ac:dyDescent="0.25">
      <c r="L501870" s="472"/>
      <c r="M501870" s="472"/>
    </row>
    <row r="501871" spans="12:13" x14ac:dyDescent="0.25">
      <c r="L501871" s="472"/>
      <c r="M501871" s="472"/>
    </row>
    <row r="501943" spans="12:13" x14ac:dyDescent="0.25">
      <c r="L501943" s="472"/>
      <c r="M501943" s="472"/>
    </row>
    <row r="501944" spans="12:13" x14ac:dyDescent="0.25">
      <c r="L501944" s="472"/>
      <c r="M501944" s="472"/>
    </row>
    <row r="501945" spans="12:13" x14ac:dyDescent="0.25">
      <c r="L501945" s="472"/>
      <c r="M501945" s="472"/>
    </row>
    <row r="502017" spans="12:13" x14ac:dyDescent="0.25">
      <c r="L502017" s="472"/>
      <c r="M502017" s="472"/>
    </row>
    <row r="502018" spans="12:13" x14ac:dyDescent="0.25">
      <c r="L502018" s="472"/>
      <c r="M502018" s="472"/>
    </row>
    <row r="502019" spans="12:13" x14ac:dyDescent="0.25">
      <c r="L502019" s="472"/>
      <c r="M502019" s="472"/>
    </row>
    <row r="502091" spans="12:13" x14ac:dyDescent="0.25">
      <c r="L502091" s="472"/>
      <c r="M502091" s="472"/>
    </row>
    <row r="502092" spans="12:13" x14ac:dyDescent="0.25">
      <c r="L502092" s="472"/>
      <c r="M502092" s="472"/>
    </row>
    <row r="502093" spans="12:13" x14ac:dyDescent="0.25">
      <c r="L502093" s="472"/>
      <c r="M502093" s="472"/>
    </row>
    <row r="502165" spans="12:13" x14ac:dyDescent="0.25">
      <c r="L502165" s="472"/>
      <c r="M502165" s="472"/>
    </row>
    <row r="502166" spans="12:13" x14ac:dyDescent="0.25">
      <c r="L502166" s="472"/>
      <c r="M502166" s="472"/>
    </row>
    <row r="502167" spans="12:13" x14ac:dyDescent="0.25">
      <c r="L502167" s="472"/>
      <c r="M502167" s="472"/>
    </row>
    <row r="502239" spans="12:13" x14ac:dyDescent="0.25">
      <c r="L502239" s="472"/>
      <c r="M502239" s="472"/>
    </row>
    <row r="502240" spans="12:13" x14ac:dyDescent="0.25">
      <c r="L502240" s="472"/>
      <c r="M502240" s="472"/>
    </row>
    <row r="502241" spans="12:13" x14ac:dyDescent="0.25">
      <c r="L502241" s="472"/>
      <c r="M502241" s="472"/>
    </row>
    <row r="502313" spans="12:13" x14ac:dyDescent="0.25">
      <c r="L502313" s="472"/>
      <c r="M502313" s="472"/>
    </row>
    <row r="502314" spans="12:13" x14ac:dyDescent="0.25">
      <c r="L502314" s="472"/>
      <c r="M502314" s="472"/>
    </row>
    <row r="502315" spans="12:13" x14ac:dyDescent="0.25">
      <c r="L502315" s="472"/>
      <c r="M502315" s="472"/>
    </row>
    <row r="502387" spans="12:13" x14ac:dyDescent="0.25">
      <c r="L502387" s="472"/>
      <c r="M502387" s="472"/>
    </row>
    <row r="502388" spans="12:13" x14ac:dyDescent="0.25">
      <c r="L502388" s="472"/>
      <c r="M502388" s="472"/>
    </row>
    <row r="502389" spans="12:13" x14ac:dyDescent="0.25">
      <c r="L502389" s="472"/>
      <c r="M502389" s="472"/>
    </row>
    <row r="502461" spans="12:13" x14ac:dyDescent="0.25">
      <c r="L502461" s="472"/>
      <c r="M502461" s="472"/>
    </row>
    <row r="502462" spans="12:13" x14ac:dyDescent="0.25">
      <c r="L502462" s="472"/>
      <c r="M502462" s="472"/>
    </row>
    <row r="502463" spans="12:13" x14ac:dyDescent="0.25">
      <c r="L502463" s="472"/>
      <c r="M502463" s="472"/>
    </row>
    <row r="502535" spans="12:13" x14ac:dyDescent="0.25">
      <c r="L502535" s="472"/>
      <c r="M502535" s="472"/>
    </row>
    <row r="502536" spans="12:13" x14ac:dyDescent="0.25">
      <c r="L502536" s="472"/>
      <c r="M502536" s="472"/>
    </row>
    <row r="502537" spans="12:13" x14ac:dyDescent="0.25">
      <c r="L502537" s="472"/>
      <c r="M502537" s="472"/>
    </row>
    <row r="502609" spans="12:13" x14ac:dyDescent="0.25">
      <c r="L502609" s="472"/>
      <c r="M502609" s="472"/>
    </row>
    <row r="502610" spans="12:13" x14ac:dyDescent="0.25">
      <c r="L502610" s="472"/>
      <c r="M502610" s="472"/>
    </row>
    <row r="502611" spans="12:13" x14ac:dyDescent="0.25">
      <c r="L502611" s="472"/>
      <c r="M502611" s="472"/>
    </row>
    <row r="502683" spans="12:13" x14ac:dyDescent="0.25">
      <c r="L502683" s="472"/>
      <c r="M502683" s="472"/>
    </row>
    <row r="502684" spans="12:13" x14ac:dyDescent="0.25">
      <c r="L502684" s="472"/>
      <c r="M502684" s="472"/>
    </row>
    <row r="502685" spans="12:13" x14ac:dyDescent="0.25">
      <c r="L502685" s="472"/>
      <c r="M502685" s="472"/>
    </row>
    <row r="502757" spans="12:13" x14ac:dyDescent="0.25">
      <c r="L502757" s="472"/>
      <c r="M502757" s="472"/>
    </row>
    <row r="502758" spans="12:13" x14ac:dyDescent="0.25">
      <c r="L502758" s="472"/>
      <c r="M502758" s="472"/>
    </row>
    <row r="502759" spans="12:13" x14ac:dyDescent="0.25">
      <c r="L502759" s="472"/>
      <c r="M502759" s="472"/>
    </row>
    <row r="502831" spans="12:13" x14ac:dyDescent="0.25">
      <c r="L502831" s="472"/>
      <c r="M502831" s="472"/>
    </row>
    <row r="502832" spans="12:13" x14ac:dyDescent="0.25">
      <c r="L502832" s="472"/>
      <c r="M502832" s="472"/>
    </row>
    <row r="502833" spans="12:13" x14ac:dyDescent="0.25">
      <c r="L502833" s="472"/>
      <c r="M502833" s="472"/>
    </row>
    <row r="502905" spans="12:13" x14ac:dyDescent="0.25">
      <c r="L502905" s="472"/>
      <c r="M502905" s="472"/>
    </row>
    <row r="502906" spans="12:13" x14ac:dyDescent="0.25">
      <c r="L502906" s="472"/>
      <c r="M502906" s="472"/>
    </row>
    <row r="502907" spans="12:13" x14ac:dyDescent="0.25">
      <c r="L502907" s="472"/>
      <c r="M502907" s="472"/>
    </row>
    <row r="502979" spans="12:13" x14ac:dyDescent="0.25">
      <c r="L502979" s="472"/>
      <c r="M502979" s="472"/>
    </row>
    <row r="502980" spans="12:13" x14ac:dyDescent="0.25">
      <c r="L502980" s="472"/>
      <c r="M502980" s="472"/>
    </row>
    <row r="502981" spans="12:13" x14ac:dyDescent="0.25">
      <c r="L502981" s="472"/>
      <c r="M502981" s="472"/>
    </row>
    <row r="503053" spans="12:13" x14ac:dyDescent="0.25">
      <c r="L503053" s="472"/>
      <c r="M503053" s="472"/>
    </row>
    <row r="503054" spans="12:13" x14ac:dyDescent="0.25">
      <c r="L503054" s="472"/>
      <c r="M503054" s="472"/>
    </row>
    <row r="503055" spans="12:13" x14ac:dyDescent="0.25">
      <c r="L503055" s="472"/>
      <c r="M503055" s="472"/>
    </row>
    <row r="503127" spans="12:13" x14ac:dyDescent="0.25">
      <c r="L503127" s="472"/>
      <c r="M503127" s="472"/>
    </row>
    <row r="503128" spans="12:13" x14ac:dyDescent="0.25">
      <c r="L503128" s="472"/>
      <c r="M503128" s="472"/>
    </row>
    <row r="503129" spans="12:13" x14ac:dyDescent="0.25">
      <c r="L503129" s="472"/>
      <c r="M503129" s="472"/>
    </row>
    <row r="503201" spans="12:13" x14ac:dyDescent="0.25">
      <c r="L503201" s="472"/>
      <c r="M503201" s="472"/>
    </row>
    <row r="503202" spans="12:13" x14ac:dyDescent="0.25">
      <c r="L503202" s="472"/>
      <c r="M503202" s="472"/>
    </row>
    <row r="503203" spans="12:13" x14ac:dyDescent="0.25">
      <c r="L503203" s="472"/>
      <c r="M503203" s="472"/>
    </row>
    <row r="503275" spans="12:13" x14ac:dyDescent="0.25">
      <c r="L503275" s="472"/>
      <c r="M503275" s="472"/>
    </row>
    <row r="503276" spans="12:13" x14ac:dyDescent="0.25">
      <c r="L503276" s="472"/>
      <c r="M503276" s="472"/>
    </row>
    <row r="503277" spans="12:13" x14ac:dyDescent="0.25">
      <c r="L503277" s="472"/>
      <c r="M503277" s="472"/>
    </row>
    <row r="503349" spans="12:13" x14ac:dyDescent="0.25">
      <c r="L503349" s="472"/>
      <c r="M503349" s="472"/>
    </row>
    <row r="503350" spans="12:13" x14ac:dyDescent="0.25">
      <c r="L503350" s="472"/>
      <c r="M503350" s="472"/>
    </row>
    <row r="503351" spans="12:13" x14ac:dyDescent="0.25">
      <c r="L503351" s="472"/>
      <c r="M503351" s="472"/>
    </row>
    <row r="503423" spans="12:13" x14ac:dyDescent="0.25">
      <c r="L503423" s="472"/>
      <c r="M503423" s="472"/>
    </row>
    <row r="503424" spans="12:13" x14ac:dyDescent="0.25">
      <c r="L503424" s="472"/>
      <c r="M503424" s="472"/>
    </row>
    <row r="503425" spans="12:13" x14ac:dyDescent="0.25">
      <c r="L503425" s="472"/>
      <c r="M503425" s="472"/>
    </row>
    <row r="503497" spans="12:13" x14ac:dyDescent="0.25">
      <c r="L503497" s="472"/>
      <c r="M503497" s="472"/>
    </row>
    <row r="503498" spans="12:13" x14ac:dyDescent="0.25">
      <c r="L503498" s="472"/>
      <c r="M503498" s="472"/>
    </row>
    <row r="503499" spans="12:13" x14ac:dyDescent="0.25">
      <c r="L503499" s="472"/>
      <c r="M503499" s="472"/>
    </row>
    <row r="503571" spans="12:13" x14ac:dyDescent="0.25">
      <c r="L503571" s="472"/>
      <c r="M503571" s="472"/>
    </row>
    <row r="503572" spans="12:13" x14ac:dyDescent="0.25">
      <c r="L503572" s="472"/>
      <c r="M503572" s="472"/>
    </row>
    <row r="503573" spans="12:13" x14ac:dyDescent="0.25">
      <c r="L503573" s="472"/>
      <c r="M503573" s="472"/>
    </row>
    <row r="503645" spans="12:13" x14ac:dyDescent="0.25">
      <c r="L503645" s="472"/>
      <c r="M503645" s="472"/>
    </row>
    <row r="503646" spans="12:13" x14ac:dyDescent="0.25">
      <c r="L503646" s="472"/>
      <c r="M503646" s="472"/>
    </row>
    <row r="503647" spans="12:13" x14ac:dyDescent="0.25">
      <c r="L503647" s="472"/>
      <c r="M503647" s="472"/>
    </row>
    <row r="503719" spans="12:13" x14ac:dyDescent="0.25">
      <c r="L503719" s="472"/>
      <c r="M503719" s="472"/>
    </row>
    <row r="503720" spans="12:13" x14ac:dyDescent="0.25">
      <c r="L503720" s="472"/>
      <c r="M503720" s="472"/>
    </row>
    <row r="503721" spans="12:13" x14ac:dyDescent="0.25">
      <c r="L503721" s="472"/>
      <c r="M503721" s="472"/>
    </row>
    <row r="503793" spans="12:13" x14ac:dyDescent="0.25">
      <c r="L503793" s="472"/>
      <c r="M503793" s="472"/>
    </row>
    <row r="503794" spans="12:13" x14ac:dyDescent="0.25">
      <c r="L503794" s="472"/>
      <c r="M503794" s="472"/>
    </row>
    <row r="503795" spans="12:13" x14ac:dyDescent="0.25">
      <c r="L503795" s="472"/>
      <c r="M503795" s="472"/>
    </row>
    <row r="503867" spans="12:13" x14ac:dyDescent="0.25">
      <c r="L503867" s="472"/>
      <c r="M503867" s="472"/>
    </row>
    <row r="503868" spans="12:13" x14ac:dyDescent="0.25">
      <c r="L503868" s="472"/>
      <c r="M503868" s="472"/>
    </row>
    <row r="503869" spans="12:13" x14ac:dyDescent="0.25">
      <c r="L503869" s="472"/>
      <c r="M503869" s="472"/>
    </row>
    <row r="503941" spans="12:13" x14ac:dyDescent="0.25">
      <c r="L503941" s="472"/>
      <c r="M503941" s="472"/>
    </row>
    <row r="503942" spans="12:13" x14ac:dyDescent="0.25">
      <c r="L503942" s="472"/>
      <c r="M503942" s="472"/>
    </row>
    <row r="503943" spans="12:13" x14ac:dyDescent="0.25">
      <c r="L503943" s="472"/>
      <c r="M503943" s="472"/>
    </row>
    <row r="504015" spans="12:13" x14ac:dyDescent="0.25">
      <c r="L504015" s="472"/>
      <c r="M504015" s="472"/>
    </row>
    <row r="504016" spans="12:13" x14ac:dyDescent="0.25">
      <c r="L504016" s="472"/>
      <c r="M504016" s="472"/>
    </row>
    <row r="504017" spans="12:13" x14ac:dyDescent="0.25">
      <c r="L504017" s="472"/>
      <c r="M504017" s="472"/>
    </row>
    <row r="504089" spans="12:13" x14ac:dyDescent="0.25">
      <c r="L504089" s="472"/>
      <c r="M504089" s="472"/>
    </row>
    <row r="504090" spans="12:13" x14ac:dyDescent="0.25">
      <c r="L504090" s="472"/>
      <c r="M504090" s="472"/>
    </row>
    <row r="504091" spans="12:13" x14ac:dyDescent="0.25">
      <c r="L504091" s="472"/>
      <c r="M504091" s="472"/>
    </row>
    <row r="504163" spans="12:13" x14ac:dyDescent="0.25">
      <c r="L504163" s="472"/>
      <c r="M504163" s="472"/>
    </row>
    <row r="504164" spans="12:13" x14ac:dyDescent="0.25">
      <c r="L504164" s="472"/>
      <c r="M504164" s="472"/>
    </row>
    <row r="504165" spans="12:13" x14ac:dyDescent="0.25">
      <c r="L504165" s="472"/>
      <c r="M504165" s="472"/>
    </row>
    <row r="504237" spans="12:13" x14ac:dyDescent="0.25">
      <c r="L504237" s="472"/>
      <c r="M504237" s="472"/>
    </row>
    <row r="504238" spans="12:13" x14ac:dyDescent="0.25">
      <c r="L504238" s="472"/>
      <c r="M504238" s="472"/>
    </row>
    <row r="504239" spans="12:13" x14ac:dyDescent="0.25">
      <c r="L504239" s="472"/>
      <c r="M504239" s="472"/>
    </row>
    <row r="504311" spans="12:13" x14ac:dyDescent="0.25">
      <c r="L504311" s="472"/>
      <c r="M504311" s="472"/>
    </row>
    <row r="504312" spans="12:13" x14ac:dyDescent="0.25">
      <c r="L504312" s="472"/>
      <c r="M504312" s="472"/>
    </row>
    <row r="504313" spans="12:13" x14ac:dyDescent="0.25">
      <c r="L504313" s="472"/>
      <c r="M504313" s="472"/>
    </row>
    <row r="504385" spans="12:13" x14ac:dyDescent="0.25">
      <c r="L504385" s="472"/>
      <c r="M504385" s="472"/>
    </row>
    <row r="504386" spans="12:13" x14ac:dyDescent="0.25">
      <c r="L504386" s="472"/>
      <c r="M504386" s="472"/>
    </row>
    <row r="504387" spans="12:13" x14ac:dyDescent="0.25">
      <c r="L504387" s="472"/>
      <c r="M504387" s="472"/>
    </row>
    <row r="504459" spans="12:13" x14ac:dyDescent="0.25">
      <c r="L504459" s="472"/>
      <c r="M504459" s="472"/>
    </row>
    <row r="504460" spans="12:13" x14ac:dyDescent="0.25">
      <c r="L504460" s="472"/>
      <c r="M504460" s="472"/>
    </row>
    <row r="504461" spans="12:13" x14ac:dyDescent="0.25">
      <c r="L504461" s="472"/>
      <c r="M504461" s="472"/>
    </row>
    <row r="504533" spans="12:13" x14ac:dyDescent="0.25">
      <c r="L504533" s="472"/>
      <c r="M504533" s="472"/>
    </row>
    <row r="504534" spans="12:13" x14ac:dyDescent="0.25">
      <c r="L504534" s="472"/>
      <c r="M504534" s="472"/>
    </row>
    <row r="504535" spans="12:13" x14ac:dyDescent="0.25">
      <c r="L504535" s="472"/>
      <c r="M504535" s="472"/>
    </row>
    <row r="504607" spans="12:13" x14ac:dyDescent="0.25">
      <c r="L504607" s="472"/>
      <c r="M504607" s="472"/>
    </row>
    <row r="504608" spans="12:13" x14ac:dyDescent="0.25">
      <c r="L504608" s="472"/>
      <c r="M504608" s="472"/>
    </row>
    <row r="504609" spans="12:13" x14ac:dyDescent="0.25">
      <c r="L504609" s="472"/>
      <c r="M504609" s="472"/>
    </row>
    <row r="504681" spans="12:13" x14ac:dyDescent="0.25">
      <c r="L504681" s="472"/>
      <c r="M504681" s="472"/>
    </row>
    <row r="504682" spans="12:13" x14ac:dyDescent="0.25">
      <c r="L504682" s="472"/>
      <c r="M504682" s="472"/>
    </row>
    <row r="504683" spans="12:13" x14ac:dyDescent="0.25">
      <c r="L504683" s="472"/>
      <c r="M504683" s="472"/>
    </row>
    <row r="504755" spans="12:13" x14ac:dyDescent="0.25">
      <c r="L504755" s="472"/>
      <c r="M504755" s="472"/>
    </row>
    <row r="504756" spans="12:13" x14ac:dyDescent="0.25">
      <c r="L504756" s="472"/>
      <c r="M504756" s="472"/>
    </row>
    <row r="504757" spans="12:13" x14ac:dyDescent="0.25">
      <c r="L504757" s="472"/>
      <c r="M504757" s="472"/>
    </row>
    <row r="504829" spans="12:13" x14ac:dyDescent="0.25">
      <c r="L504829" s="472"/>
      <c r="M504829" s="472"/>
    </row>
    <row r="504830" spans="12:13" x14ac:dyDescent="0.25">
      <c r="L504830" s="472"/>
      <c r="M504830" s="472"/>
    </row>
    <row r="504831" spans="12:13" x14ac:dyDescent="0.25">
      <c r="L504831" s="472"/>
      <c r="M504831" s="472"/>
    </row>
    <row r="504903" spans="12:13" x14ac:dyDescent="0.25">
      <c r="L504903" s="472"/>
      <c r="M504903" s="472"/>
    </row>
    <row r="504904" spans="12:13" x14ac:dyDescent="0.25">
      <c r="L504904" s="472"/>
      <c r="M504904" s="472"/>
    </row>
    <row r="504905" spans="12:13" x14ac:dyDescent="0.25">
      <c r="L504905" s="472"/>
      <c r="M504905" s="472"/>
    </row>
    <row r="504977" spans="12:13" x14ac:dyDescent="0.25">
      <c r="L504977" s="472"/>
      <c r="M504977" s="472"/>
    </row>
    <row r="504978" spans="12:13" x14ac:dyDescent="0.25">
      <c r="L504978" s="472"/>
      <c r="M504978" s="472"/>
    </row>
    <row r="504979" spans="12:13" x14ac:dyDescent="0.25">
      <c r="L504979" s="472"/>
      <c r="M504979" s="472"/>
    </row>
    <row r="505051" spans="12:13" x14ac:dyDescent="0.25">
      <c r="L505051" s="472"/>
      <c r="M505051" s="472"/>
    </row>
    <row r="505052" spans="12:13" x14ac:dyDescent="0.25">
      <c r="L505052" s="472"/>
      <c r="M505052" s="472"/>
    </row>
    <row r="505053" spans="12:13" x14ac:dyDescent="0.25">
      <c r="L505053" s="472"/>
      <c r="M505053" s="472"/>
    </row>
    <row r="505125" spans="12:13" x14ac:dyDescent="0.25">
      <c r="L505125" s="472"/>
      <c r="M505125" s="472"/>
    </row>
    <row r="505126" spans="12:13" x14ac:dyDescent="0.25">
      <c r="L505126" s="472"/>
      <c r="M505126" s="472"/>
    </row>
    <row r="505127" spans="12:13" x14ac:dyDescent="0.25">
      <c r="L505127" s="472"/>
      <c r="M505127" s="472"/>
    </row>
    <row r="505199" spans="12:13" x14ac:dyDescent="0.25">
      <c r="L505199" s="472"/>
      <c r="M505199" s="472"/>
    </row>
    <row r="505200" spans="12:13" x14ac:dyDescent="0.25">
      <c r="L505200" s="472"/>
      <c r="M505200" s="472"/>
    </row>
    <row r="505201" spans="12:13" x14ac:dyDescent="0.25">
      <c r="L505201" s="472"/>
      <c r="M505201" s="472"/>
    </row>
    <row r="505273" spans="12:13" x14ac:dyDescent="0.25">
      <c r="L505273" s="472"/>
      <c r="M505273" s="472"/>
    </row>
    <row r="505274" spans="12:13" x14ac:dyDescent="0.25">
      <c r="L505274" s="472"/>
      <c r="M505274" s="472"/>
    </row>
    <row r="505275" spans="12:13" x14ac:dyDescent="0.25">
      <c r="L505275" s="472"/>
      <c r="M505275" s="472"/>
    </row>
    <row r="505347" spans="12:13" x14ac:dyDescent="0.25">
      <c r="L505347" s="472"/>
      <c r="M505347" s="472"/>
    </row>
    <row r="505348" spans="12:13" x14ac:dyDescent="0.25">
      <c r="L505348" s="472"/>
      <c r="M505348" s="472"/>
    </row>
    <row r="505349" spans="12:13" x14ac:dyDescent="0.25">
      <c r="L505349" s="472"/>
      <c r="M505349" s="472"/>
    </row>
    <row r="505421" spans="12:13" x14ac:dyDescent="0.25">
      <c r="L505421" s="472"/>
      <c r="M505421" s="472"/>
    </row>
    <row r="505422" spans="12:13" x14ac:dyDescent="0.25">
      <c r="L505422" s="472"/>
      <c r="M505422" s="472"/>
    </row>
    <row r="505423" spans="12:13" x14ac:dyDescent="0.25">
      <c r="L505423" s="472"/>
      <c r="M505423" s="472"/>
    </row>
    <row r="505495" spans="12:13" x14ac:dyDescent="0.25">
      <c r="L505495" s="472"/>
      <c r="M505495" s="472"/>
    </row>
    <row r="505496" spans="12:13" x14ac:dyDescent="0.25">
      <c r="L505496" s="472"/>
      <c r="M505496" s="472"/>
    </row>
    <row r="505497" spans="12:13" x14ac:dyDescent="0.25">
      <c r="L505497" s="472"/>
      <c r="M505497" s="472"/>
    </row>
    <row r="505569" spans="12:13" x14ac:dyDescent="0.25">
      <c r="L505569" s="472"/>
      <c r="M505569" s="472"/>
    </row>
    <row r="505570" spans="12:13" x14ac:dyDescent="0.25">
      <c r="L505570" s="472"/>
      <c r="M505570" s="472"/>
    </row>
    <row r="505571" spans="12:13" x14ac:dyDescent="0.25">
      <c r="L505571" s="472"/>
      <c r="M505571" s="472"/>
    </row>
    <row r="505643" spans="12:13" x14ac:dyDescent="0.25">
      <c r="L505643" s="472"/>
      <c r="M505643" s="472"/>
    </row>
    <row r="505644" spans="12:13" x14ac:dyDescent="0.25">
      <c r="L505644" s="472"/>
      <c r="M505644" s="472"/>
    </row>
    <row r="505645" spans="12:13" x14ac:dyDescent="0.25">
      <c r="L505645" s="472"/>
      <c r="M505645" s="472"/>
    </row>
    <row r="505717" spans="12:13" x14ac:dyDescent="0.25">
      <c r="L505717" s="472"/>
      <c r="M505717" s="472"/>
    </row>
    <row r="505718" spans="12:13" x14ac:dyDescent="0.25">
      <c r="L505718" s="472"/>
      <c r="M505718" s="472"/>
    </row>
    <row r="505719" spans="12:13" x14ac:dyDescent="0.25">
      <c r="L505719" s="472"/>
      <c r="M505719" s="472"/>
    </row>
    <row r="505791" spans="12:13" x14ac:dyDescent="0.25">
      <c r="L505791" s="472"/>
      <c r="M505791" s="472"/>
    </row>
    <row r="505792" spans="12:13" x14ac:dyDescent="0.25">
      <c r="L505792" s="472"/>
      <c r="M505792" s="472"/>
    </row>
    <row r="505793" spans="12:13" x14ac:dyDescent="0.25">
      <c r="L505793" s="472"/>
      <c r="M505793" s="472"/>
    </row>
    <row r="505865" spans="12:13" x14ac:dyDescent="0.25">
      <c r="L505865" s="472"/>
      <c r="M505865" s="472"/>
    </row>
    <row r="505866" spans="12:13" x14ac:dyDescent="0.25">
      <c r="L505866" s="472"/>
      <c r="M505866" s="472"/>
    </row>
    <row r="505867" spans="12:13" x14ac:dyDescent="0.25">
      <c r="L505867" s="472"/>
      <c r="M505867" s="472"/>
    </row>
    <row r="505939" spans="12:13" x14ac:dyDescent="0.25">
      <c r="L505939" s="472"/>
      <c r="M505939" s="472"/>
    </row>
    <row r="505940" spans="12:13" x14ac:dyDescent="0.25">
      <c r="L505940" s="472"/>
      <c r="M505940" s="472"/>
    </row>
    <row r="505941" spans="12:13" x14ac:dyDescent="0.25">
      <c r="L505941" s="472"/>
      <c r="M505941" s="472"/>
    </row>
    <row r="506013" spans="12:13" x14ac:dyDescent="0.25">
      <c r="L506013" s="472"/>
      <c r="M506013" s="472"/>
    </row>
    <row r="506014" spans="12:13" x14ac:dyDescent="0.25">
      <c r="L506014" s="472"/>
      <c r="M506014" s="472"/>
    </row>
    <row r="506015" spans="12:13" x14ac:dyDescent="0.25">
      <c r="L506015" s="472"/>
      <c r="M506015" s="472"/>
    </row>
    <row r="506087" spans="12:13" x14ac:dyDescent="0.25">
      <c r="L506087" s="472"/>
      <c r="M506087" s="472"/>
    </row>
    <row r="506088" spans="12:13" x14ac:dyDescent="0.25">
      <c r="L506088" s="472"/>
      <c r="M506088" s="472"/>
    </row>
    <row r="506089" spans="12:13" x14ac:dyDescent="0.25">
      <c r="L506089" s="472"/>
      <c r="M506089" s="472"/>
    </row>
    <row r="506161" spans="12:13" x14ac:dyDescent="0.25">
      <c r="L506161" s="472"/>
      <c r="M506161" s="472"/>
    </row>
    <row r="506162" spans="12:13" x14ac:dyDescent="0.25">
      <c r="L506162" s="472"/>
      <c r="M506162" s="472"/>
    </row>
    <row r="506163" spans="12:13" x14ac:dyDescent="0.25">
      <c r="L506163" s="472"/>
      <c r="M506163" s="472"/>
    </row>
    <row r="506235" spans="12:13" x14ac:dyDescent="0.25">
      <c r="L506235" s="472"/>
      <c r="M506235" s="472"/>
    </row>
    <row r="506236" spans="12:13" x14ac:dyDescent="0.25">
      <c r="L506236" s="472"/>
      <c r="M506236" s="472"/>
    </row>
    <row r="506237" spans="12:13" x14ac:dyDescent="0.25">
      <c r="L506237" s="472"/>
      <c r="M506237" s="472"/>
    </row>
    <row r="506309" spans="12:13" x14ac:dyDescent="0.25">
      <c r="L506309" s="472"/>
      <c r="M506309" s="472"/>
    </row>
    <row r="506310" spans="12:13" x14ac:dyDescent="0.25">
      <c r="L506310" s="472"/>
      <c r="M506310" s="472"/>
    </row>
    <row r="506311" spans="12:13" x14ac:dyDescent="0.25">
      <c r="L506311" s="472"/>
      <c r="M506311" s="472"/>
    </row>
    <row r="506383" spans="12:13" x14ac:dyDescent="0.25">
      <c r="L506383" s="472"/>
      <c r="M506383" s="472"/>
    </row>
    <row r="506384" spans="12:13" x14ac:dyDescent="0.25">
      <c r="L506384" s="472"/>
      <c r="M506384" s="472"/>
    </row>
    <row r="506385" spans="12:13" x14ac:dyDescent="0.25">
      <c r="L506385" s="472"/>
      <c r="M506385" s="472"/>
    </row>
    <row r="506457" spans="12:13" x14ac:dyDescent="0.25">
      <c r="L506457" s="472"/>
      <c r="M506457" s="472"/>
    </row>
    <row r="506458" spans="12:13" x14ac:dyDescent="0.25">
      <c r="L506458" s="472"/>
      <c r="M506458" s="472"/>
    </row>
    <row r="506459" spans="12:13" x14ac:dyDescent="0.25">
      <c r="L506459" s="472"/>
      <c r="M506459" s="472"/>
    </row>
    <row r="506531" spans="12:13" x14ac:dyDescent="0.25">
      <c r="L506531" s="472"/>
      <c r="M506531" s="472"/>
    </row>
    <row r="506532" spans="12:13" x14ac:dyDescent="0.25">
      <c r="L506532" s="472"/>
      <c r="M506532" s="472"/>
    </row>
    <row r="506533" spans="12:13" x14ac:dyDescent="0.25">
      <c r="L506533" s="472"/>
      <c r="M506533" s="472"/>
    </row>
    <row r="506605" spans="12:13" x14ac:dyDescent="0.25">
      <c r="L506605" s="472"/>
      <c r="M506605" s="472"/>
    </row>
    <row r="506606" spans="12:13" x14ac:dyDescent="0.25">
      <c r="L506606" s="472"/>
      <c r="M506606" s="472"/>
    </row>
    <row r="506607" spans="12:13" x14ac:dyDescent="0.25">
      <c r="L506607" s="472"/>
      <c r="M506607" s="472"/>
    </row>
    <row r="506679" spans="12:13" x14ac:dyDescent="0.25">
      <c r="L506679" s="472"/>
      <c r="M506679" s="472"/>
    </row>
    <row r="506680" spans="12:13" x14ac:dyDescent="0.25">
      <c r="L506680" s="472"/>
      <c r="M506680" s="472"/>
    </row>
    <row r="506681" spans="12:13" x14ac:dyDescent="0.25">
      <c r="L506681" s="472"/>
      <c r="M506681" s="472"/>
    </row>
    <row r="506753" spans="12:13" x14ac:dyDescent="0.25">
      <c r="L506753" s="472"/>
      <c r="M506753" s="472"/>
    </row>
    <row r="506754" spans="12:13" x14ac:dyDescent="0.25">
      <c r="L506754" s="472"/>
      <c r="M506754" s="472"/>
    </row>
    <row r="506755" spans="12:13" x14ac:dyDescent="0.25">
      <c r="L506755" s="472"/>
      <c r="M506755" s="472"/>
    </row>
    <row r="506827" spans="12:13" x14ac:dyDescent="0.25">
      <c r="L506827" s="472"/>
      <c r="M506827" s="472"/>
    </row>
    <row r="506828" spans="12:13" x14ac:dyDescent="0.25">
      <c r="L506828" s="472"/>
      <c r="M506828" s="472"/>
    </row>
    <row r="506829" spans="12:13" x14ac:dyDescent="0.25">
      <c r="L506829" s="472"/>
      <c r="M506829" s="472"/>
    </row>
    <row r="506901" spans="12:13" x14ac:dyDescent="0.25">
      <c r="L506901" s="472"/>
      <c r="M506901" s="472"/>
    </row>
    <row r="506902" spans="12:13" x14ac:dyDescent="0.25">
      <c r="L506902" s="472"/>
      <c r="M506902" s="472"/>
    </row>
    <row r="506903" spans="12:13" x14ac:dyDescent="0.25">
      <c r="L506903" s="472"/>
      <c r="M506903" s="472"/>
    </row>
    <row r="506975" spans="12:13" x14ac:dyDescent="0.25">
      <c r="L506975" s="472"/>
      <c r="M506975" s="472"/>
    </row>
    <row r="506976" spans="12:13" x14ac:dyDescent="0.25">
      <c r="L506976" s="472"/>
      <c r="M506976" s="472"/>
    </row>
    <row r="506977" spans="12:13" x14ac:dyDescent="0.25">
      <c r="L506977" s="472"/>
      <c r="M506977" s="472"/>
    </row>
    <row r="507049" spans="12:13" x14ac:dyDescent="0.25">
      <c r="L507049" s="472"/>
      <c r="M507049" s="472"/>
    </row>
    <row r="507050" spans="12:13" x14ac:dyDescent="0.25">
      <c r="L507050" s="472"/>
      <c r="M507050" s="472"/>
    </row>
    <row r="507051" spans="12:13" x14ac:dyDescent="0.25">
      <c r="L507051" s="472"/>
      <c r="M507051" s="472"/>
    </row>
    <row r="507123" spans="12:13" x14ac:dyDescent="0.25">
      <c r="L507123" s="472"/>
      <c r="M507123" s="472"/>
    </row>
    <row r="507124" spans="12:13" x14ac:dyDescent="0.25">
      <c r="L507124" s="472"/>
      <c r="M507124" s="472"/>
    </row>
    <row r="507125" spans="12:13" x14ac:dyDescent="0.25">
      <c r="L507125" s="472"/>
      <c r="M507125" s="472"/>
    </row>
    <row r="507197" spans="12:13" x14ac:dyDescent="0.25">
      <c r="L507197" s="472"/>
      <c r="M507197" s="472"/>
    </row>
    <row r="507198" spans="12:13" x14ac:dyDescent="0.25">
      <c r="L507198" s="472"/>
      <c r="M507198" s="472"/>
    </row>
    <row r="507199" spans="12:13" x14ac:dyDescent="0.25">
      <c r="L507199" s="472"/>
      <c r="M507199" s="472"/>
    </row>
    <row r="507271" spans="12:13" x14ac:dyDescent="0.25">
      <c r="L507271" s="472"/>
      <c r="M507271" s="472"/>
    </row>
    <row r="507272" spans="12:13" x14ac:dyDescent="0.25">
      <c r="L507272" s="472"/>
      <c r="M507272" s="472"/>
    </row>
    <row r="507273" spans="12:13" x14ac:dyDescent="0.25">
      <c r="L507273" s="472"/>
      <c r="M507273" s="472"/>
    </row>
    <row r="507345" spans="12:13" x14ac:dyDescent="0.25">
      <c r="L507345" s="472"/>
      <c r="M507345" s="472"/>
    </row>
    <row r="507346" spans="12:13" x14ac:dyDescent="0.25">
      <c r="L507346" s="472"/>
      <c r="M507346" s="472"/>
    </row>
    <row r="507347" spans="12:13" x14ac:dyDescent="0.25">
      <c r="L507347" s="472"/>
      <c r="M507347" s="472"/>
    </row>
    <row r="507419" spans="12:13" x14ac:dyDescent="0.25">
      <c r="L507419" s="472"/>
      <c r="M507419" s="472"/>
    </row>
    <row r="507420" spans="12:13" x14ac:dyDescent="0.25">
      <c r="L507420" s="472"/>
      <c r="M507420" s="472"/>
    </row>
    <row r="507421" spans="12:13" x14ac:dyDescent="0.25">
      <c r="L507421" s="472"/>
      <c r="M507421" s="472"/>
    </row>
    <row r="507493" spans="12:13" x14ac:dyDescent="0.25">
      <c r="L507493" s="472"/>
      <c r="M507493" s="472"/>
    </row>
    <row r="507494" spans="12:13" x14ac:dyDescent="0.25">
      <c r="L507494" s="472"/>
      <c r="M507494" s="472"/>
    </row>
    <row r="507495" spans="12:13" x14ac:dyDescent="0.25">
      <c r="L507495" s="472"/>
      <c r="M507495" s="472"/>
    </row>
    <row r="507567" spans="12:13" x14ac:dyDescent="0.25">
      <c r="L507567" s="472"/>
      <c r="M507567" s="472"/>
    </row>
    <row r="507568" spans="12:13" x14ac:dyDescent="0.25">
      <c r="L507568" s="472"/>
      <c r="M507568" s="472"/>
    </row>
    <row r="507569" spans="12:13" x14ac:dyDescent="0.25">
      <c r="L507569" s="472"/>
      <c r="M507569" s="472"/>
    </row>
    <row r="507641" spans="12:13" x14ac:dyDescent="0.25">
      <c r="L507641" s="472"/>
      <c r="M507641" s="472"/>
    </row>
    <row r="507642" spans="12:13" x14ac:dyDescent="0.25">
      <c r="L507642" s="472"/>
      <c r="M507642" s="472"/>
    </row>
    <row r="507643" spans="12:13" x14ac:dyDescent="0.25">
      <c r="L507643" s="472"/>
      <c r="M507643" s="472"/>
    </row>
    <row r="507715" spans="12:13" x14ac:dyDescent="0.25">
      <c r="L507715" s="472"/>
      <c r="M507715" s="472"/>
    </row>
    <row r="507716" spans="12:13" x14ac:dyDescent="0.25">
      <c r="L507716" s="472"/>
      <c r="M507716" s="472"/>
    </row>
    <row r="507717" spans="12:13" x14ac:dyDescent="0.25">
      <c r="L507717" s="472"/>
      <c r="M507717" s="472"/>
    </row>
    <row r="507789" spans="12:13" x14ac:dyDescent="0.25">
      <c r="L507789" s="472"/>
      <c r="M507789" s="472"/>
    </row>
    <row r="507790" spans="12:13" x14ac:dyDescent="0.25">
      <c r="L507790" s="472"/>
      <c r="M507790" s="472"/>
    </row>
    <row r="507791" spans="12:13" x14ac:dyDescent="0.25">
      <c r="L507791" s="472"/>
      <c r="M507791" s="472"/>
    </row>
    <row r="507863" spans="12:13" x14ac:dyDescent="0.25">
      <c r="L507863" s="472"/>
      <c r="M507863" s="472"/>
    </row>
    <row r="507864" spans="12:13" x14ac:dyDescent="0.25">
      <c r="L507864" s="472"/>
      <c r="M507864" s="472"/>
    </row>
    <row r="507865" spans="12:13" x14ac:dyDescent="0.25">
      <c r="L507865" s="472"/>
      <c r="M507865" s="472"/>
    </row>
    <row r="507937" spans="12:13" x14ac:dyDescent="0.25">
      <c r="L507937" s="472"/>
      <c r="M507937" s="472"/>
    </row>
    <row r="507938" spans="12:13" x14ac:dyDescent="0.25">
      <c r="L507938" s="472"/>
      <c r="M507938" s="472"/>
    </row>
    <row r="507939" spans="12:13" x14ac:dyDescent="0.25">
      <c r="L507939" s="472"/>
      <c r="M507939" s="472"/>
    </row>
    <row r="508011" spans="12:13" x14ac:dyDescent="0.25">
      <c r="L508011" s="472"/>
      <c r="M508011" s="472"/>
    </row>
    <row r="508012" spans="12:13" x14ac:dyDescent="0.25">
      <c r="L508012" s="472"/>
      <c r="M508012" s="472"/>
    </row>
    <row r="508013" spans="12:13" x14ac:dyDescent="0.25">
      <c r="L508013" s="472"/>
      <c r="M508013" s="472"/>
    </row>
    <row r="508085" spans="12:13" x14ac:dyDescent="0.25">
      <c r="L508085" s="472"/>
      <c r="M508085" s="472"/>
    </row>
    <row r="508086" spans="12:13" x14ac:dyDescent="0.25">
      <c r="L508086" s="472"/>
      <c r="M508086" s="472"/>
    </row>
    <row r="508087" spans="12:13" x14ac:dyDescent="0.25">
      <c r="L508087" s="472"/>
      <c r="M508087" s="472"/>
    </row>
    <row r="508159" spans="12:13" x14ac:dyDescent="0.25">
      <c r="L508159" s="472"/>
      <c r="M508159" s="472"/>
    </row>
    <row r="508160" spans="12:13" x14ac:dyDescent="0.25">
      <c r="L508160" s="472"/>
      <c r="M508160" s="472"/>
    </row>
    <row r="508161" spans="12:13" x14ac:dyDescent="0.25">
      <c r="L508161" s="472"/>
      <c r="M508161" s="472"/>
    </row>
    <row r="508233" spans="12:13" x14ac:dyDescent="0.25">
      <c r="L508233" s="472"/>
      <c r="M508233" s="472"/>
    </row>
    <row r="508234" spans="12:13" x14ac:dyDescent="0.25">
      <c r="L508234" s="472"/>
      <c r="M508234" s="472"/>
    </row>
    <row r="508235" spans="12:13" x14ac:dyDescent="0.25">
      <c r="L508235" s="472"/>
      <c r="M508235" s="472"/>
    </row>
    <row r="508307" spans="12:13" x14ac:dyDescent="0.25">
      <c r="L508307" s="472"/>
      <c r="M508307" s="472"/>
    </row>
    <row r="508308" spans="12:13" x14ac:dyDescent="0.25">
      <c r="L508308" s="472"/>
      <c r="M508308" s="472"/>
    </row>
    <row r="508309" spans="12:13" x14ac:dyDescent="0.25">
      <c r="L508309" s="472"/>
      <c r="M508309" s="472"/>
    </row>
    <row r="508381" spans="12:13" x14ac:dyDescent="0.25">
      <c r="L508381" s="472"/>
      <c r="M508381" s="472"/>
    </row>
    <row r="508382" spans="12:13" x14ac:dyDescent="0.25">
      <c r="L508382" s="472"/>
      <c r="M508382" s="472"/>
    </row>
    <row r="508383" spans="12:13" x14ac:dyDescent="0.25">
      <c r="L508383" s="472"/>
      <c r="M508383" s="472"/>
    </row>
    <row r="508455" spans="12:13" x14ac:dyDescent="0.25">
      <c r="L508455" s="472"/>
      <c r="M508455" s="472"/>
    </row>
    <row r="508456" spans="12:13" x14ac:dyDescent="0.25">
      <c r="L508456" s="472"/>
      <c r="M508456" s="472"/>
    </row>
    <row r="508457" spans="12:13" x14ac:dyDescent="0.25">
      <c r="L508457" s="472"/>
      <c r="M508457" s="472"/>
    </row>
    <row r="508529" spans="12:13" x14ac:dyDescent="0.25">
      <c r="L508529" s="472"/>
      <c r="M508529" s="472"/>
    </row>
    <row r="508530" spans="12:13" x14ac:dyDescent="0.25">
      <c r="L508530" s="472"/>
      <c r="M508530" s="472"/>
    </row>
    <row r="508531" spans="12:13" x14ac:dyDescent="0.25">
      <c r="L508531" s="472"/>
      <c r="M508531" s="472"/>
    </row>
    <row r="508603" spans="12:13" x14ac:dyDescent="0.25">
      <c r="L508603" s="472"/>
      <c r="M508603" s="472"/>
    </row>
    <row r="508604" spans="12:13" x14ac:dyDescent="0.25">
      <c r="L508604" s="472"/>
      <c r="M508604" s="472"/>
    </row>
    <row r="508605" spans="12:13" x14ac:dyDescent="0.25">
      <c r="L508605" s="472"/>
      <c r="M508605" s="472"/>
    </row>
    <row r="508677" spans="12:13" x14ac:dyDescent="0.25">
      <c r="L508677" s="472"/>
      <c r="M508677" s="472"/>
    </row>
    <row r="508678" spans="12:13" x14ac:dyDescent="0.25">
      <c r="L508678" s="472"/>
      <c r="M508678" s="472"/>
    </row>
    <row r="508679" spans="12:13" x14ac:dyDescent="0.25">
      <c r="L508679" s="472"/>
      <c r="M508679" s="472"/>
    </row>
    <row r="508751" spans="12:13" x14ac:dyDescent="0.25">
      <c r="L508751" s="472"/>
      <c r="M508751" s="472"/>
    </row>
    <row r="508752" spans="12:13" x14ac:dyDescent="0.25">
      <c r="L508752" s="472"/>
      <c r="M508752" s="472"/>
    </row>
    <row r="508753" spans="12:13" x14ac:dyDescent="0.25">
      <c r="L508753" s="472"/>
      <c r="M508753" s="472"/>
    </row>
    <row r="508825" spans="12:13" x14ac:dyDescent="0.25">
      <c r="L508825" s="472"/>
      <c r="M508825" s="472"/>
    </row>
    <row r="508826" spans="12:13" x14ac:dyDescent="0.25">
      <c r="L508826" s="472"/>
      <c r="M508826" s="472"/>
    </row>
    <row r="508827" spans="12:13" x14ac:dyDescent="0.25">
      <c r="L508827" s="472"/>
      <c r="M508827" s="472"/>
    </row>
    <row r="508899" spans="12:13" x14ac:dyDescent="0.25">
      <c r="L508899" s="472"/>
      <c r="M508899" s="472"/>
    </row>
    <row r="508900" spans="12:13" x14ac:dyDescent="0.25">
      <c r="L508900" s="472"/>
      <c r="M508900" s="472"/>
    </row>
    <row r="508901" spans="12:13" x14ac:dyDescent="0.25">
      <c r="L508901" s="472"/>
      <c r="M508901" s="472"/>
    </row>
    <row r="508973" spans="12:13" x14ac:dyDescent="0.25">
      <c r="L508973" s="472"/>
      <c r="M508973" s="472"/>
    </row>
    <row r="508974" spans="12:13" x14ac:dyDescent="0.25">
      <c r="L508974" s="472"/>
      <c r="M508974" s="472"/>
    </row>
    <row r="508975" spans="12:13" x14ac:dyDescent="0.25">
      <c r="L508975" s="472"/>
      <c r="M508975" s="472"/>
    </row>
    <row r="509047" spans="12:13" x14ac:dyDescent="0.25">
      <c r="L509047" s="472"/>
      <c r="M509047" s="472"/>
    </row>
    <row r="509048" spans="12:13" x14ac:dyDescent="0.25">
      <c r="L509048" s="472"/>
      <c r="M509048" s="472"/>
    </row>
    <row r="509049" spans="12:13" x14ac:dyDescent="0.25">
      <c r="L509049" s="472"/>
      <c r="M509049" s="472"/>
    </row>
    <row r="509121" spans="12:13" x14ac:dyDescent="0.25">
      <c r="L509121" s="472"/>
      <c r="M509121" s="472"/>
    </row>
    <row r="509122" spans="12:13" x14ac:dyDescent="0.25">
      <c r="L509122" s="472"/>
      <c r="M509122" s="472"/>
    </row>
    <row r="509123" spans="12:13" x14ac:dyDescent="0.25">
      <c r="L509123" s="472"/>
      <c r="M509123" s="472"/>
    </row>
    <row r="509195" spans="12:13" x14ac:dyDescent="0.25">
      <c r="L509195" s="472"/>
      <c r="M509195" s="472"/>
    </row>
    <row r="509196" spans="12:13" x14ac:dyDescent="0.25">
      <c r="L509196" s="472"/>
      <c r="M509196" s="472"/>
    </row>
    <row r="509197" spans="12:13" x14ac:dyDescent="0.25">
      <c r="L509197" s="472"/>
      <c r="M509197" s="472"/>
    </row>
    <row r="509269" spans="12:13" x14ac:dyDescent="0.25">
      <c r="L509269" s="472"/>
      <c r="M509269" s="472"/>
    </row>
    <row r="509270" spans="12:13" x14ac:dyDescent="0.25">
      <c r="L509270" s="472"/>
      <c r="M509270" s="472"/>
    </row>
    <row r="509271" spans="12:13" x14ac:dyDescent="0.25">
      <c r="L509271" s="472"/>
      <c r="M509271" s="472"/>
    </row>
    <row r="509343" spans="12:13" x14ac:dyDescent="0.25">
      <c r="L509343" s="472"/>
      <c r="M509343" s="472"/>
    </row>
    <row r="509344" spans="12:13" x14ac:dyDescent="0.25">
      <c r="L509344" s="472"/>
      <c r="M509344" s="472"/>
    </row>
    <row r="509345" spans="12:13" x14ac:dyDescent="0.25">
      <c r="L509345" s="472"/>
      <c r="M509345" s="472"/>
    </row>
    <row r="509417" spans="12:13" x14ac:dyDescent="0.25">
      <c r="L509417" s="472"/>
      <c r="M509417" s="472"/>
    </row>
    <row r="509418" spans="12:13" x14ac:dyDescent="0.25">
      <c r="L509418" s="472"/>
      <c r="M509418" s="472"/>
    </row>
    <row r="509419" spans="12:13" x14ac:dyDescent="0.25">
      <c r="L509419" s="472"/>
      <c r="M509419" s="472"/>
    </row>
    <row r="509491" spans="12:13" x14ac:dyDescent="0.25">
      <c r="L509491" s="472"/>
      <c r="M509491" s="472"/>
    </row>
    <row r="509492" spans="12:13" x14ac:dyDescent="0.25">
      <c r="L509492" s="472"/>
      <c r="M509492" s="472"/>
    </row>
    <row r="509493" spans="12:13" x14ac:dyDescent="0.25">
      <c r="L509493" s="472"/>
      <c r="M509493" s="472"/>
    </row>
    <row r="509565" spans="12:13" x14ac:dyDescent="0.25">
      <c r="L509565" s="472"/>
      <c r="M509565" s="472"/>
    </row>
    <row r="509566" spans="12:13" x14ac:dyDescent="0.25">
      <c r="L509566" s="472"/>
      <c r="M509566" s="472"/>
    </row>
    <row r="509567" spans="12:13" x14ac:dyDescent="0.25">
      <c r="L509567" s="472"/>
      <c r="M509567" s="472"/>
    </row>
    <row r="509639" spans="12:13" x14ac:dyDescent="0.25">
      <c r="L509639" s="472"/>
      <c r="M509639" s="472"/>
    </row>
    <row r="509640" spans="12:13" x14ac:dyDescent="0.25">
      <c r="L509640" s="472"/>
      <c r="M509640" s="472"/>
    </row>
    <row r="509641" spans="12:13" x14ac:dyDescent="0.25">
      <c r="L509641" s="472"/>
      <c r="M509641" s="472"/>
    </row>
    <row r="509713" spans="12:13" x14ac:dyDescent="0.25">
      <c r="L509713" s="472"/>
      <c r="M509713" s="472"/>
    </row>
    <row r="509714" spans="12:13" x14ac:dyDescent="0.25">
      <c r="L509714" s="472"/>
      <c r="M509714" s="472"/>
    </row>
    <row r="509715" spans="12:13" x14ac:dyDescent="0.25">
      <c r="L509715" s="472"/>
      <c r="M509715" s="472"/>
    </row>
    <row r="509787" spans="12:13" x14ac:dyDescent="0.25">
      <c r="L509787" s="472"/>
      <c r="M509787" s="472"/>
    </row>
    <row r="509788" spans="12:13" x14ac:dyDescent="0.25">
      <c r="L509788" s="472"/>
      <c r="M509788" s="472"/>
    </row>
    <row r="509789" spans="12:13" x14ac:dyDescent="0.25">
      <c r="L509789" s="472"/>
      <c r="M509789" s="472"/>
    </row>
    <row r="509861" spans="12:13" x14ac:dyDescent="0.25">
      <c r="L509861" s="472"/>
      <c r="M509861" s="472"/>
    </row>
    <row r="509862" spans="12:13" x14ac:dyDescent="0.25">
      <c r="L509862" s="472"/>
      <c r="M509862" s="472"/>
    </row>
    <row r="509863" spans="12:13" x14ac:dyDescent="0.25">
      <c r="L509863" s="472"/>
      <c r="M509863" s="472"/>
    </row>
    <row r="509935" spans="12:13" x14ac:dyDescent="0.25">
      <c r="L509935" s="472"/>
      <c r="M509935" s="472"/>
    </row>
    <row r="509936" spans="12:13" x14ac:dyDescent="0.25">
      <c r="L509936" s="472"/>
      <c r="M509936" s="472"/>
    </row>
    <row r="509937" spans="12:13" x14ac:dyDescent="0.25">
      <c r="L509937" s="472"/>
      <c r="M509937" s="472"/>
    </row>
    <row r="510009" spans="12:13" x14ac:dyDescent="0.25">
      <c r="L510009" s="472"/>
      <c r="M510009" s="472"/>
    </row>
    <row r="510010" spans="12:13" x14ac:dyDescent="0.25">
      <c r="L510010" s="472"/>
      <c r="M510010" s="472"/>
    </row>
    <row r="510011" spans="12:13" x14ac:dyDescent="0.25">
      <c r="L510011" s="472"/>
      <c r="M510011" s="472"/>
    </row>
    <row r="510083" spans="12:13" x14ac:dyDescent="0.25">
      <c r="L510083" s="472"/>
      <c r="M510083" s="472"/>
    </row>
    <row r="510084" spans="12:13" x14ac:dyDescent="0.25">
      <c r="L510084" s="472"/>
      <c r="M510084" s="472"/>
    </row>
    <row r="510085" spans="12:13" x14ac:dyDescent="0.25">
      <c r="L510085" s="472"/>
      <c r="M510085" s="472"/>
    </row>
    <row r="510157" spans="12:13" x14ac:dyDescent="0.25">
      <c r="L510157" s="472"/>
      <c r="M510157" s="472"/>
    </row>
    <row r="510158" spans="12:13" x14ac:dyDescent="0.25">
      <c r="L510158" s="472"/>
      <c r="M510158" s="472"/>
    </row>
    <row r="510159" spans="12:13" x14ac:dyDescent="0.25">
      <c r="L510159" s="472"/>
      <c r="M510159" s="472"/>
    </row>
    <row r="510231" spans="12:13" x14ac:dyDescent="0.25">
      <c r="L510231" s="472"/>
      <c r="M510231" s="472"/>
    </row>
    <row r="510232" spans="12:13" x14ac:dyDescent="0.25">
      <c r="L510232" s="472"/>
      <c r="M510232" s="472"/>
    </row>
    <row r="510233" spans="12:13" x14ac:dyDescent="0.25">
      <c r="L510233" s="472"/>
      <c r="M510233" s="472"/>
    </row>
    <row r="510305" spans="12:13" x14ac:dyDescent="0.25">
      <c r="L510305" s="472"/>
      <c r="M510305" s="472"/>
    </row>
    <row r="510306" spans="12:13" x14ac:dyDescent="0.25">
      <c r="L510306" s="472"/>
      <c r="M510306" s="472"/>
    </row>
    <row r="510307" spans="12:13" x14ac:dyDescent="0.25">
      <c r="L510307" s="472"/>
      <c r="M510307" s="472"/>
    </row>
    <row r="510379" spans="12:13" x14ac:dyDescent="0.25">
      <c r="L510379" s="472"/>
      <c r="M510379" s="472"/>
    </row>
    <row r="510380" spans="12:13" x14ac:dyDescent="0.25">
      <c r="L510380" s="472"/>
      <c r="M510380" s="472"/>
    </row>
    <row r="510381" spans="12:13" x14ac:dyDescent="0.25">
      <c r="L510381" s="472"/>
      <c r="M510381" s="472"/>
    </row>
    <row r="510453" spans="12:13" x14ac:dyDescent="0.25">
      <c r="L510453" s="472"/>
      <c r="M510453" s="472"/>
    </row>
    <row r="510454" spans="12:13" x14ac:dyDescent="0.25">
      <c r="L510454" s="472"/>
      <c r="M510454" s="472"/>
    </row>
    <row r="510455" spans="12:13" x14ac:dyDescent="0.25">
      <c r="L510455" s="472"/>
      <c r="M510455" s="472"/>
    </row>
    <row r="510527" spans="12:13" x14ac:dyDescent="0.25">
      <c r="L510527" s="472"/>
      <c r="M510527" s="472"/>
    </row>
    <row r="510528" spans="12:13" x14ac:dyDescent="0.25">
      <c r="L510528" s="472"/>
      <c r="M510528" s="472"/>
    </row>
    <row r="510529" spans="12:13" x14ac:dyDescent="0.25">
      <c r="L510529" s="472"/>
      <c r="M510529" s="472"/>
    </row>
    <row r="510601" spans="12:13" x14ac:dyDescent="0.25">
      <c r="L510601" s="472"/>
      <c r="M510601" s="472"/>
    </row>
    <row r="510602" spans="12:13" x14ac:dyDescent="0.25">
      <c r="L510602" s="472"/>
      <c r="M510602" s="472"/>
    </row>
    <row r="510603" spans="12:13" x14ac:dyDescent="0.25">
      <c r="L510603" s="472"/>
      <c r="M510603" s="472"/>
    </row>
    <row r="510675" spans="12:13" x14ac:dyDescent="0.25">
      <c r="L510675" s="472"/>
      <c r="M510675" s="472"/>
    </row>
    <row r="510676" spans="12:13" x14ac:dyDescent="0.25">
      <c r="L510676" s="472"/>
      <c r="M510676" s="472"/>
    </row>
    <row r="510677" spans="12:13" x14ac:dyDescent="0.25">
      <c r="L510677" s="472"/>
      <c r="M510677" s="472"/>
    </row>
    <row r="510749" spans="12:13" x14ac:dyDescent="0.25">
      <c r="L510749" s="472"/>
      <c r="M510749" s="472"/>
    </row>
    <row r="510750" spans="12:13" x14ac:dyDescent="0.25">
      <c r="L510750" s="472"/>
      <c r="M510750" s="472"/>
    </row>
    <row r="510751" spans="12:13" x14ac:dyDescent="0.25">
      <c r="L510751" s="472"/>
      <c r="M510751" s="472"/>
    </row>
    <row r="510823" spans="12:13" x14ac:dyDescent="0.25">
      <c r="L510823" s="472"/>
      <c r="M510823" s="472"/>
    </row>
    <row r="510824" spans="12:13" x14ac:dyDescent="0.25">
      <c r="L510824" s="472"/>
      <c r="M510824" s="472"/>
    </row>
    <row r="510825" spans="12:13" x14ac:dyDescent="0.25">
      <c r="L510825" s="472"/>
      <c r="M510825" s="472"/>
    </row>
    <row r="510897" spans="12:13" x14ac:dyDescent="0.25">
      <c r="L510897" s="472"/>
      <c r="M510897" s="472"/>
    </row>
    <row r="510898" spans="12:13" x14ac:dyDescent="0.25">
      <c r="L510898" s="472"/>
      <c r="M510898" s="472"/>
    </row>
    <row r="510899" spans="12:13" x14ac:dyDescent="0.25">
      <c r="L510899" s="472"/>
      <c r="M510899" s="472"/>
    </row>
    <row r="510971" spans="12:13" x14ac:dyDescent="0.25">
      <c r="L510971" s="472"/>
      <c r="M510971" s="472"/>
    </row>
    <row r="510972" spans="12:13" x14ac:dyDescent="0.25">
      <c r="L510972" s="472"/>
      <c r="M510972" s="472"/>
    </row>
    <row r="510973" spans="12:13" x14ac:dyDescent="0.25">
      <c r="L510973" s="472"/>
      <c r="M510973" s="472"/>
    </row>
    <row r="511045" spans="12:13" x14ac:dyDescent="0.25">
      <c r="L511045" s="472"/>
      <c r="M511045" s="472"/>
    </row>
    <row r="511046" spans="12:13" x14ac:dyDescent="0.25">
      <c r="L511046" s="472"/>
      <c r="M511046" s="472"/>
    </row>
    <row r="511047" spans="12:13" x14ac:dyDescent="0.25">
      <c r="L511047" s="472"/>
      <c r="M511047" s="472"/>
    </row>
    <row r="511119" spans="12:13" x14ac:dyDescent="0.25">
      <c r="L511119" s="472"/>
      <c r="M511119" s="472"/>
    </row>
    <row r="511120" spans="12:13" x14ac:dyDescent="0.25">
      <c r="L511120" s="472"/>
      <c r="M511120" s="472"/>
    </row>
    <row r="511121" spans="12:13" x14ac:dyDescent="0.25">
      <c r="L511121" s="472"/>
      <c r="M511121" s="472"/>
    </row>
    <row r="511193" spans="12:13" x14ac:dyDescent="0.25">
      <c r="L511193" s="472"/>
      <c r="M511193" s="472"/>
    </row>
    <row r="511194" spans="12:13" x14ac:dyDescent="0.25">
      <c r="L511194" s="472"/>
      <c r="M511194" s="472"/>
    </row>
    <row r="511195" spans="12:13" x14ac:dyDescent="0.25">
      <c r="L511195" s="472"/>
      <c r="M511195" s="472"/>
    </row>
    <row r="511267" spans="12:13" x14ac:dyDescent="0.25">
      <c r="L511267" s="472"/>
      <c r="M511267" s="472"/>
    </row>
    <row r="511268" spans="12:13" x14ac:dyDescent="0.25">
      <c r="L511268" s="472"/>
      <c r="M511268" s="472"/>
    </row>
    <row r="511269" spans="12:13" x14ac:dyDescent="0.25">
      <c r="L511269" s="472"/>
      <c r="M511269" s="472"/>
    </row>
    <row r="511341" spans="12:13" x14ac:dyDescent="0.25">
      <c r="L511341" s="472"/>
      <c r="M511341" s="472"/>
    </row>
    <row r="511342" spans="12:13" x14ac:dyDescent="0.25">
      <c r="L511342" s="472"/>
      <c r="M511342" s="472"/>
    </row>
    <row r="511343" spans="12:13" x14ac:dyDescent="0.25">
      <c r="L511343" s="472"/>
      <c r="M511343" s="472"/>
    </row>
    <row r="511415" spans="12:13" x14ac:dyDescent="0.25">
      <c r="L511415" s="472"/>
      <c r="M511415" s="472"/>
    </row>
    <row r="511416" spans="12:13" x14ac:dyDescent="0.25">
      <c r="L511416" s="472"/>
      <c r="M511416" s="472"/>
    </row>
    <row r="511417" spans="12:13" x14ac:dyDescent="0.25">
      <c r="L511417" s="472"/>
      <c r="M511417" s="472"/>
    </row>
    <row r="511489" spans="12:13" x14ac:dyDescent="0.25">
      <c r="L511489" s="472"/>
      <c r="M511489" s="472"/>
    </row>
    <row r="511490" spans="12:13" x14ac:dyDescent="0.25">
      <c r="L511490" s="472"/>
      <c r="M511490" s="472"/>
    </row>
    <row r="511491" spans="12:13" x14ac:dyDescent="0.25">
      <c r="L511491" s="472"/>
      <c r="M511491" s="472"/>
    </row>
    <row r="511563" spans="12:13" x14ac:dyDescent="0.25">
      <c r="L511563" s="472"/>
      <c r="M511563" s="472"/>
    </row>
    <row r="511564" spans="12:13" x14ac:dyDescent="0.25">
      <c r="L511564" s="472"/>
      <c r="M511564" s="472"/>
    </row>
    <row r="511565" spans="12:13" x14ac:dyDescent="0.25">
      <c r="L511565" s="472"/>
      <c r="M511565" s="472"/>
    </row>
    <row r="511637" spans="12:13" x14ac:dyDescent="0.25">
      <c r="L511637" s="472"/>
      <c r="M511637" s="472"/>
    </row>
    <row r="511638" spans="12:13" x14ac:dyDescent="0.25">
      <c r="L511638" s="472"/>
      <c r="M511638" s="472"/>
    </row>
    <row r="511639" spans="12:13" x14ac:dyDescent="0.25">
      <c r="L511639" s="472"/>
      <c r="M511639" s="472"/>
    </row>
    <row r="511711" spans="12:13" x14ac:dyDescent="0.25">
      <c r="L511711" s="472"/>
      <c r="M511711" s="472"/>
    </row>
    <row r="511712" spans="12:13" x14ac:dyDescent="0.25">
      <c r="L511712" s="472"/>
      <c r="M511712" s="472"/>
    </row>
    <row r="511713" spans="12:13" x14ac:dyDescent="0.25">
      <c r="L511713" s="472"/>
      <c r="M511713" s="472"/>
    </row>
    <row r="511785" spans="12:13" x14ac:dyDescent="0.25">
      <c r="L511785" s="472"/>
      <c r="M511785" s="472"/>
    </row>
    <row r="511786" spans="12:13" x14ac:dyDescent="0.25">
      <c r="L511786" s="472"/>
      <c r="M511786" s="472"/>
    </row>
    <row r="511787" spans="12:13" x14ac:dyDescent="0.25">
      <c r="L511787" s="472"/>
      <c r="M511787" s="472"/>
    </row>
    <row r="511859" spans="12:13" x14ac:dyDescent="0.25">
      <c r="L511859" s="472"/>
      <c r="M511859" s="472"/>
    </row>
    <row r="511860" spans="12:13" x14ac:dyDescent="0.25">
      <c r="L511860" s="472"/>
      <c r="M511860" s="472"/>
    </row>
    <row r="511861" spans="12:13" x14ac:dyDescent="0.25">
      <c r="L511861" s="472"/>
      <c r="M511861" s="472"/>
    </row>
    <row r="511933" spans="12:13" x14ac:dyDescent="0.25">
      <c r="L511933" s="472"/>
      <c r="M511933" s="472"/>
    </row>
    <row r="511934" spans="12:13" x14ac:dyDescent="0.25">
      <c r="L511934" s="472"/>
      <c r="M511934" s="472"/>
    </row>
    <row r="511935" spans="12:13" x14ac:dyDescent="0.25">
      <c r="L511935" s="472"/>
      <c r="M511935" s="472"/>
    </row>
    <row r="512007" spans="12:13" x14ac:dyDescent="0.25">
      <c r="L512007" s="472"/>
      <c r="M512007" s="472"/>
    </row>
    <row r="512008" spans="12:13" x14ac:dyDescent="0.25">
      <c r="L512008" s="472"/>
      <c r="M512008" s="472"/>
    </row>
    <row r="512009" spans="12:13" x14ac:dyDescent="0.25">
      <c r="L512009" s="472"/>
      <c r="M512009" s="472"/>
    </row>
    <row r="512081" spans="12:13" x14ac:dyDescent="0.25">
      <c r="L512081" s="472"/>
      <c r="M512081" s="472"/>
    </row>
    <row r="512082" spans="12:13" x14ac:dyDescent="0.25">
      <c r="L512082" s="472"/>
      <c r="M512082" s="472"/>
    </row>
    <row r="512083" spans="12:13" x14ac:dyDescent="0.25">
      <c r="L512083" s="472"/>
      <c r="M512083" s="472"/>
    </row>
    <row r="512155" spans="12:13" x14ac:dyDescent="0.25">
      <c r="L512155" s="472"/>
      <c r="M512155" s="472"/>
    </row>
    <row r="512156" spans="12:13" x14ac:dyDescent="0.25">
      <c r="L512156" s="472"/>
      <c r="M512156" s="472"/>
    </row>
    <row r="512157" spans="12:13" x14ac:dyDescent="0.25">
      <c r="L512157" s="472"/>
      <c r="M512157" s="472"/>
    </row>
    <row r="512229" spans="12:13" x14ac:dyDescent="0.25">
      <c r="L512229" s="472"/>
      <c r="M512229" s="472"/>
    </row>
    <row r="512230" spans="12:13" x14ac:dyDescent="0.25">
      <c r="L512230" s="472"/>
      <c r="M512230" s="472"/>
    </row>
    <row r="512231" spans="12:13" x14ac:dyDescent="0.25">
      <c r="L512231" s="472"/>
      <c r="M512231" s="472"/>
    </row>
    <row r="512303" spans="12:13" x14ac:dyDescent="0.25">
      <c r="L512303" s="472"/>
      <c r="M512303" s="472"/>
    </row>
    <row r="512304" spans="12:13" x14ac:dyDescent="0.25">
      <c r="L512304" s="472"/>
      <c r="M512304" s="472"/>
    </row>
    <row r="512305" spans="12:13" x14ac:dyDescent="0.25">
      <c r="L512305" s="472"/>
      <c r="M512305" s="472"/>
    </row>
    <row r="512377" spans="12:13" x14ac:dyDescent="0.25">
      <c r="L512377" s="472"/>
      <c r="M512377" s="472"/>
    </row>
    <row r="512378" spans="12:13" x14ac:dyDescent="0.25">
      <c r="L512378" s="472"/>
      <c r="M512378" s="472"/>
    </row>
    <row r="512379" spans="12:13" x14ac:dyDescent="0.25">
      <c r="L512379" s="472"/>
      <c r="M512379" s="472"/>
    </row>
    <row r="512451" spans="12:13" x14ac:dyDescent="0.25">
      <c r="L512451" s="472"/>
      <c r="M512451" s="472"/>
    </row>
    <row r="512452" spans="12:13" x14ac:dyDescent="0.25">
      <c r="L512452" s="472"/>
      <c r="M512452" s="472"/>
    </row>
    <row r="512453" spans="12:13" x14ac:dyDescent="0.25">
      <c r="L512453" s="472"/>
      <c r="M512453" s="472"/>
    </row>
    <row r="512525" spans="12:13" x14ac:dyDescent="0.25">
      <c r="L512525" s="472"/>
      <c r="M512525" s="472"/>
    </row>
    <row r="512526" spans="12:13" x14ac:dyDescent="0.25">
      <c r="L512526" s="472"/>
      <c r="M512526" s="472"/>
    </row>
    <row r="512527" spans="12:13" x14ac:dyDescent="0.25">
      <c r="L512527" s="472"/>
      <c r="M512527" s="472"/>
    </row>
    <row r="512599" spans="12:13" x14ac:dyDescent="0.25">
      <c r="L512599" s="472"/>
      <c r="M512599" s="472"/>
    </row>
    <row r="512600" spans="12:13" x14ac:dyDescent="0.25">
      <c r="L512600" s="472"/>
      <c r="M512600" s="472"/>
    </row>
    <row r="512601" spans="12:13" x14ac:dyDescent="0.25">
      <c r="L512601" s="472"/>
      <c r="M512601" s="472"/>
    </row>
    <row r="512673" spans="12:13" x14ac:dyDescent="0.25">
      <c r="L512673" s="472"/>
      <c r="M512673" s="472"/>
    </row>
    <row r="512674" spans="12:13" x14ac:dyDescent="0.25">
      <c r="L512674" s="472"/>
      <c r="M512674" s="472"/>
    </row>
    <row r="512675" spans="12:13" x14ac:dyDescent="0.25">
      <c r="L512675" s="472"/>
      <c r="M512675" s="472"/>
    </row>
    <row r="512747" spans="12:13" x14ac:dyDescent="0.25">
      <c r="L512747" s="472"/>
      <c r="M512747" s="472"/>
    </row>
    <row r="512748" spans="12:13" x14ac:dyDescent="0.25">
      <c r="L512748" s="472"/>
      <c r="M512748" s="472"/>
    </row>
    <row r="512749" spans="12:13" x14ac:dyDescent="0.25">
      <c r="L512749" s="472"/>
      <c r="M512749" s="472"/>
    </row>
    <row r="512821" spans="12:13" x14ac:dyDescent="0.25">
      <c r="L512821" s="472"/>
      <c r="M512821" s="472"/>
    </row>
    <row r="512822" spans="12:13" x14ac:dyDescent="0.25">
      <c r="L512822" s="472"/>
      <c r="M512822" s="472"/>
    </row>
    <row r="512823" spans="12:13" x14ac:dyDescent="0.25">
      <c r="L512823" s="472"/>
      <c r="M512823" s="472"/>
    </row>
    <row r="512895" spans="12:13" x14ac:dyDescent="0.25">
      <c r="L512895" s="472"/>
      <c r="M512895" s="472"/>
    </row>
    <row r="512896" spans="12:13" x14ac:dyDescent="0.25">
      <c r="L512896" s="472"/>
      <c r="M512896" s="472"/>
    </row>
    <row r="512897" spans="12:13" x14ac:dyDescent="0.25">
      <c r="L512897" s="472"/>
      <c r="M512897" s="472"/>
    </row>
    <row r="512969" spans="12:13" x14ac:dyDescent="0.25">
      <c r="L512969" s="472"/>
      <c r="M512969" s="472"/>
    </row>
    <row r="512970" spans="12:13" x14ac:dyDescent="0.25">
      <c r="L512970" s="472"/>
      <c r="M512970" s="472"/>
    </row>
    <row r="512971" spans="12:13" x14ac:dyDescent="0.25">
      <c r="L512971" s="472"/>
      <c r="M512971" s="472"/>
    </row>
    <row r="513043" spans="12:13" x14ac:dyDescent="0.25">
      <c r="L513043" s="472"/>
      <c r="M513043" s="472"/>
    </row>
    <row r="513044" spans="12:13" x14ac:dyDescent="0.25">
      <c r="L513044" s="472"/>
      <c r="M513044" s="472"/>
    </row>
    <row r="513045" spans="12:13" x14ac:dyDescent="0.25">
      <c r="L513045" s="472"/>
      <c r="M513045" s="472"/>
    </row>
    <row r="513117" spans="12:13" x14ac:dyDescent="0.25">
      <c r="L513117" s="472"/>
      <c r="M513117" s="472"/>
    </row>
    <row r="513118" spans="12:13" x14ac:dyDescent="0.25">
      <c r="L513118" s="472"/>
      <c r="M513118" s="472"/>
    </row>
    <row r="513119" spans="12:13" x14ac:dyDescent="0.25">
      <c r="L513119" s="472"/>
      <c r="M513119" s="472"/>
    </row>
    <row r="513191" spans="12:13" x14ac:dyDescent="0.25">
      <c r="L513191" s="472"/>
      <c r="M513191" s="472"/>
    </row>
    <row r="513192" spans="12:13" x14ac:dyDescent="0.25">
      <c r="L513192" s="472"/>
      <c r="M513192" s="472"/>
    </row>
    <row r="513193" spans="12:13" x14ac:dyDescent="0.25">
      <c r="L513193" s="472"/>
      <c r="M513193" s="472"/>
    </row>
    <row r="513265" spans="12:13" x14ac:dyDescent="0.25">
      <c r="L513265" s="472"/>
      <c r="M513265" s="472"/>
    </row>
    <row r="513266" spans="12:13" x14ac:dyDescent="0.25">
      <c r="L513266" s="472"/>
      <c r="M513266" s="472"/>
    </row>
    <row r="513267" spans="12:13" x14ac:dyDescent="0.25">
      <c r="L513267" s="472"/>
      <c r="M513267" s="472"/>
    </row>
    <row r="513339" spans="12:13" x14ac:dyDescent="0.25">
      <c r="L513339" s="472"/>
      <c r="M513339" s="472"/>
    </row>
    <row r="513340" spans="12:13" x14ac:dyDescent="0.25">
      <c r="L513340" s="472"/>
      <c r="M513340" s="472"/>
    </row>
    <row r="513341" spans="12:13" x14ac:dyDescent="0.25">
      <c r="L513341" s="472"/>
      <c r="M513341" s="472"/>
    </row>
    <row r="513413" spans="12:13" x14ac:dyDescent="0.25">
      <c r="L513413" s="472"/>
      <c r="M513413" s="472"/>
    </row>
    <row r="513414" spans="12:13" x14ac:dyDescent="0.25">
      <c r="L513414" s="472"/>
      <c r="M513414" s="472"/>
    </row>
    <row r="513415" spans="12:13" x14ac:dyDescent="0.25">
      <c r="L513415" s="472"/>
      <c r="M513415" s="472"/>
    </row>
    <row r="513487" spans="12:13" x14ac:dyDescent="0.25">
      <c r="L513487" s="472"/>
      <c r="M513487" s="472"/>
    </row>
    <row r="513488" spans="12:13" x14ac:dyDescent="0.25">
      <c r="L513488" s="472"/>
      <c r="M513488" s="472"/>
    </row>
    <row r="513489" spans="12:13" x14ac:dyDescent="0.25">
      <c r="L513489" s="472"/>
      <c r="M513489" s="472"/>
    </row>
    <row r="513561" spans="12:13" x14ac:dyDescent="0.25">
      <c r="L513561" s="472"/>
      <c r="M513561" s="472"/>
    </row>
    <row r="513562" spans="12:13" x14ac:dyDescent="0.25">
      <c r="L513562" s="472"/>
      <c r="M513562" s="472"/>
    </row>
    <row r="513563" spans="12:13" x14ac:dyDescent="0.25">
      <c r="L513563" s="472"/>
      <c r="M513563" s="472"/>
    </row>
    <row r="513635" spans="12:13" x14ac:dyDescent="0.25">
      <c r="L513635" s="472"/>
      <c r="M513635" s="472"/>
    </row>
    <row r="513636" spans="12:13" x14ac:dyDescent="0.25">
      <c r="L513636" s="472"/>
      <c r="M513636" s="472"/>
    </row>
    <row r="513637" spans="12:13" x14ac:dyDescent="0.25">
      <c r="L513637" s="472"/>
      <c r="M513637" s="472"/>
    </row>
    <row r="513709" spans="12:13" x14ac:dyDescent="0.25">
      <c r="L513709" s="472"/>
      <c r="M513709" s="472"/>
    </row>
    <row r="513710" spans="12:13" x14ac:dyDescent="0.25">
      <c r="L513710" s="472"/>
      <c r="M513710" s="472"/>
    </row>
    <row r="513711" spans="12:13" x14ac:dyDescent="0.25">
      <c r="L513711" s="472"/>
      <c r="M513711" s="472"/>
    </row>
    <row r="513783" spans="12:13" x14ac:dyDescent="0.25">
      <c r="L513783" s="472"/>
      <c r="M513783" s="472"/>
    </row>
    <row r="513784" spans="12:13" x14ac:dyDescent="0.25">
      <c r="L513784" s="472"/>
      <c r="M513784" s="472"/>
    </row>
    <row r="513785" spans="12:13" x14ac:dyDescent="0.25">
      <c r="L513785" s="472"/>
      <c r="M513785" s="472"/>
    </row>
    <row r="513857" spans="12:13" x14ac:dyDescent="0.25">
      <c r="L513857" s="472"/>
      <c r="M513857" s="472"/>
    </row>
    <row r="513858" spans="12:13" x14ac:dyDescent="0.25">
      <c r="L513858" s="472"/>
      <c r="M513858" s="472"/>
    </row>
    <row r="513859" spans="12:13" x14ac:dyDescent="0.25">
      <c r="L513859" s="472"/>
      <c r="M513859" s="472"/>
    </row>
    <row r="513931" spans="12:13" x14ac:dyDescent="0.25">
      <c r="L513931" s="472"/>
      <c r="M513931" s="472"/>
    </row>
    <row r="513932" spans="12:13" x14ac:dyDescent="0.25">
      <c r="L513932" s="472"/>
      <c r="M513932" s="472"/>
    </row>
    <row r="513933" spans="12:13" x14ac:dyDescent="0.25">
      <c r="L513933" s="472"/>
      <c r="M513933" s="472"/>
    </row>
    <row r="514005" spans="12:13" x14ac:dyDescent="0.25">
      <c r="L514005" s="472"/>
      <c r="M514005" s="472"/>
    </row>
    <row r="514006" spans="12:13" x14ac:dyDescent="0.25">
      <c r="L514006" s="472"/>
      <c r="M514006" s="472"/>
    </row>
    <row r="514007" spans="12:13" x14ac:dyDescent="0.25">
      <c r="L514007" s="472"/>
      <c r="M514007" s="472"/>
    </row>
    <row r="514079" spans="12:13" x14ac:dyDescent="0.25">
      <c r="L514079" s="472"/>
      <c r="M514079" s="472"/>
    </row>
    <row r="514080" spans="12:13" x14ac:dyDescent="0.25">
      <c r="L514080" s="472"/>
      <c r="M514080" s="472"/>
    </row>
    <row r="514081" spans="12:13" x14ac:dyDescent="0.25">
      <c r="L514081" s="472"/>
      <c r="M514081" s="472"/>
    </row>
    <row r="514153" spans="12:13" x14ac:dyDescent="0.25">
      <c r="L514153" s="472"/>
      <c r="M514153" s="472"/>
    </row>
    <row r="514154" spans="12:13" x14ac:dyDescent="0.25">
      <c r="L514154" s="472"/>
      <c r="M514154" s="472"/>
    </row>
    <row r="514155" spans="12:13" x14ac:dyDescent="0.25">
      <c r="L514155" s="472"/>
      <c r="M514155" s="472"/>
    </row>
    <row r="514227" spans="12:13" x14ac:dyDescent="0.25">
      <c r="L514227" s="472"/>
      <c r="M514227" s="472"/>
    </row>
    <row r="514228" spans="12:13" x14ac:dyDescent="0.25">
      <c r="L514228" s="472"/>
      <c r="M514228" s="472"/>
    </row>
    <row r="514229" spans="12:13" x14ac:dyDescent="0.25">
      <c r="L514229" s="472"/>
      <c r="M514229" s="472"/>
    </row>
    <row r="514301" spans="12:13" x14ac:dyDescent="0.25">
      <c r="L514301" s="472"/>
      <c r="M514301" s="472"/>
    </row>
    <row r="514302" spans="12:13" x14ac:dyDescent="0.25">
      <c r="L514302" s="472"/>
      <c r="M514302" s="472"/>
    </row>
    <row r="514303" spans="12:13" x14ac:dyDescent="0.25">
      <c r="L514303" s="472"/>
      <c r="M514303" s="472"/>
    </row>
    <row r="514375" spans="12:13" x14ac:dyDescent="0.25">
      <c r="L514375" s="472"/>
      <c r="M514375" s="472"/>
    </row>
    <row r="514376" spans="12:13" x14ac:dyDescent="0.25">
      <c r="L514376" s="472"/>
      <c r="M514376" s="472"/>
    </row>
    <row r="514377" spans="12:13" x14ac:dyDescent="0.25">
      <c r="L514377" s="472"/>
      <c r="M514377" s="472"/>
    </row>
    <row r="514449" spans="12:13" x14ac:dyDescent="0.25">
      <c r="L514449" s="472"/>
      <c r="M514449" s="472"/>
    </row>
    <row r="514450" spans="12:13" x14ac:dyDescent="0.25">
      <c r="L514450" s="472"/>
      <c r="M514450" s="472"/>
    </row>
    <row r="514451" spans="12:13" x14ac:dyDescent="0.25">
      <c r="L514451" s="472"/>
      <c r="M514451" s="472"/>
    </row>
    <row r="514523" spans="12:13" x14ac:dyDescent="0.25">
      <c r="L514523" s="472"/>
      <c r="M514523" s="472"/>
    </row>
    <row r="514524" spans="12:13" x14ac:dyDescent="0.25">
      <c r="L514524" s="472"/>
      <c r="M514524" s="472"/>
    </row>
    <row r="514525" spans="12:13" x14ac:dyDescent="0.25">
      <c r="L514525" s="472"/>
      <c r="M514525" s="472"/>
    </row>
    <row r="514597" spans="12:13" x14ac:dyDescent="0.25">
      <c r="L514597" s="472"/>
      <c r="M514597" s="472"/>
    </row>
    <row r="514598" spans="12:13" x14ac:dyDescent="0.25">
      <c r="L514598" s="472"/>
      <c r="M514598" s="472"/>
    </row>
    <row r="514599" spans="12:13" x14ac:dyDescent="0.25">
      <c r="L514599" s="472"/>
      <c r="M514599" s="472"/>
    </row>
    <row r="514671" spans="12:13" x14ac:dyDescent="0.25">
      <c r="L514671" s="472"/>
      <c r="M514671" s="472"/>
    </row>
    <row r="514672" spans="12:13" x14ac:dyDescent="0.25">
      <c r="L514672" s="472"/>
      <c r="M514672" s="472"/>
    </row>
    <row r="514673" spans="12:13" x14ac:dyDescent="0.25">
      <c r="L514673" s="472"/>
      <c r="M514673" s="472"/>
    </row>
    <row r="514745" spans="12:13" x14ac:dyDescent="0.25">
      <c r="L514745" s="472"/>
      <c r="M514745" s="472"/>
    </row>
    <row r="514746" spans="12:13" x14ac:dyDescent="0.25">
      <c r="L514746" s="472"/>
      <c r="M514746" s="472"/>
    </row>
    <row r="514747" spans="12:13" x14ac:dyDescent="0.25">
      <c r="L514747" s="472"/>
      <c r="M514747" s="472"/>
    </row>
    <row r="514819" spans="12:13" x14ac:dyDescent="0.25">
      <c r="L514819" s="472"/>
      <c r="M514819" s="472"/>
    </row>
    <row r="514820" spans="12:13" x14ac:dyDescent="0.25">
      <c r="L514820" s="472"/>
      <c r="M514820" s="472"/>
    </row>
    <row r="514821" spans="12:13" x14ac:dyDescent="0.25">
      <c r="L514821" s="472"/>
      <c r="M514821" s="472"/>
    </row>
    <row r="514893" spans="12:13" x14ac:dyDescent="0.25">
      <c r="L514893" s="472"/>
      <c r="M514893" s="472"/>
    </row>
    <row r="514894" spans="12:13" x14ac:dyDescent="0.25">
      <c r="L514894" s="472"/>
      <c r="M514894" s="472"/>
    </row>
    <row r="514895" spans="12:13" x14ac:dyDescent="0.25">
      <c r="L514895" s="472"/>
      <c r="M514895" s="472"/>
    </row>
    <row r="514967" spans="12:13" x14ac:dyDescent="0.25">
      <c r="L514967" s="472"/>
      <c r="M514967" s="472"/>
    </row>
    <row r="514968" spans="12:13" x14ac:dyDescent="0.25">
      <c r="L514968" s="472"/>
      <c r="M514968" s="472"/>
    </row>
    <row r="514969" spans="12:13" x14ac:dyDescent="0.25">
      <c r="L514969" s="472"/>
      <c r="M514969" s="472"/>
    </row>
    <row r="515041" spans="12:13" x14ac:dyDescent="0.25">
      <c r="L515041" s="472"/>
      <c r="M515041" s="472"/>
    </row>
    <row r="515042" spans="12:13" x14ac:dyDescent="0.25">
      <c r="L515042" s="472"/>
      <c r="M515042" s="472"/>
    </row>
    <row r="515043" spans="12:13" x14ac:dyDescent="0.25">
      <c r="L515043" s="472"/>
      <c r="M515043" s="472"/>
    </row>
    <row r="515115" spans="12:13" x14ac:dyDescent="0.25">
      <c r="L515115" s="472"/>
      <c r="M515115" s="472"/>
    </row>
    <row r="515116" spans="12:13" x14ac:dyDescent="0.25">
      <c r="L515116" s="472"/>
      <c r="M515116" s="472"/>
    </row>
    <row r="515117" spans="12:13" x14ac:dyDescent="0.25">
      <c r="L515117" s="472"/>
      <c r="M515117" s="472"/>
    </row>
    <row r="515189" spans="12:13" x14ac:dyDescent="0.25">
      <c r="L515189" s="472"/>
      <c r="M515189" s="472"/>
    </row>
    <row r="515190" spans="12:13" x14ac:dyDescent="0.25">
      <c r="L515190" s="472"/>
      <c r="M515190" s="472"/>
    </row>
    <row r="515191" spans="12:13" x14ac:dyDescent="0.25">
      <c r="L515191" s="472"/>
      <c r="M515191" s="472"/>
    </row>
    <row r="515263" spans="12:13" x14ac:dyDescent="0.25">
      <c r="L515263" s="472"/>
      <c r="M515263" s="472"/>
    </row>
    <row r="515264" spans="12:13" x14ac:dyDescent="0.25">
      <c r="L515264" s="472"/>
      <c r="M515264" s="472"/>
    </row>
    <row r="515265" spans="12:13" x14ac:dyDescent="0.25">
      <c r="L515265" s="472"/>
      <c r="M515265" s="472"/>
    </row>
    <row r="515337" spans="12:13" x14ac:dyDescent="0.25">
      <c r="L515337" s="472"/>
      <c r="M515337" s="472"/>
    </row>
    <row r="515338" spans="12:13" x14ac:dyDescent="0.25">
      <c r="L515338" s="472"/>
      <c r="M515338" s="472"/>
    </row>
    <row r="515339" spans="12:13" x14ac:dyDescent="0.25">
      <c r="L515339" s="472"/>
      <c r="M515339" s="472"/>
    </row>
    <row r="515411" spans="12:13" x14ac:dyDescent="0.25">
      <c r="L515411" s="472"/>
      <c r="M515411" s="472"/>
    </row>
    <row r="515412" spans="12:13" x14ac:dyDescent="0.25">
      <c r="L515412" s="472"/>
      <c r="M515412" s="472"/>
    </row>
    <row r="515413" spans="12:13" x14ac:dyDescent="0.25">
      <c r="L515413" s="472"/>
      <c r="M515413" s="472"/>
    </row>
    <row r="515485" spans="12:13" x14ac:dyDescent="0.25">
      <c r="L515485" s="472"/>
      <c r="M515485" s="472"/>
    </row>
    <row r="515486" spans="12:13" x14ac:dyDescent="0.25">
      <c r="L515486" s="472"/>
      <c r="M515486" s="472"/>
    </row>
    <row r="515487" spans="12:13" x14ac:dyDescent="0.25">
      <c r="L515487" s="472"/>
      <c r="M515487" s="472"/>
    </row>
    <row r="515559" spans="12:13" x14ac:dyDescent="0.25">
      <c r="L515559" s="472"/>
      <c r="M515559" s="472"/>
    </row>
    <row r="515560" spans="12:13" x14ac:dyDescent="0.25">
      <c r="L515560" s="472"/>
      <c r="M515560" s="472"/>
    </row>
    <row r="515561" spans="12:13" x14ac:dyDescent="0.25">
      <c r="L515561" s="472"/>
      <c r="M515561" s="472"/>
    </row>
    <row r="515633" spans="12:13" x14ac:dyDescent="0.25">
      <c r="L515633" s="472"/>
      <c r="M515633" s="472"/>
    </row>
    <row r="515634" spans="12:13" x14ac:dyDescent="0.25">
      <c r="L515634" s="472"/>
      <c r="M515634" s="472"/>
    </row>
    <row r="515635" spans="12:13" x14ac:dyDescent="0.25">
      <c r="L515635" s="472"/>
      <c r="M515635" s="472"/>
    </row>
    <row r="515707" spans="12:13" x14ac:dyDescent="0.25">
      <c r="L515707" s="472"/>
      <c r="M515707" s="472"/>
    </row>
    <row r="515708" spans="12:13" x14ac:dyDescent="0.25">
      <c r="L515708" s="472"/>
      <c r="M515708" s="472"/>
    </row>
    <row r="515709" spans="12:13" x14ac:dyDescent="0.25">
      <c r="L515709" s="472"/>
      <c r="M515709" s="472"/>
    </row>
    <row r="515781" spans="12:13" x14ac:dyDescent="0.25">
      <c r="L515781" s="472"/>
      <c r="M515781" s="472"/>
    </row>
    <row r="515782" spans="12:13" x14ac:dyDescent="0.25">
      <c r="L515782" s="472"/>
      <c r="M515782" s="472"/>
    </row>
    <row r="515783" spans="12:13" x14ac:dyDescent="0.25">
      <c r="L515783" s="472"/>
      <c r="M515783" s="472"/>
    </row>
    <row r="515855" spans="12:13" x14ac:dyDescent="0.25">
      <c r="L515855" s="472"/>
      <c r="M515855" s="472"/>
    </row>
    <row r="515856" spans="12:13" x14ac:dyDescent="0.25">
      <c r="L515856" s="472"/>
      <c r="M515856" s="472"/>
    </row>
    <row r="515857" spans="12:13" x14ac:dyDescent="0.25">
      <c r="L515857" s="472"/>
      <c r="M515857" s="472"/>
    </row>
    <row r="515929" spans="12:13" x14ac:dyDescent="0.25">
      <c r="L515929" s="472"/>
      <c r="M515929" s="472"/>
    </row>
    <row r="515930" spans="12:13" x14ac:dyDescent="0.25">
      <c r="L515930" s="472"/>
      <c r="M515930" s="472"/>
    </row>
    <row r="515931" spans="12:13" x14ac:dyDescent="0.25">
      <c r="L515931" s="472"/>
      <c r="M515931" s="472"/>
    </row>
    <row r="516003" spans="12:13" x14ac:dyDescent="0.25">
      <c r="L516003" s="472"/>
      <c r="M516003" s="472"/>
    </row>
    <row r="516004" spans="12:13" x14ac:dyDescent="0.25">
      <c r="L516004" s="472"/>
      <c r="M516004" s="472"/>
    </row>
    <row r="516005" spans="12:13" x14ac:dyDescent="0.25">
      <c r="L516005" s="472"/>
      <c r="M516005" s="472"/>
    </row>
    <row r="516077" spans="12:13" x14ac:dyDescent="0.25">
      <c r="L516077" s="472"/>
      <c r="M516077" s="472"/>
    </row>
    <row r="516078" spans="12:13" x14ac:dyDescent="0.25">
      <c r="L516078" s="472"/>
      <c r="M516078" s="472"/>
    </row>
    <row r="516079" spans="12:13" x14ac:dyDescent="0.25">
      <c r="L516079" s="472"/>
      <c r="M516079" s="472"/>
    </row>
    <row r="516151" spans="12:13" x14ac:dyDescent="0.25">
      <c r="L516151" s="472"/>
      <c r="M516151" s="472"/>
    </row>
    <row r="516152" spans="12:13" x14ac:dyDescent="0.25">
      <c r="L516152" s="472"/>
      <c r="M516152" s="472"/>
    </row>
    <row r="516153" spans="12:13" x14ac:dyDescent="0.25">
      <c r="L516153" s="472"/>
      <c r="M516153" s="472"/>
    </row>
    <row r="516225" spans="12:13" x14ac:dyDescent="0.25">
      <c r="L516225" s="472"/>
      <c r="M516225" s="472"/>
    </row>
    <row r="516226" spans="12:13" x14ac:dyDescent="0.25">
      <c r="L516226" s="472"/>
      <c r="M516226" s="472"/>
    </row>
    <row r="516227" spans="12:13" x14ac:dyDescent="0.25">
      <c r="L516227" s="472"/>
      <c r="M516227" s="472"/>
    </row>
    <row r="516299" spans="12:13" x14ac:dyDescent="0.25">
      <c r="L516299" s="472"/>
      <c r="M516299" s="472"/>
    </row>
    <row r="516300" spans="12:13" x14ac:dyDescent="0.25">
      <c r="L516300" s="472"/>
      <c r="M516300" s="472"/>
    </row>
    <row r="516301" spans="12:13" x14ac:dyDescent="0.25">
      <c r="L516301" s="472"/>
      <c r="M516301" s="472"/>
    </row>
    <row r="516373" spans="12:13" x14ac:dyDescent="0.25">
      <c r="L516373" s="472"/>
      <c r="M516373" s="472"/>
    </row>
    <row r="516374" spans="12:13" x14ac:dyDescent="0.25">
      <c r="L516374" s="472"/>
      <c r="M516374" s="472"/>
    </row>
    <row r="516375" spans="12:13" x14ac:dyDescent="0.25">
      <c r="L516375" s="472"/>
      <c r="M516375" s="472"/>
    </row>
    <row r="516447" spans="12:13" x14ac:dyDescent="0.25">
      <c r="L516447" s="472"/>
      <c r="M516447" s="472"/>
    </row>
    <row r="516448" spans="12:13" x14ac:dyDescent="0.25">
      <c r="L516448" s="472"/>
      <c r="M516448" s="472"/>
    </row>
    <row r="516449" spans="12:13" x14ac:dyDescent="0.25">
      <c r="L516449" s="472"/>
      <c r="M516449" s="472"/>
    </row>
    <row r="516521" spans="12:13" x14ac:dyDescent="0.25">
      <c r="L516521" s="472"/>
      <c r="M516521" s="472"/>
    </row>
    <row r="516522" spans="12:13" x14ac:dyDescent="0.25">
      <c r="L516522" s="472"/>
      <c r="M516522" s="472"/>
    </row>
    <row r="516523" spans="12:13" x14ac:dyDescent="0.25">
      <c r="L516523" s="472"/>
      <c r="M516523" s="472"/>
    </row>
    <row r="516595" spans="12:13" x14ac:dyDescent="0.25">
      <c r="L516595" s="472"/>
      <c r="M516595" s="472"/>
    </row>
    <row r="516596" spans="12:13" x14ac:dyDescent="0.25">
      <c r="L516596" s="472"/>
      <c r="M516596" s="472"/>
    </row>
    <row r="516597" spans="12:13" x14ac:dyDescent="0.25">
      <c r="L516597" s="472"/>
      <c r="M516597" s="472"/>
    </row>
    <row r="516669" spans="12:13" x14ac:dyDescent="0.25">
      <c r="L516669" s="472"/>
      <c r="M516669" s="472"/>
    </row>
    <row r="516670" spans="12:13" x14ac:dyDescent="0.25">
      <c r="L516670" s="472"/>
      <c r="M516670" s="472"/>
    </row>
    <row r="516671" spans="12:13" x14ac:dyDescent="0.25">
      <c r="L516671" s="472"/>
      <c r="M516671" s="472"/>
    </row>
    <row r="516743" spans="12:13" x14ac:dyDescent="0.25">
      <c r="L516743" s="472"/>
      <c r="M516743" s="472"/>
    </row>
    <row r="516744" spans="12:13" x14ac:dyDescent="0.25">
      <c r="L516744" s="472"/>
      <c r="M516744" s="472"/>
    </row>
    <row r="516745" spans="12:13" x14ac:dyDescent="0.25">
      <c r="L516745" s="472"/>
      <c r="M516745" s="472"/>
    </row>
    <row r="516817" spans="12:13" x14ac:dyDescent="0.25">
      <c r="L516817" s="472"/>
      <c r="M516817" s="472"/>
    </row>
    <row r="516818" spans="12:13" x14ac:dyDescent="0.25">
      <c r="L516818" s="472"/>
      <c r="M516818" s="472"/>
    </row>
    <row r="516819" spans="12:13" x14ac:dyDescent="0.25">
      <c r="L516819" s="472"/>
      <c r="M516819" s="472"/>
    </row>
    <row r="516891" spans="12:13" x14ac:dyDescent="0.25">
      <c r="L516891" s="472"/>
      <c r="M516891" s="472"/>
    </row>
    <row r="516892" spans="12:13" x14ac:dyDescent="0.25">
      <c r="L516892" s="472"/>
      <c r="M516892" s="472"/>
    </row>
    <row r="516893" spans="12:13" x14ac:dyDescent="0.25">
      <c r="L516893" s="472"/>
      <c r="M516893" s="472"/>
    </row>
    <row r="516965" spans="12:13" x14ac:dyDescent="0.25">
      <c r="L516965" s="472"/>
      <c r="M516965" s="472"/>
    </row>
    <row r="516966" spans="12:13" x14ac:dyDescent="0.25">
      <c r="L516966" s="472"/>
      <c r="M516966" s="472"/>
    </row>
    <row r="516967" spans="12:13" x14ac:dyDescent="0.25">
      <c r="L516967" s="472"/>
      <c r="M516967" s="472"/>
    </row>
    <row r="517039" spans="12:13" x14ac:dyDescent="0.25">
      <c r="L517039" s="472"/>
      <c r="M517039" s="472"/>
    </row>
    <row r="517040" spans="12:13" x14ac:dyDescent="0.25">
      <c r="L517040" s="472"/>
      <c r="M517040" s="472"/>
    </row>
    <row r="517041" spans="12:13" x14ac:dyDescent="0.25">
      <c r="L517041" s="472"/>
      <c r="M517041" s="472"/>
    </row>
    <row r="517113" spans="12:13" x14ac:dyDescent="0.25">
      <c r="L517113" s="472"/>
      <c r="M517113" s="472"/>
    </row>
    <row r="517114" spans="12:13" x14ac:dyDescent="0.25">
      <c r="L517114" s="472"/>
      <c r="M517114" s="472"/>
    </row>
    <row r="517115" spans="12:13" x14ac:dyDescent="0.25">
      <c r="L517115" s="472"/>
      <c r="M517115" s="472"/>
    </row>
    <row r="517187" spans="12:13" x14ac:dyDescent="0.25">
      <c r="L517187" s="472"/>
      <c r="M517187" s="472"/>
    </row>
    <row r="517188" spans="12:13" x14ac:dyDescent="0.25">
      <c r="L517188" s="472"/>
      <c r="M517188" s="472"/>
    </row>
    <row r="517189" spans="12:13" x14ac:dyDescent="0.25">
      <c r="L517189" s="472"/>
      <c r="M517189" s="472"/>
    </row>
    <row r="517261" spans="12:13" x14ac:dyDescent="0.25">
      <c r="L517261" s="472"/>
      <c r="M517261" s="472"/>
    </row>
    <row r="517262" spans="12:13" x14ac:dyDescent="0.25">
      <c r="L517262" s="472"/>
      <c r="M517262" s="472"/>
    </row>
    <row r="517263" spans="12:13" x14ac:dyDescent="0.25">
      <c r="L517263" s="472"/>
      <c r="M517263" s="472"/>
    </row>
    <row r="517335" spans="12:13" x14ac:dyDescent="0.25">
      <c r="L517335" s="472"/>
      <c r="M517335" s="472"/>
    </row>
    <row r="517336" spans="12:13" x14ac:dyDescent="0.25">
      <c r="L517336" s="472"/>
      <c r="M517336" s="472"/>
    </row>
    <row r="517337" spans="12:13" x14ac:dyDescent="0.25">
      <c r="L517337" s="472"/>
      <c r="M517337" s="472"/>
    </row>
    <row r="517409" spans="12:13" x14ac:dyDescent="0.25">
      <c r="L517409" s="472"/>
      <c r="M517409" s="472"/>
    </row>
    <row r="517410" spans="12:13" x14ac:dyDescent="0.25">
      <c r="L517410" s="472"/>
      <c r="M517410" s="472"/>
    </row>
    <row r="517411" spans="12:13" x14ac:dyDescent="0.25">
      <c r="L517411" s="472"/>
      <c r="M517411" s="472"/>
    </row>
    <row r="517483" spans="12:13" x14ac:dyDescent="0.25">
      <c r="L517483" s="472"/>
      <c r="M517483" s="472"/>
    </row>
    <row r="517484" spans="12:13" x14ac:dyDescent="0.25">
      <c r="L517484" s="472"/>
      <c r="M517484" s="472"/>
    </row>
    <row r="517485" spans="12:13" x14ac:dyDescent="0.25">
      <c r="L517485" s="472"/>
      <c r="M517485" s="472"/>
    </row>
    <row r="517557" spans="12:13" x14ac:dyDescent="0.25">
      <c r="L517557" s="472"/>
      <c r="M517557" s="472"/>
    </row>
    <row r="517558" spans="12:13" x14ac:dyDescent="0.25">
      <c r="L517558" s="472"/>
      <c r="M517558" s="472"/>
    </row>
    <row r="517559" spans="12:13" x14ac:dyDescent="0.25">
      <c r="L517559" s="472"/>
      <c r="M517559" s="472"/>
    </row>
    <row r="517631" spans="12:13" x14ac:dyDescent="0.25">
      <c r="L517631" s="472"/>
      <c r="M517631" s="472"/>
    </row>
    <row r="517632" spans="12:13" x14ac:dyDescent="0.25">
      <c r="L517632" s="472"/>
      <c r="M517632" s="472"/>
    </row>
    <row r="517633" spans="12:13" x14ac:dyDescent="0.25">
      <c r="L517633" s="472"/>
      <c r="M517633" s="472"/>
    </row>
    <row r="517705" spans="12:13" x14ac:dyDescent="0.25">
      <c r="L517705" s="472"/>
      <c r="M517705" s="472"/>
    </row>
    <row r="517706" spans="12:13" x14ac:dyDescent="0.25">
      <c r="L517706" s="472"/>
      <c r="M517706" s="472"/>
    </row>
    <row r="517707" spans="12:13" x14ac:dyDescent="0.25">
      <c r="L517707" s="472"/>
      <c r="M517707" s="472"/>
    </row>
    <row r="517779" spans="12:13" x14ac:dyDescent="0.25">
      <c r="L517779" s="472"/>
      <c r="M517779" s="472"/>
    </row>
    <row r="517780" spans="12:13" x14ac:dyDescent="0.25">
      <c r="L517780" s="472"/>
      <c r="M517780" s="472"/>
    </row>
    <row r="517781" spans="12:13" x14ac:dyDescent="0.25">
      <c r="L517781" s="472"/>
      <c r="M517781" s="472"/>
    </row>
    <row r="517853" spans="12:13" x14ac:dyDescent="0.25">
      <c r="L517853" s="472"/>
      <c r="M517853" s="472"/>
    </row>
    <row r="517854" spans="12:13" x14ac:dyDescent="0.25">
      <c r="L517854" s="472"/>
      <c r="M517854" s="472"/>
    </row>
    <row r="517855" spans="12:13" x14ac:dyDescent="0.25">
      <c r="L517855" s="472"/>
      <c r="M517855" s="472"/>
    </row>
    <row r="517927" spans="12:13" x14ac:dyDescent="0.25">
      <c r="L517927" s="472"/>
      <c r="M517927" s="472"/>
    </row>
    <row r="517928" spans="12:13" x14ac:dyDescent="0.25">
      <c r="L517928" s="472"/>
      <c r="M517928" s="472"/>
    </row>
    <row r="517929" spans="12:13" x14ac:dyDescent="0.25">
      <c r="L517929" s="472"/>
      <c r="M517929" s="472"/>
    </row>
    <row r="518001" spans="12:13" x14ac:dyDescent="0.25">
      <c r="L518001" s="472"/>
      <c r="M518001" s="472"/>
    </row>
    <row r="518002" spans="12:13" x14ac:dyDescent="0.25">
      <c r="L518002" s="472"/>
      <c r="M518002" s="472"/>
    </row>
    <row r="518003" spans="12:13" x14ac:dyDescent="0.25">
      <c r="L518003" s="472"/>
      <c r="M518003" s="472"/>
    </row>
    <row r="518075" spans="12:13" x14ac:dyDescent="0.25">
      <c r="L518075" s="472"/>
      <c r="M518075" s="472"/>
    </row>
    <row r="518076" spans="12:13" x14ac:dyDescent="0.25">
      <c r="L518076" s="472"/>
      <c r="M518076" s="472"/>
    </row>
    <row r="518077" spans="12:13" x14ac:dyDescent="0.25">
      <c r="L518077" s="472"/>
      <c r="M518077" s="472"/>
    </row>
    <row r="518149" spans="12:13" x14ac:dyDescent="0.25">
      <c r="L518149" s="472"/>
      <c r="M518149" s="472"/>
    </row>
    <row r="518150" spans="12:13" x14ac:dyDescent="0.25">
      <c r="L518150" s="472"/>
      <c r="M518150" s="472"/>
    </row>
    <row r="518151" spans="12:13" x14ac:dyDescent="0.25">
      <c r="L518151" s="472"/>
      <c r="M518151" s="472"/>
    </row>
    <row r="518223" spans="12:13" x14ac:dyDescent="0.25">
      <c r="L518223" s="472"/>
      <c r="M518223" s="472"/>
    </row>
    <row r="518224" spans="12:13" x14ac:dyDescent="0.25">
      <c r="L518224" s="472"/>
      <c r="M518224" s="472"/>
    </row>
    <row r="518225" spans="12:13" x14ac:dyDescent="0.25">
      <c r="L518225" s="472"/>
      <c r="M518225" s="472"/>
    </row>
    <row r="518297" spans="12:13" x14ac:dyDescent="0.25">
      <c r="L518297" s="472"/>
      <c r="M518297" s="472"/>
    </row>
    <row r="518298" spans="12:13" x14ac:dyDescent="0.25">
      <c r="L518298" s="472"/>
      <c r="M518298" s="472"/>
    </row>
    <row r="518299" spans="12:13" x14ac:dyDescent="0.25">
      <c r="L518299" s="472"/>
      <c r="M518299" s="472"/>
    </row>
    <row r="518371" spans="12:13" x14ac:dyDescent="0.25">
      <c r="L518371" s="472"/>
      <c r="M518371" s="472"/>
    </row>
    <row r="518372" spans="12:13" x14ac:dyDescent="0.25">
      <c r="L518372" s="472"/>
      <c r="M518372" s="472"/>
    </row>
    <row r="518373" spans="12:13" x14ac:dyDescent="0.25">
      <c r="L518373" s="472"/>
      <c r="M518373" s="472"/>
    </row>
    <row r="518445" spans="12:13" x14ac:dyDescent="0.25">
      <c r="L518445" s="472"/>
      <c r="M518445" s="472"/>
    </row>
    <row r="518446" spans="12:13" x14ac:dyDescent="0.25">
      <c r="L518446" s="472"/>
      <c r="M518446" s="472"/>
    </row>
    <row r="518447" spans="12:13" x14ac:dyDescent="0.25">
      <c r="L518447" s="472"/>
      <c r="M518447" s="472"/>
    </row>
    <row r="518519" spans="12:13" x14ac:dyDescent="0.25">
      <c r="L518519" s="472"/>
      <c r="M518519" s="472"/>
    </row>
    <row r="518520" spans="12:13" x14ac:dyDescent="0.25">
      <c r="L518520" s="472"/>
      <c r="M518520" s="472"/>
    </row>
    <row r="518521" spans="12:13" x14ac:dyDescent="0.25">
      <c r="L518521" s="472"/>
      <c r="M518521" s="472"/>
    </row>
    <row r="518593" spans="12:13" x14ac:dyDescent="0.25">
      <c r="L518593" s="472"/>
      <c r="M518593" s="472"/>
    </row>
    <row r="518594" spans="12:13" x14ac:dyDescent="0.25">
      <c r="L518594" s="472"/>
      <c r="M518594" s="472"/>
    </row>
    <row r="518595" spans="12:13" x14ac:dyDescent="0.25">
      <c r="L518595" s="472"/>
      <c r="M518595" s="472"/>
    </row>
    <row r="518667" spans="12:13" x14ac:dyDescent="0.25">
      <c r="L518667" s="472"/>
      <c r="M518667" s="472"/>
    </row>
    <row r="518668" spans="12:13" x14ac:dyDescent="0.25">
      <c r="L518668" s="472"/>
      <c r="M518668" s="472"/>
    </row>
    <row r="518669" spans="12:13" x14ac:dyDescent="0.25">
      <c r="L518669" s="472"/>
      <c r="M518669" s="472"/>
    </row>
    <row r="518741" spans="12:13" x14ac:dyDescent="0.25">
      <c r="L518741" s="472"/>
      <c r="M518741" s="472"/>
    </row>
    <row r="518742" spans="12:13" x14ac:dyDescent="0.25">
      <c r="L518742" s="472"/>
      <c r="M518742" s="472"/>
    </row>
    <row r="518743" spans="12:13" x14ac:dyDescent="0.25">
      <c r="L518743" s="472"/>
      <c r="M518743" s="472"/>
    </row>
    <row r="518815" spans="12:13" x14ac:dyDescent="0.25">
      <c r="L518815" s="472"/>
      <c r="M518815" s="472"/>
    </row>
    <row r="518816" spans="12:13" x14ac:dyDescent="0.25">
      <c r="L518816" s="472"/>
      <c r="M518816" s="472"/>
    </row>
    <row r="518817" spans="12:13" x14ac:dyDescent="0.25">
      <c r="L518817" s="472"/>
      <c r="M518817" s="472"/>
    </row>
    <row r="518889" spans="12:13" x14ac:dyDescent="0.25">
      <c r="L518889" s="472"/>
      <c r="M518889" s="472"/>
    </row>
    <row r="518890" spans="12:13" x14ac:dyDescent="0.25">
      <c r="L518890" s="472"/>
      <c r="M518890" s="472"/>
    </row>
    <row r="518891" spans="12:13" x14ac:dyDescent="0.25">
      <c r="L518891" s="472"/>
      <c r="M518891" s="472"/>
    </row>
    <row r="518963" spans="12:13" x14ac:dyDescent="0.25">
      <c r="L518963" s="472"/>
      <c r="M518963" s="472"/>
    </row>
    <row r="518964" spans="12:13" x14ac:dyDescent="0.25">
      <c r="L518964" s="472"/>
      <c r="M518964" s="472"/>
    </row>
    <row r="518965" spans="12:13" x14ac:dyDescent="0.25">
      <c r="L518965" s="472"/>
      <c r="M518965" s="472"/>
    </row>
    <row r="519037" spans="12:13" x14ac:dyDescent="0.25">
      <c r="L519037" s="472"/>
      <c r="M519037" s="472"/>
    </row>
    <row r="519038" spans="12:13" x14ac:dyDescent="0.25">
      <c r="L519038" s="472"/>
      <c r="M519038" s="472"/>
    </row>
    <row r="519039" spans="12:13" x14ac:dyDescent="0.25">
      <c r="L519039" s="472"/>
      <c r="M519039" s="472"/>
    </row>
    <row r="519111" spans="12:13" x14ac:dyDescent="0.25">
      <c r="L519111" s="472"/>
      <c r="M519111" s="472"/>
    </row>
    <row r="519112" spans="12:13" x14ac:dyDescent="0.25">
      <c r="L519112" s="472"/>
      <c r="M519112" s="472"/>
    </row>
    <row r="519113" spans="12:13" x14ac:dyDescent="0.25">
      <c r="L519113" s="472"/>
      <c r="M519113" s="472"/>
    </row>
    <row r="519185" spans="12:13" x14ac:dyDescent="0.25">
      <c r="L519185" s="472"/>
      <c r="M519185" s="472"/>
    </row>
    <row r="519186" spans="12:13" x14ac:dyDescent="0.25">
      <c r="L519186" s="472"/>
      <c r="M519186" s="472"/>
    </row>
    <row r="519187" spans="12:13" x14ac:dyDescent="0.25">
      <c r="L519187" s="472"/>
      <c r="M519187" s="472"/>
    </row>
    <row r="519259" spans="12:13" x14ac:dyDescent="0.25">
      <c r="L519259" s="472"/>
      <c r="M519259" s="472"/>
    </row>
    <row r="519260" spans="12:13" x14ac:dyDescent="0.25">
      <c r="L519260" s="472"/>
      <c r="M519260" s="472"/>
    </row>
    <row r="519261" spans="12:13" x14ac:dyDescent="0.25">
      <c r="L519261" s="472"/>
      <c r="M519261" s="472"/>
    </row>
    <row r="519333" spans="12:13" x14ac:dyDescent="0.25">
      <c r="L519333" s="472"/>
      <c r="M519333" s="472"/>
    </row>
    <row r="519334" spans="12:13" x14ac:dyDescent="0.25">
      <c r="L519334" s="472"/>
      <c r="M519334" s="472"/>
    </row>
    <row r="519335" spans="12:13" x14ac:dyDescent="0.25">
      <c r="L519335" s="472"/>
      <c r="M519335" s="472"/>
    </row>
    <row r="519407" spans="12:13" x14ac:dyDescent="0.25">
      <c r="L519407" s="472"/>
      <c r="M519407" s="472"/>
    </row>
    <row r="519408" spans="12:13" x14ac:dyDescent="0.25">
      <c r="L519408" s="472"/>
      <c r="M519408" s="472"/>
    </row>
    <row r="519409" spans="12:13" x14ac:dyDescent="0.25">
      <c r="L519409" s="472"/>
      <c r="M519409" s="472"/>
    </row>
    <row r="519481" spans="12:13" x14ac:dyDescent="0.25">
      <c r="L519481" s="472"/>
      <c r="M519481" s="472"/>
    </row>
    <row r="519482" spans="12:13" x14ac:dyDescent="0.25">
      <c r="L519482" s="472"/>
      <c r="M519482" s="472"/>
    </row>
    <row r="519483" spans="12:13" x14ac:dyDescent="0.25">
      <c r="L519483" s="472"/>
      <c r="M519483" s="472"/>
    </row>
    <row r="519555" spans="12:13" x14ac:dyDescent="0.25">
      <c r="L519555" s="472"/>
      <c r="M519555" s="472"/>
    </row>
    <row r="519556" spans="12:13" x14ac:dyDescent="0.25">
      <c r="L519556" s="472"/>
      <c r="M519556" s="472"/>
    </row>
    <row r="519557" spans="12:13" x14ac:dyDescent="0.25">
      <c r="L519557" s="472"/>
      <c r="M519557" s="472"/>
    </row>
    <row r="519629" spans="12:13" x14ac:dyDescent="0.25">
      <c r="L519629" s="472"/>
      <c r="M519629" s="472"/>
    </row>
    <row r="519630" spans="12:13" x14ac:dyDescent="0.25">
      <c r="L519630" s="472"/>
      <c r="M519630" s="472"/>
    </row>
    <row r="519631" spans="12:13" x14ac:dyDescent="0.25">
      <c r="L519631" s="472"/>
      <c r="M519631" s="472"/>
    </row>
    <row r="519703" spans="12:13" x14ac:dyDescent="0.25">
      <c r="L519703" s="472"/>
      <c r="M519703" s="472"/>
    </row>
    <row r="519704" spans="12:13" x14ac:dyDescent="0.25">
      <c r="L519704" s="472"/>
      <c r="M519704" s="472"/>
    </row>
    <row r="519705" spans="12:13" x14ac:dyDescent="0.25">
      <c r="L519705" s="472"/>
      <c r="M519705" s="472"/>
    </row>
    <row r="519777" spans="12:13" x14ac:dyDescent="0.25">
      <c r="L519777" s="472"/>
      <c r="M519777" s="472"/>
    </row>
    <row r="519778" spans="12:13" x14ac:dyDescent="0.25">
      <c r="L519778" s="472"/>
      <c r="M519778" s="472"/>
    </row>
    <row r="519779" spans="12:13" x14ac:dyDescent="0.25">
      <c r="L519779" s="472"/>
      <c r="M519779" s="472"/>
    </row>
    <row r="519851" spans="12:13" x14ac:dyDescent="0.25">
      <c r="L519851" s="472"/>
      <c r="M519851" s="472"/>
    </row>
    <row r="519852" spans="12:13" x14ac:dyDescent="0.25">
      <c r="L519852" s="472"/>
      <c r="M519852" s="472"/>
    </row>
    <row r="519853" spans="12:13" x14ac:dyDescent="0.25">
      <c r="L519853" s="472"/>
      <c r="M519853" s="472"/>
    </row>
    <row r="519925" spans="12:13" x14ac:dyDescent="0.25">
      <c r="L519925" s="472"/>
      <c r="M519925" s="472"/>
    </row>
    <row r="519926" spans="12:13" x14ac:dyDescent="0.25">
      <c r="L519926" s="472"/>
      <c r="M519926" s="472"/>
    </row>
    <row r="519927" spans="12:13" x14ac:dyDescent="0.25">
      <c r="L519927" s="472"/>
      <c r="M519927" s="472"/>
    </row>
    <row r="519999" spans="12:13" x14ac:dyDescent="0.25">
      <c r="L519999" s="472"/>
      <c r="M519999" s="472"/>
    </row>
    <row r="520000" spans="12:13" x14ac:dyDescent="0.25">
      <c r="L520000" s="472"/>
      <c r="M520000" s="472"/>
    </row>
    <row r="520001" spans="12:13" x14ac:dyDescent="0.25">
      <c r="L520001" s="472"/>
      <c r="M520001" s="472"/>
    </row>
    <row r="520073" spans="12:13" x14ac:dyDescent="0.25">
      <c r="L520073" s="472"/>
      <c r="M520073" s="472"/>
    </row>
    <row r="520074" spans="12:13" x14ac:dyDescent="0.25">
      <c r="L520074" s="472"/>
      <c r="M520074" s="472"/>
    </row>
    <row r="520075" spans="12:13" x14ac:dyDescent="0.25">
      <c r="L520075" s="472"/>
      <c r="M520075" s="472"/>
    </row>
    <row r="520147" spans="12:13" x14ac:dyDescent="0.25">
      <c r="L520147" s="472"/>
      <c r="M520147" s="472"/>
    </row>
    <row r="520148" spans="12:13" x14ac:dyDescent="0.25">
      <c r="L520148" s="472"/>
      <c r="M520148" s="472"/>
    </row>
    <row r="520149" spans="12:13" x14ac:dyDescent="0.25">
      <c r="L520149" s="472"/>
      <c r="M520149" s="472"/>
    </row>
    <row r="520221" spans="12:13" x14ac:dyDescent="0.25">
      <c r="L520221" s="472"/>
      <c r="M520221" s="472"/>
    </row>
    <row r="520222" spans="12:13" x14ac:dyDescent="0.25">
      <c r="L520222" s="472"/>
      <c r="M520222" s="472"/>
    </row>
    <row r="520223" spans="12:13" x14ac:dyDescent="0.25">
      <c r="L520223" s="472"/>
      <c r="M520223" s="472"/>
    </row>
    <row r="520295" spans="12:13" x14ac:dyDescent="0.25">
      <c r="L520295" s="472"/>
      <c r="M520295" s="472"/>
    </row>
    <row r="520296" spans="12:13" x14ac:dyDescent="0.25">
      <c r="L520296" s="472"/>
      <c r="M520296" s="472"/>
    </row>
    <row r="520297" spans="12:13" x14ac:dyDescent="0.25">
      <c r="L520297" s="472"/>
      <c r="M520297" s="472"/>
    </row>
    <row r="520369" spans="12:13" x14ac:dyDescent="0.25">
      <c r="L520369" s="472"/>
      <c r="M520369" s="472"/>
    </row>
    <row r="520370" spans="12:13" x14ac:dyDescent="0.25">
      <c r="L520370" s="472"/>
      <c r="M520370" s="472"/>
    </row>
    <row r="520371" spans="12:13" x14ac:dyDescent="0.25">
      <c r="L520371" s="472"/>
      <c r="M520371" s="472"/>
    </row>
    <row r="520443" spans="12:13" x14ac:dyDescent="0.25">
      <c r="L520443" s="472"/>
      <c r="M520443" s="472"/>
    </row>
    <row r="520444" spans="12:13" x14ac:dyDescent="0.25">
      <c r="L520444" s="472"/>
      <c r="M520444" s="472"/>
    </row>
    <row r="520445" spans="12:13" x14ac:dyDescent="0.25">
      <c r="L520445" s="472"/>
      <c r="M520445" s="472"/>
    </row>
    <row r="520517" spans="12:13" x14ac:dyDescent="0.25">
      <c r="L520517" s="472"/>
      <c r="M520517" s="472"/>
    </row>
    <row r="520518" spans="12:13" x14ac:dyDescent="0.25">
      <c r="L520518" s="472"/>
      <c r="M520518" s="472"/>
    </row>
    <row r="520519" spans="12:13" x14ac:dyDescent="0.25">
      <c r="L520519" s="472"/>
      <c r="M520519" s="472"/>
    </row>
    <row r="520591" spans="12:13" x14ac:dyDescent="0.25">
      <c r="L520591" s="472"/>
      <c r="M520591" s="472"/>
    </row>
    <row r="520592" spans="12:13" x14ac:dyDescent="0.25">
      <c r="L520592" s="472"/>
      <c r="M520592" s="472"/>
    </row>
    <row r="520593" spans="12:13" x14ac:dyDescent="0.25">
      <c r="L520593" s="472"/>
      <c r="M520593" s="472"/>
    </row>
    <row r="520665" spans="12:13" x14ac:dyDescent="0.25">
      <c r="L520665" s="472"/>
      <c r="M520665" s="472"/>
    </row>
    <row r="520666" spans="12:13" x14ac:dyDescent="0.25">
      <c r="L520666" s="472"/>
      <c r="M520666" s="472"/>
    </row>
    <row r="520667" spans="12:13" x14ac:dyDescent="0.25">
      <c r="L520667" s="472"/>
      <c r="M520667" s="472"/>
    </row>
    <row r="520739" spans="12:13" x14ac:dyDescent="0.25">
      <c r="L520739" s="472"/>
      <c r="M520739" s="472"/>
    </row>
    <row r="520740" spans="12:13" x14ac:dyDescent="0.25">
      <c r="L520740" s="472"/>
      <c r="M520740" s="472"/>
    </row>
    <row r="520741" spans="12:13" x14ac:dyDescent="0.25">
      <c r="L520741" s="472"/>
      <c r="M520741" s="472"/>
    </row>
    <row r="520813" spans="12:13" x14ac:dyDescent="0.25">
      <c r="L520813" s="472"/>
      <c r="M520813" s="472"/>
    </row>
    <row r="520814" spans="12:13" x14ac:dyDescent="0.25">
      <c r="L520814" s="472"/>
      <c r="M520814" s="472"/>
    </row>
    <row r="520815" spans="12:13" x14ac:dyDescent="0.25">
      <c r="L520815" s="472"/>
      <c r="M520815" s="472"/>
    </row>
    <row r="520887" spans="12:13" x14ac:dyDescent="0.25">
      <c r="L520887" s="472"/>
      <c r="M520887" s="472"/>
    </row>
    <row r="520888" spans="12:13" x14ac:dyDescent="0.25">
      <c r="L520888" s="472"/>
      <c r="M520888" s="472"/>
    </row>
    <row r="520889" spans="12:13" x14ac:dyDescent="0.25">
      <c r="L520889" s="472"/>
      <c r="M520889" s="472"/>
    </row>
    <row r="520961" spans="12:13" x14ac:dyDescent="0.25">
      <c r="L520961" s="472"/>
      <c r="M520961" s="472"/>
    </row>
    <row r="520962" spans="12:13" x14ac:dyDescent="0.25">
      <c r="L520962" s="472"/>
      <c r="M520962" s="472"/>
    </row>
    <row r="520963" spans="12:13" x14ac:dyDescent="0.25">
      <c r="L520963" s="472"/>
      <c r="M520963" s="472"/>
    </row>
    <row r="521035" spans="12:13" x14ac:dyDescent="0.25">
      <c r="L521035" s="472"/>
      <c r="M521035" s="472"/>
    </row>
    <row r="521036" spans="12:13" x14ac:dyDescent="0.25">
      <c r="L521036" s="472"/>
      <c r="M521036" s="472"/>
    </row>
    <row r="521037" spans="12:13" x14ac:dyDescent="0.25">
      <c r="L521037" s="472"/>
      <c r="M521037" s="472"/>
    </row>
    <row r="521109" spans="12:13" x14ac:dyDescent="0.25">
      <c r="L521109" s="472"/>
      <c r="M521109" s="472"/>
    </row>
    <row r="521110" spans="12:13" x14ac:dyDescent="0.25">
      <c r="L521110" s="472"/>
      <c r="M521110" s="472"/>
    </row>
    <row r="521111" spans="12:13" x14ac:dyDescent="0.25">
      <c r="L521111" s="472"/>
      <c r="M521111" s="472"/>
    </row>
    <row r="521183" spans="12:13" x14ac:dyDescent="0.25">
      <c r="L521183" s="472"/>
      <c r="M521183" s="472"/>
    </row>
    <row r="521184" spans="12:13" x14ac:dyDescent="0.25">
      <c r="L521184" s="472"/>
      <c r="M521184" s="472"/>
    </row>
    <row r="521185" spans="12:13" x14ac:dyDescent="0.25">
      <c r="L521185" s="472"/>
      <c r="M521185" s="472"/>
    </row>
    <row r="521257" spans="12:13" x14ac:dyDescent="0.25">
      <c r="L521257" s="472"/>
      <c r="M521257" s="472"/>
    </row>
    <row r="521258" spans="12:13" x14ac:dyDescent="0.25">
      <c r="L521258" s="472"/>
      <c r="M521258" s="472"/>
    </row>
    <row r="521259" spans="12:13" x14ac:dyDescent="0.25">
      <c r="L521259" s="472"/>
      <c r="M521259" s="472"/>
    </row>
    <row r="521331" spans="12:13" x14ac:dyDescent="0.25">
      <c r="L521331" s="472"/>
      <c r="M521331" s="472"/>
    </row>
    <row r="521332" spans="12:13" x14ac:dyDescent="0.25">
      <c r="L521332" s="472"/>
      <c r="M521332" s="472"/>
    </row>
    <row r="521333" spans="12:13" x14ac:dyDescent="0.25">
      <c r="L521333" s="472"/>
      <c r="M521333" s="472"/>
    </row>
    <row r="521405" spans="12:13" x14ac:dyDescent="0.25">
      <c r="L521405" s="472"/>
      <c r="M521405" s="472"/>
    </row>
    <row r="521406" spans="12:13" x14ac:dyDescent="0.25">
      <c r="L521406" s="472"/>
      <c r="M521406" s="472"/>
    </row>
    <row r="521407" spans="12:13" x14ac:dyDescent="0.25">
      <c r="L521407" s="472"/>
      <c r="M521407" s="472"/>
    </row>
    <row r="521479" spans="12:13" x14ac:dyDescent="0.25">
      <c r="L521479" s="472"/>
      <c r="M521479" s="472"/>
    </row>
    <row r="521480" spans="12:13" x14ac:dyDescent="0.25">
      <c r="L521480" s="472"/>
      <c r="M521480" s="472"/>
    </row>
    <row r="521481" spans="12:13" x14ac:dyDescent="0.25">
      <c r="L521481" s="472"/>
      <c r="M521481" s="472"/>
    </row>
    <row r="521553" spans="12:13" x14ac:dyDescent="0.25">
      <c r="L521553" s="472"/>
      <c r="M521553" s="472"/>
    </row>
    <row r="521554" spans="12:13" x14ac:dyDescent="0.25">
      <c r="L521554" s="472"/>
      <c r="M521554" s="472"/>
    </row>
    <row r="521555" spans="12:13" x14ac:dyDescent="0.25">
      <c r="L521555" s="472"/>
      <c r="M521555" s="472"/>
    </row>
    <row r="521627" spans="12:13" x14ac:dyDescent="0.25">
      <c r="L521627" s="472"/>
      <c r="M521627" s="472"/>
    </row>
    <row r="521628" spans="12:13" x14ac:dyDescent="0.25">
      <c r="L521628" s="472"/>
      <c r="M521628" s="472"/>
    </row>
    <row r="521629" spans="12:13" x14ac:dyDescent="0.25">
      <c r="L521629" s="472"/>
      <c r="M521629" s="472"/>
    </row>
    <row r="521701" spans="12:13" x14ac:dyDescent="0.25">
      <c r="L521701" s="472"/>
      <c r="M521701" s="472"/>
    </row>
    <row r="521702" spans="12:13" x14ac:dyDescent="0.25">
      <c r="L521702" s="472"/>
      <c r="M521702" s="472"/>
    </row>
    <row r="521703" spans="12:13" x14ac:dyDescent="0.25">
      <c r="L521703" s="472"/>
      <c r="M521703" s="472"/>
    </row>
    <row r="521775" spans="12:13" x14ac:dyDescent="0.25">
      <c r="L521775" s="472"/>
      <c r="M521775" s="472"/>
    </row>
    <row r="521776" spans="12:13" x14ac:dyDescent="0.25">
      <c r="L521776" s="472"/>
      <c r="M521776" s="472"/>
    </row>
    <row r="521777" spans="12:13" x14ac:dyDescent="0.25">
      <c r="L521777" s="472"/>
      <c r="M521777" s="472"/>
    </row>
    <row r="521849" spans="12:13" x14ac:dyDescent="0.25">
      <c r="L521849" s="472"/>
      <c r="M521849" s="472"/>
    </row>
    <row r="521850" spans="12:13" x14ac:dyDescent="0.25">
      <c r="L521850" s="472"/>
      <c r="M521850" s="472"/>
    </row>
    <row r="521851" spans="12:13" x14ac:dyDescent="0.25">
      <c r="L521851" s="472"/>
      <c r="M521851" s="472"/>
    </row>
    <row r="521923" spans="12:13" x14ac:dyDescent="0.25">
      <c r="L521923" s="472"/>
      <c r="M521923" s="472"/>
    </row>
    <row r="521924" spans="12:13" x14ac:dyDescent="0.25">
      <c r="L521924" s="472"/>
      <c r="M521924" s="472"/>
    </row>
    <row r="521925" spans="12:13" x14ac:dyDescent="0.25">
      <c r="L521925" s="472"/>
      <c r="M521925" s="472"/>
    </row>
    <row r="521997" spans="12:13" x14ac:dyDescent="0.25">
      <c r="L521997" s="472"/>
      <c r="M521997" s="472"/>
    </row>
    <row r="521998" spans="12:13" x14ac:dyDescent="0.25">
      <c r="L521998" s="472"/>
      <c r="M521998" s="472"/>
    </row>
    <row r="521999" spans="12:13" x14ac:dyDescent="0.25">
      <c r="L521999" s="472"/>
      <c r="M521999" s="472"/>
    </row>
    <row r="522071" spans="12:13" x14ac:dyDescent="0.25">
      <c r="L522071" s="472"/>
      <c r="M522071" s="472"/>
    </row>
    <row r="522072" spans="12:13" x14ac:dyDescent="0.25">
      <c r="L522072" s="472"/>
      <c r="M522072" s="472"/>
    </row>
    <row r="522073" spans="12:13" x14ac:dyDescent="0.25">
      <c r="L522073" s="472"/>
      <c r="M522073" s="472"/>
    </row>
    <row r="522145" spans="12:13" x14ac:dyDescent="0.25">
      <c r="L522145" s="472"/>
      <c r="M522145" s="472"/>
    </row>
    <row r="522146" spans="12:13" x14ac:dyDescent="0.25">
      <c r="L522146" s="472"/>
      <c r="M522146" s="472"/>
    </row>
    <row r="522147" spans="12:13" x14ac:dyDescent="0.25">
      <c r="L522147" s="472"/>
      <c r="M522147" s="472"/>
    </row>
    <row r="522219" spans="12:13" x14ac:dyDescent="0.25">
      <c r="L522219" s="472"/>
      <c r="M522219" s="472"/>
    </row>
    <row r="522220" spans="12:13" x14ac:dyDescent="0.25">
      <c r="L522220" s="472"/>
      <c r="M522220" s="472"/>
    </row>
    <row r="522221" spans="12:13" x14ac:dyDescent="0.25">
      <c r="L522221" s="472"/>
      <c r="M522221" s="472"/>
    </row>
    <row r="522293" spans="12:13" x14ac:dyDescent="0.25">
      <c r="L522293" s="472"/>
      <c r="M522293" s="472"/>
    </row>
    <row r="522294" spans="12:13" x14ac:dyDescent="0.25">
      <c r="L522294" s="472"/>
      <c r="M522294" s="472"/>
    </row>
    <row r="522295" spans="12:13" x14ac:dyDescent="0.25">
      <c r="L522295" s="472"/>
      <c r="M522295" s="472"/>
    </row>
    <row r="522367" spans="12:13" x14ac:dyDescent="0.25">
      <c r="L522367" s="472"/>
      <c r="M522367" s="472"/>
    </row>
    <row r="522368" spans="12:13" x14ac:dyDescent="0.25">
      <c r="L522368" s="472"/>
      <c r="M522368" s="472"/>
    </row>
    <row r="522369" spans="12:13" x14ac:dyDescent="0.25">
      <c r="L522369" s="472"/>
      <c r="M522369" s="472"/>
    </row>
    <row r="522441" spans="12:13" x14ac:dyDescent="0.25">
      <c r="L522441" s="472"/>
      <c r="M522441" s="472"/>
    </row>
    <row r="522442" spans="12:13" x14ac:dyDescent="0.25">
      <c r="L522442" s="472"/>
      <c r="M522442" s="472"/>
    </row>
    <row r="522443" spans="12:13" x14ac:dyDescent="0.25">
      <c r="L522443" s="472"/>
      <c r="M522443" s="472"/>
    </row>
    <row r="522515" spans="12:13" x14ac:dyDescent="0.25">
      <c r="L522515" s="472"/>
      <c r="M522515" s="472"/>
    </row>
    <row r="522516" spans="12:13" x14ac:dyDescent="0.25">
      <c r="L522516" s="472"/>
      <c r="M522516" s="472"/>
    </row>
    <row r="522517" spans="12:13" x14ac:dyDescent="0.25">
      <c r="L522517" s="472"/>
      <c r="M522517" s="472"/>
    </row>
    <row r="522589" spans="12:13" x14ac:dyDescent="0.25">
      <c r="L522589" s="472"/>
      <c r="M522589" s="472"/>
    </row>
    <row r="522590" spans="12:13" x14ac:dyDescent="0.25">
      <c r="L522590" s="472"/>
      <c r="M522590" s="472"/>
    </row>
    <row r="522591" spans="12:13" x14ac:dyDescent="0.25">
      <c r="L522591" s="472"/>
      <c r="M522591" s="472"/>
    </row>
    <row r="522663" spans="12:13" x14ac:dyDescent="0.25">
      <c r="L522663" s="472"/>
      <c r="M522663" s="472"/>
    </row>
    <row r="522664" spans="12:13" x14ac:dyDescent="0.25">
      <c r="L522664" s="472"/>
      <c r="M522664" s="472"/>
    </row>
    <row r="522665" spans="12:13" x14ac:dyDescent="0.25">
      <c r="L522665" s="472"/>
      <c r="M522665" s="472"/>
    </row>
    <row r="522737" spans="12:13" x14ac:dyDescent="0.25">
      <c r="L522737" s="472"/>
      <c r="M522737" s="472"/>
    </row>
    <row r="522738" spans="12:13" x14ac:dyDescent="0.25">
      <c r="L522738" s="472"/>
      <c r="M522738" s="472"/>
    </row>
    <row r="522739" spans="12:13" x14ac:dyDescent="0.25">
      <c r="L522739" s="472"/>
      <c r="M522739" s="472"/>
    </row>
    <row r="522811" spans="12:13" x14ac:dyDescent="0.25">
      <c r="L522811" s="472"/>
      <c r="M522811" s="472"/>
    </row>
    <row r="522812" spans="12:13" x14ac:dyDescent="0.25">
      <c r="L522812" s="472"/>
      <c r="M522812" s="472"/>
    </row>
    <row r="522813" spans="12:13" x14ac:dyDescent="0.25">
      <c r="L522813" s="472"/>
      <c r="M522813" s="472"/>
    </row>
    <row r="522885" spans="12:13" x14ac:dyDescent="0.25">
      <c r="L522885" s="472"/>
      <c r="M522885" s="472"/>
    </row>
    <row r="522886" spans="12:13" x14ac:dyDescent="0.25">
      <c r="L522886" s="472"/>
      <c r="M522886" s="472"/>
    </row>
    <row r="522887" spans="12:13" x14ac:dyDescent="0.25">
      <c r="L522887" s="472"/>
      <c r="M522887" s="472"/>
    </row>
    <row r="522959" spans="12:13" x14ac:dyDescent="0.25">
      <c r="L522959" s="472"/>
      <c r="M522959" s="472"/>
    </row>
    <row r="522960" spans="12:13" x14ac:dyDescent="0.25">
      <c r="L522960" s="472"/>
      <c r="M522960" s="472"/>
    </row>
    <row r="522961" spans="12:13" x14ac:dyDescent="0.25">
      <c r="L522961" s="472"/>
      <c r="M522961" s="472"/>
    </row>
    <row r="523033" spans="12:13" x14ac:dyDescent="0.25">
      <c r="L523033" s="472"/>
      <c r="M523033" s="472"/>
    </row>
    <row r="523034" spans="12:13" x14ac:dyDescent="0.25">
      <c r="L523034" s="472"/>
      <c r="M523034" s="472"/>
    </row>
    <row r="523035" spans="12:13" x14ac:dyDescent="0.25">
      <c r="L523035" s="472"/>
      <c r="M523035" s="472"/>
    </row>
    <row r="523107" spans="12:13" x14ac:dyDescent="0.25">
      <c r="L523107" s="472"/>
      <c r="M523107" s="472"/>
    </row>
    <row r="523108" spans="12:13" x14ac:dyDescent="0.25">
      <c r="L523108" s="472"/>
      <c r="M523108" s="472"/>
    </row>
    <row r="523109" spans="12:13" x14ac:dyDescent="0.25">
      <c r="L523109" s="472"/>
      <c r="M523109" s="472"/>
    </row>
    <row r="523181" spans="12:13" x14ac:dyDescent="0.25">
      <c r="L523181" s="472"/>
      <c r="M523181" s="472"/>
    </row>
    <row r="523182" spans="12:13" x14ac:dyDescent="0.25">
      <c r="L523182" s="472"/>
      <c r="M523182" s="472"/>
    </row>
    <row r="523183" spans="12:13" x14ac:dyDescent="0.25">
      <c r="L523183" s="472"/>
      <c r="M523183" s="472"/>
    </row>
    <row r="523255" spans="12:13" x14ac:dyDescent="0.25">
      <c r="L523255" s="472"/>
      <c r="M523255" s="472"/>
    </row>
    <row r="523256" spans="12:13" x14ac:dyDescent="0.25">
      <c r="L523256" s="472"/>
      <c r="M523256" s="472"/>
    </row>
    <row r="523257" spans="12:13" x14ac:dyDescent="0.25">
      <c r="L523257" s="472"/>
      <c r="M523257" s="472"/>
    </row>
    <row r="523329" spans="12:13" x14ac:dyDescent="0.25">
      <c r="L523329" s="472"/>
      <c r="M523329" s="472"/>
    </row>
    <row r="523330" spans="12:13" x14ac:dyDescent="0.25">
      <c r="L523330" s="472"/>
      <c r="M523330" s="472"/>
    </row>
    <row r="523331" spans="12:13" x14ac:dyDescent="0.25">
      <c r="L523331" s="472"/>
      <c r="M523331" s="472"/>
    </row>
    <row r="523403" spans="12:13" x14ac:dyDescent="0.25">
      <c r="L523403" s="472"/>
      <c r="M523403" s="472"/>
    </row>
    <row r="523404" spans="12:13" x14ac:dyDescent="0.25">
      <c r="L523404" s="472"/>
      <c r="M523404" s="472"/>
    </row>
    <row r="523405" spans="12:13" x14ac:dyDescent="0.25">
      <c r="L523405" s="472"/>
      <c r="M523405" s="472"/>
    </row>
    <row r="523477" spans="12:13" x14ac:dyDescent="0.25">
      <c r="L523477" s="472"/>
      <c r="M523477" s="472"/>
    </row>
    <row r="523478" spans="12:13" x14ac:dyDescent="0.25">
      <c r="L523478" s="472"/>
      <c r="M523478" s="472"/>
    </row>
    <row r="523479" spans="12:13" x14ac:dyDescent="0.25">
      <c r="L523479" s="472"/>
      <c r="M523479" s="472"/>
    </row>
    <row r="523551" spans="12:13" x14ac:dyDescent="0.25">
      <c r="L523551" s="472"/>
      <c r="M523551" s="472"/>
    </row>
    <row r="523552" spans="12:13" x14ac:dyDescent="0.25">
      <c r="L523552" s="472"/>
      <c r="M523552" s="472"/>
    </row>
    <row r="523553" spans="12:13" x14ac:dyDescent="0.25">
      <c r="L523553" s="472"/>
      <c r="M523553" s="472"/>
    </row>
    <row r="523625" spans="12:13" x14ac:dyDescent="0.25">
      <c r="L523625" s="472"/>
      <c r="M523625" s="472"/>
    </row>
    <row r="523626" spans="12:13" x14ac:dyDescent="0.25">
      <c r="L523626" s="472"/>
      <c r="M523626" s="472"/>
    </row>
    <row r="523627" spans="12:13" x14ac:dyDescent="0.25">
      <c r="L523627" s="472"/>
      <c r="M523627" s="472"/>
    </row>
    <row r="523699" spans="12:13" x14ac:dyDescent="0.25">
      <c r="L523699" s="472"/>
      <c r="M523699" s="472"/>
    </row>
    <row r="523700" spans="12:13" x14ac:dyDescent="0.25">
      <c r="L523700" s="472"/>
      <c r="M523700" s="472"/>
    </row>
    <row r="523701" spans="12:13" x14ac:dyDescent="0.25">
      <c r="L523701" s="472"/>
      <c r="M523701" s="472"/>
    </row>
    <row r="523773" spans="12:13" x14ac:dyDescent="0.25">
      <c r="L523773" s="472"/>
      <c r="M523773" s="472"/>
    </row>
    <row r="523774" spans="12:13" x14ac:dyDescent="0.25">
      <c r="L523774" s="472"/>
      <c r="M523774" s="472"/>
    </row>
    <row r="523775" spans="12:13" x14ac:dyDescent="0.25">
      <c r="L523775" s="472"/>
      <c r="M523775" s="472"/>
    </row>
    <row r="523847" spans="12:13" x14ac:dyDescent="0.25">
      <c r="L523847" s="472"/>
      <c r="M523847" s="472"/>
    </row>
    <row r="523848" spans="12:13" x14ac:dyDescent="0.25">
      <c r="L523848" s="472"/>
      <c r="M523848" s="472"/>
    </row>
    <row r="523849" spans="12:13" x14ac:dyDescent="0.25">
      <c r="L523849" s="472"/>
      <c r="M523849" s="472"/>
    </row>
    <row r="523921" spans="12:13" x14ac:dyDescent="0.25">
      <c r="L523921" s="472"/>
      <c r="M523921" s="472"/>
    </row>
    <row r="523922" spans="12:13" x14ac:dyDescent="0.25">
      <c r="L523922" s="472"/>
      <c r="M523922" s="472"/>
    </row>
    <row r="523923" spans="12:13" x14ac:dyDescent="0.25">
      <c r="L523923" s="472"/>
      <c r="M523923" s="472"/>
    </row>
    <row r="523995" spans="12:13" x14ac:dyDescent="0.25">
      <c r="L523995" s="472"/>
      <c r="M523995" s="472"/>
    </row>
    <row r="523996" spans="12:13" x14ac:dyDescent="0.25">
      <c r="L523996" s="472"/>
      <c r="M523996" s="472"/>
    </row>
    <row r="523997" spans="12:13" x14ac:dyDescent="0.25">
      <c r="L523997" s="472"/>
      <c r="M523997" s="472"/>
    </row>
    <row r="524069" spans="12:13" x14ac:dyDescent="0.25">
      <c r="L524069" s="472"/>
      <c r="M524069" s="472"/>
    </row>
    <row r="524070" spans="12:13" x14ac:dyDescent="0.25">
      <c r="L524070" s="472"/>
      <c r="M524070" s="472"/>
    </row>
    <row r="524071" spans="12:13" x14ac:dyDescent="0.25">
      <c r="L524071" s="472"/>
      <c r="M524071" s="472"/>
    </row>
    <row r="524143" spans="12:13" x14ac:dyDescent="0.25">
      <c r="L524143" s="472"/>
      <c r="M524143" s="472"/>
    </row>
    <row r="524144" spans="12:13" x14ac:dyDescent="0.25">
      <c r="L524144" s="472"/>
      <c r="M524144" s="472"/>
    </row>
    <row r="524145" spans="12:13" x14ac:dyDescent="0.25">
      <c r="L524145" s="472"/>
      <c r="M524145" s="472"/>
    </row>
    <row r="524217" spans="12:13" x14ac:dyDescent="0.25">
      <c r="L524217" s="472"/>
      <c r="M524217" s="472"/>
    </row>
    <row r="524218" spans="12:13" x14ac:dyDescent="0.25">
      <c r="L524218" s="472"/>
      <c r="M524218" s="472"/>
    </row>
    <row r="524219" spans="12:13" x14ac:dyDescent="0.25">
      <c r="L524219" s="472"/>
      <c r="M524219" s="472"/>
    </row>
    <row r="524291" spans="12:13" x14ac:dyDescent="0.25">
      <c r="L524291" s="472"/>
      <c r="M524291" s="472"/>
    </row>
    <row r="524292" spans="12:13" x14ac:dyDescent="0.25">
      <c r="L524292" s="472"/>
      <c r="M524292" s="472"/>
    </row>
    <row r="524293" spans="12:13" x14ac:dyDescent="0.25">
      <c r="L524293" s="472"/>
      <c r="M524293" s="472"/>
    </row>
    <row r="524365" spans="12:13" x14ac:dyDescent="0.25">
      <c r="L524365" s="472"/>
      <c r="M524365" s="472"/>
    </row>
    <row r="524366" spans="12:13" x14ac:dyDescent="0.25">
      <c r="L524366" s="472"/>
      <c r="M524366" s="472"/>
    </row>
    <row r="524367" spans="12:13" x14ac:dyDescent="0.25">
      <c r="L524367" s="472"/>
      <c r="M524367" s="472"/>
    </row>
    <row r="524439" spans="12:13" x14ac:dyDescent="0.25">
      <c r="L524439" s="472"/>
      <c r="M524439" s="472"/>
    </row>
    <row r="524440" spans="12:13" x14ac:dyDescent="0.25">
      <c r="L524440" s="472"/>
      <c r="M524440" s="472"/>
    </row>
    <row r="524441" spans="12:13" x14ac:dyDescent="0.25">
      <c r="L524441" s="472"/>
      <c r="M524441" s="472"/>
    </row>
    <row r="524513" spans="12:13" x14ac:dyDescent="0.25">
      <c r="L524513" s="472"/>
      <c r="M524513" s="472"/>
    </row>
    <row r="524514" spans="12:13" x14ac:dyDescent="0.25">
      <c r="L524514" s="472"/>
      <c r="M524514" s="472"/>
    </row>
    <row r="524515" spans="12:13" x14ac:dyDescent="0.25">
      <c r="L524515" s="472"/>
      <c r="M524515" s="472"/>
    </row>
    <row r="524587" spans="12:13" x14ac:dyDescent="0.25">
      <c r="L524587" s="472"/>
      <c r="M524587" s="472"/>
    </row>
    <row r="524588" spans="12:13" x14ac:dyDescent="0.25">
      <c r="L524588" s="472"/>
      <c r="M524588" s="472"/>
    </row>
    <row r="524589" spans="12:13" x14ac:dyDescent="0.25">
      <c r="L524589" s="472"/>
      <c r="M524589" s="472"/>
    </row>
    <row r="524661" spans="12:13" x14ac:dyDescent="0.25">
      <c r="L524661" s="472"/>
      <c r="M524661" s="472"/>
    </row>
    <row r="524662" spans="12:13" x14ac:dyDescent="0.25">
      <c r="L524662" s="472"/>
      <c r="M524662" s="472"/>
    </row>
    <row r="524663" spans="12:13" x14ac:dyDescent="0.25">
      <c r="L524663" s="472"/>
      <c r="M524663" s="472"/>
    </row>
    <row r="524735" spans="12:13" x14ac:dyDescent="0.25">
      <c r="L524735" s="472"/>
      <c r="M524735" s="472"/>
    </row>
    <row r="524736" spans="12:13" x14ac:dyDescent="0.25">
      <c r="L524736" s="472"/>
      <c r="M524736" s="472"/>
    </row>
    <row r="524737" spans="12:13" x14ac:dyDescent="0.25">
      <c r="L524737" s="472"/>
      <c r="M524737" s="472"/>
    </row>
    <row r="524809" spans="12:13" x14ac:dyDescent="0.25">
      <c r="L524809" s="472"/>
      <c r="M524809" s="472"/>
    </row>
    <row r="524810" spans="12:13" x14ac:dyDescent="0.25">
      <c r="L524810" s="472"/>
      <c r="M524810" s="472"/>
    </row>
    <row r="524811" spans="12:13" x14ac:dyDescent="0.25">
      <c r="L524811" s="472"/>
      <c r="M524811" s="472"/>
    </row>
    <row r="524883" spans="12:13" x14ac:dyDescent="0.25">
      <c r="L524883" s="472"/>
      <c r="M524883" s="472"/>
    </row>
    <row r="524884" spans="12:13" x14ac:dyDescent="0.25">
      <c r="L524884" s="472"/>
      <c r="M524884" s="472"/>
    </row>
    <row r="524885" spans="12:13" x14ac:dyDescent="0.25">
      <c r="L524885" s="472"/>
      <c r="M524885" s="472"/>
    </row>
    <row r="524957" spans="12:13" x14ac:dyDescent="0.25">
      <c r="L524957" s="472"/>
      <c r="M524957" s="472"/>
    </row>
    <row r="524958" spans="12:13" x14ac:dyDescent="0.25">
      <c r="L524958" s="472"/>
      <c r="M524958" s="472"/>
    </row>
    <row r="524959" spans="12:13" x14ac:dyDescent="0.25">
      <c r="L524959" s="472"/>
      <c r="M524959" s="472"/>
    </row>
    <row r="525031" spans="12:13" x14ac:dyDescent="0.25">
      <c r="L525031" s="472"/>
      <c r="M525031" s="472"/>
    </row>
    <row r="525032" spans="12:13" x14ac:dyDescent="0.25">
      <c r="L525032" s="472"/>
      <c r="M525032" s="472"/>
    </row>
    <row r="525033" spans="12:13" x14ac:dyDescent="0.25">
      <c r="L525033" s="472"/>
      <c r="M525033" s="472"/>
    </row>
    <row r="525105" spans="12:13" x14ac:dyDescent="0.25">
      <c r="L525105" s="472"/>
      <c r="M525105" s="472"/>
    </row>
    <row r="525106" spans="12:13" x14ac:dyDescent="0.25">
      <c r="L525106" s="472"/>
      <c r="M525106" s="472"/>
    </row>
    <row r="525107" spans="12:13" x14ac:dyDescent="0.25">
      <c r="L525107" s="472"/>
      <c r="M525107" s="472"/>
    </row>
    <row r="525179" spans="12:13" x14ac:dyDescent="0.25">
      <c r="L525179" s="472"/>
      <c r="M525179" s="472"/>
    </row>
    <row r="525180" spans="12:13" x14ac:dyDescent="0.25">
      <c r="L525180" s="472"/>
      <c r="M525180" s="472"/>
    </row>
    <row r="525181" spans="12:13" x14ac:dyDescent="0.25">
      <c r="L525181" s="472"/>
      <c r="M525181" s="472"/>
    </row>
    <row r="525253" spans="12:13" x14ac:dyDescent="0.25">
      <c r="L525253" s="472"/>
      <c r="M525253" s="472"/>
    </row>
    <row r="525254" spans="12:13" x14ac:dyDescent="0.25">
      <c r="L525254" s="472"/>
      <c r="M525254" s="472"/>
    </row>
    <row r="525255" spans="12:13" x14ac:dyDescent="0.25">
      <c r="L525255" s="472"/>
      <c r="M525255" s="472"/>
    </row>
    <row r="525327" spans="12:13" x14ac:dyDescent="0.25">
      <c r="L525327" s="472"/>
      <c r="M525327" s="472"/>
    </row>
    <row r="525328" spans="12:13" x14ac:dyDescent="0.25">
      <c r="L525328" s="472"/>
      <c r="M525328" s="472"/>
    </row>
    <row r="525329" spans="12:13" x14ac:dyDescent="0.25">
      <c r="L525329" s="472"/>
      <c r="M525329" s="472"/>
    </row>
    <row r="525401" spans="12:13" x14ac:dyDescent="0.25">
      <c r="L525401" s="472"/>
      <c r="M525401" s="472"/>
    </row>
    <row r="525402" spans="12:13" x14ac:dyDescent="0.25">
      <c r="L525402" s="472"/>
      <c r="M525402" s="472"/>
    </row>
    <row r="525403" spans="12:13" x14ac:dyDescent="0.25">
      <c r="L525403" s="472"/>
      <c r="M525403" s="472"/>
    </row>
    <row r="525475" spans="12:13" x14ac:dyDescent="0.25">
      <c r="L525475" s="472"/>
      <c r="M525475" s="472"/>
    </row>
    <row r="525476" spans="12:13" x14ac:dyDescent="0.25">
      <c r="L525476" s="472"/>
      <c r="M525476" s="472"/>
    </row>
    <row r="525477" spans="12:13" x14ac:dyDescent="0.25">
      <c r="L525477" s="472"/>
      <c r="M525477" s="472"/>
    </row>
    <row r="525549" spans="12:13" x14ac:dyDescent="0.25">
      <c r="L525549" s="472"/>
      <c r="M525549" s="472"/>
    </row>
    <row r="525550" spans="12:13" x14ac:dyDescent="0.25">
      <c r="L525550" s="472"/>
      <c r="M525550" s="472"/>
    </row>
    <row r="525551" spans="12:13" x14ac:dyDescent="0.25">
      <c r="L525551" s="472"/>
      <c r="M525551" s="472"/>
    </row>
    <row r="525623" spans="12:13" x14ac:dyDescent="0.25">
      <c r="L525623" s="472"/>
      <c r="M525623" s="472"/>
    </row>
    <row r="525624" spans="12:13" x14ac:dyDescent="0.25">
      <c r="L525624" s="472"/>
      <c r="M525624" s="472"/>
    </row>
    <row r="525625" spans="12:13" x14ac:dyDescent="0.25">
      <c r="L525625" s="472"/>
      <c r="M525625" s="472"/>
    </row>
    <row r="525697" spans="12:13" x14ac:dyDescent="0.25">
      <c r="L525697" s="472"/>
      <c r="M525697" s="472"/>
    </row>
    <row r="525698" spans="12:13" x14ac:dyDescent="0.25">
      <c r="L525698" s="472"/>
      <c r="M525698" s="472"/>
    </row>
    <row r="525699" spans="12:13" x14ac:dyDescent="0.25">
      <c r="L525699" s="472"/>
      <c r="M525699" s="472"/>
    </row>
    <row r="525771" spans="12:13" x14ac:dyDescent="0.25">
      <c r="L525771" s="472"/>
      <c r="M525771" s="472"/>
    </row>
    <row r="525772" spans="12:13" x14ac:dyDescent="0.25">
      <c r="L525772" s="472"/>
      <c r="M525772" s="472"/>
    </row>
    <row r="525773" spans="12:13" x14ac:dyDescent="0.25">
      <c r="L525773" s="472"/>
      <c r="M525773" s="472"/>
    </row>
    <row r="525845" spans="12:13" x14ac:dyDescent="0.25">
      <c r="L525845" s="472"/>
      <c r="M525845" s="472"/>
    </row>
    <row r="525846" spans="12:13" x14ac:dyDescent="0.25">
      <c r="L525846" s="472"/>
      <c r="M525846" s="472"/>
    </row>
    <row r="525847" spans="12:13" x14ac:dyDescent="0.25">
      <c r="L525847" s="472"/>
      <c r="M525847" s="472"/>
    </row>
    <row r="525919" spans="12:13" x14ac:dyDescent="0.25">
      <c r="L525919" s="472"/>
      <c r="M525919" s="472"/>
    </row>
    <row r="525920" spans="12:13" x14ac:dyDescent="0.25">
      <c r="L525920" s="472"/>
      <c r="M525920" s="472"/>
    </row>
    <row r="525921" spans="12:13" x14ac:dyDescent="0.25">
      <c r="L525921" s="472"/>
      <c r="M525921" s="472"/>
    </row>
    <row r="525993" spans="12:13" x14ac:dyDescent="0.25">
      <c r="L525993" s="472"/>
      <c r="M525993" s="472"/>
    </row>
    <row r="525994" spans="12:13" x14ac:dyDescent="0.25">
      <c r="L525994" s="472"/>
      <c r="M525994" s="472"/>
    </row>
    <row r="525995" spans="12:13" x14ac:dyDescent="0.25">
      <c r="L525995" s="472"/>
      <c r="M525995" s="472"/>
    </row>
    <row r="526067" spans="12:13" x14ac:dyDescent="0.25">
      <c r="L526067" s="472"/>
      <c r="M526067" s="472"/>
    </row>
    <row r="526068" spans="12:13" x14ac:dyDescent="0.25">
      <c r="L526068" s="472"/>
      <c r="M526068" s="472"/>
    </row>
    <row r="526069" spans="12:13" x14ac:dyDescent="0.25">
      <c r="L526069" s="472"/>
      <c r="M526069" s="472"/>
    </row>
    <row r="526141" spans="12:13" x14ac:dyDescent="0.25">
      <c r="L526141" s="472"/>
      <c r="M526141" s="472"/>
    </row>
    <row r="526142" spans="12:13" x14ac:dyDescent="0.25">
      <c r="L526142" s="472"/>
      <c r="M526142" s="472"/>
    </row>
    <row r="526143" spans="12:13" x14ac:dyDescent="0.25">
      <c r="L526143" s="472"/>
      <c r="M526143" s="472"/>
    </row>
    <row r="526215" spans="12:13" x14ac:dyDescent="0.25">
      <c r="L526215" s="472"/>
      <c r="M526215" s="472"/>
    </row>
    <row r="526216" spans="12:13" x14ac:dyDescent="0.25">
      <c r="L526216" s="472"/>
      <c r="M526216" s="472"/>
    </row>
    <row r="526217" spans="12:13" x14ac:dyDescent="0.25">
      <c r="L526217" s="472"/>
      <c r="M526217" s="472"/>
    </row>
    <row r="526289" spans="12:13" x14ac:dyDescent="0.25">
      <c r="L526289" s="472"/>
      <c r="M526289" s="472"/>
    </row>
    <row r="526290" spans="12:13" x14ac:dyDescent="0.25">
      <c r="L526290" s="472"/>
      <c r="M526290" s="472"/>
    </row>
    <row r="526291" spans="12:13" x14ac:dyDescent="0.25">
      <c r="L526291" s="472"/>
      <c r="M526291" s="472"/>
    </row>
    <row r="526363" spans="12:13" x14ac:dyDescent="0.25">
      <c r="L526363" s="472"/>
      <c r="M526363" s="472"/>
    </row>
    <row r="526364" spans="12:13" x14ac:dyDescent="0.25">
      <c r="L526364" s="472"/>
      <c r="M526364" s="472"/>
    </row>
    <row r="526365" spans="12:13" x14ac:dyDescent="0.25">
      <c r="L526365" s="472"/>
      <c r="M526365" s="472"/>
    </row>
    <row r="526437" spans="12:13" x14ac:dyDescent="0.25">
      <c r="L526437" s="472"/>
      <c r="M526437" s="472"/>
    </row>
    <row r="526438" spans="12:13" x14ac:dyDescent="0.25">
      <c r="L526438" s="472"/>
      <c r="M526438" s="472"/>
    </row>
    <row r="526439" spans="12:13" x14ac:dyDescent="0.25">
      <c r="L526439" s="472"/>
      <c r="M526439" s="472"/>
    </row>
    <row r="526511" spans="12:13" x14ac:dyDescent="0.25">
      <c r="L526511" s="472"/>
      <c r="M526511" s="472"/>
    </row>
    <row r="526512" spans="12:13" x14ac:dyDescent="0.25">
      <c r="L526512" s="472"/>
      <c r="M526512" s="472"/>
    </row>
    <row r="526513" spans="12:13" x14ac:dyDescent="0.25">
      <c r="L526513" s="472"/>
      <c r="M526513" s="472"/>
    </row>
    <row r="526585" spans="12:13" x14ac:dyDescent="0.25">
      <c r="L526585" s="472"/>
      <c r="M526585" s="472"/>
    </row>
    <row r="526586" spans="12:13" x14ac:dyDescent="0.25">
      <c r="L526586" s="472"/>
      <c r="M526586" s="472"/>
    </row>
    <row r="526587" spans="12:13" x14ac:dyDescent="0.25">
      <c r="L526587" s="472"/>
      <c r="M526587" s="472"/>
    </row>
    <row r="526659" spans="12:13" x14ac:dyDescent="0.25">
      <c r="L526659" s="472"/>
      <c r="M526659" s="472"/>
    </row>
    <row r="526660" spans="12:13" x14ac:dyDescent="0.25">
      <c r="L526660" s="472"/>
      <c r="M526660" s="472"/>
    </row>
    <row r="526661" spans="12:13" x14ac:dyDescent="0.25">
      <c r="L526661" s="472"/>
      <c r="M526661" s="472"/>
    </row>
    <row r="526733" spans="12:13" x14ac:dyDescent="0.25">
      <c r="L526733" s="472"/>
      <c r="M526733" s="472"/>
    </row>
    <row r="526734" spans="12:13" x14ac:dyDescent="0.25">
      <c r="L526734" s="472"/>
      <c r="M526734" s="472"/>
    </row>
    <row r="526735" spans="12:13" x14ac:dyDescent="0.25">
      <c r="L526735" s="472"/>
      <c r="M526735" s="472"/>
    </row>
    <row r="526807" spans="12:13" x14ac:dyDescent="0.25">
      <c r="L526807" s="472"/>
      <c r="M526807" s="472"/>
    </row>
    <row r="526808" spans="12:13" x14ac:dyDescent="0.25">
      <c r="L526808" s="472"/>
      <c r="M526808" s="472"/>
    </row>
    <row r="526809" spans="12:13" x14ac:dyDescent="0.25">
      <c r="L526809" s="472"/>
      <c r="M526809" s="472"/>
    </row>
    <row r="526881" spans="12:13" x14ac:dyDescent="0.25">
      <c r="L526881" s="472"/>
      <c r="M526881" s="472"/>
    </row>
    <row r="526882" spans="12:13" x14ac:dyDescent="0.25">
      <c r="L526882" s="472"/>
      <c r="M526882" s="472"/>
    </row>
    <row r="526883" spans="12:13" x14ac:dyDescent="0.25">
      <c r="L526883" s="472"/>
      <c r="M526883" s="472"/>
    </row>
    <row r="526955" spans="12:13" x14ac:dyDescent="0.25">
      <c r="L526955" s="472"/>
      <c r="M526955" s="472"/>
    </row>
    <row r="526956" spans="12:13" x14ac:dyDescent="0.25">
      <c r="L526956" s="472"/>
      <c r="M526956" s="472"/>
    </row>
    <row r="526957" spans="12:13" x14ac:dyDescent="0.25">
      <c r="L526957" s="472"/>
      <c r="M526957" s="472"/>
    </row>
    <row r="527029" spans="12:13" x14ac:dyDescent="0.25">
      <c r="L527029" s="472"/>
      <c r="M527029" s="472"/>
    </row>
    <row r="527030" spans="12:13" x14ac:dyDescent="0.25">
      <c r="L527030" s="472"/>
      <c r="M527030" s="472"/>
    </row>
    <row r="527031" spans="12:13" x14ac:dyDescent="0.25">
      <c r="L527031" s="472"/>
      <c r="M527031" s="472"/>
    </row>
    <row r="527103" spans="12:13" x14ac:dyDescent="0.25">
      <c r="L527103" s="472"/>
      <c r="M527103" s="472"/>
    </row>
    <row r="527104" spans="12:13" x14ac:dyDescent="0.25">
      <c r="L527104" s="472"/>
      <c r="M527104" s="472"/>
    </row>
    <row r="527105" spans="12:13" x14ac:dyDescent="0.25">
      <c r="L527105" s="472"/>
      <c r="M527105" s="472"/>
    </row>
    <row r="527177" spans="12:13" x14ac:dyDescent="0.25">
      <c r="L527177" s="472"/>
      <c r="M527177" s="472"/>
    </row>
    <row r="527178" spans="12:13" x14ac:dyDescent="0.25">
      <c r="L527178" s="472"/>
      <c r="M527178" s="472"/>
    </row>
    <row r="527179" spans="12:13" x14ac:dyDescent="0.25">
      <c r="L527179" s="472"/>
      <c r="M527179" s="472"/>
    </row>
    <row r="527251" spans="12:13" x14ac:dyDescent="0.25">
      <c r="L527251" s="472"/>
      <c r="M527251" s="472"/>
    </row>
    <row r="527252" spans="12:13" x14ac:dyDescent="0.25">
      <c r="L527252" s="472"/>
      <c r="M527252" s="472"/>
    </row>
    <row r="527253" spans="12:13" x14ac:dyDescent="0.25">
      <c r="L527253" s="472"/>
      <c r="M527253" s="472"/>
    </row>
    <row r="527325" spans="12:13" x14ac:dyDescent="0.25">
      <c r="L527325" s="472"/>
      <c r="M527325" s="472"/>
    </row>
    <row r="527326" spans="12:13" x14ac:dyDescent="0.25">
      <c r="L527326" s="472"/>
      <c r="M527326" s="472"/>
    </row>
    <row r="527327" spans="12:13" x14ac:dyDescent="0.25">
      <c r="L527327" s="472"/>
      <c r="M527327" s="472"/>
    </row>
    <row r="527399" spans="12:13" x14ac:dyDescent="0.25">
      <c r="L527399" s="472"/>
      <c r="M527399" s="472"/>
    </row>
    <row r="527400" spans="12:13" x14ac:dyDescent="0.25">
      <c r="L527400" s="472"/>
      <c r="M527400" s="472"/>
    </row>
    <row r="527401" spans="12:13" x14ac:dyDescent="0.25">
      <c r="L527401" s="472"/>
      <c r="M527401" s="472"/>
    </row>
    <row r="527473" spans="12:13" x14ac:dyDescent="0.25">
      <c r="L527473" s="472"/>
      <c r="M527473" s="472"/>
    </row>
    <row r="527474" spans="12:13" x14ac:dyDescent="0.25">
      <c r="L527474" s="472"/>
      <c r="M527474" s="472"/>
    </row>
    <row r="527475" spans="12:13" x14ac:dyDescent="0.25">
      <c r="L527475" s="472"/>
      <c r="M527475" s="472"/>
    </row>
    <row r="527547" spans="12:13" x14ac:dyDescent="0.25">
      <c r="L527547" s="472"/>
      <c r="M527547" s="472"/>
    </row>
    <row r="527548" spans="12:13" x14ac:dyDescent="0.25">
      <c r="L527548" s="472"/>
      <c r="M527548" s="472"/>
    </row>
    <row r="527549" spans="12:13" x14ac:dyDescent="0.25">
      <c r="L527549" s="472"/>
      <c r="M527549" s="472"/>
    </row>
    <row r="527621" spans="12:13" x14ac:dyDescent="0.25">
      <c r="L527621" s="472"/>
      <c r="M527621" s="472"/>
    </row>
    <row r="527622" spans="12:13" x14ac:dyDescent="0.25">
      <c r="L527622" s="472"/>
      <c r="M527622" s="472"/>
    </row>
    <row r="527623" spans="12:13" x14ac:dyDescent="0.25">
      <c r="L527623" s="472"/>
      <c r="M527623" s="472"/>
    </row>
    <row r="527695" spans="12:13" x14ac:dyDescent="0.25">
      <c r="L527695" s="472"/>
      <c r="M527695" s="472"/>
    </row>
    <row r="527696" spans="12:13" x14ac:dyDescent="0.25">
      <c r="L527696" s="472"/>
      <c r="M527696" s="472"/>
    </row>
    <row r="527697" spans="12:13" x14ac:dyDescent="0.25">
      <c r="L527697" s="472"/>
      <c r="M527697" s="472"/>
    </row>
    <row r="527769" spans="12:13" x14ac:dyDescent="0.25">
      <c r="L527769" s="472"/>
      <c r="M527769" s="472"/>
    </row>
    <row r="527770" spans="12:13" x14ac:dyDescent="0.25">
      <c r="L527770" s="472"/>
      <c r="M527770" s="472"/>
    </row>
    <row r="527771" spans="12:13" x14ac:dyDescent="0.25">
      <c r="L527771" s="472"/>
      <c r="M527771" s="472"/>
    </row>
    <row r="527843" spans="12:13" x14ac:dyDescent="0.25">
      <c r="L527843" s="472"/>
      <c r="M527843" s="472"/>
    </row>
    <row r="527844" spans="12:13" x14ac:dyDescent="0.25">
      <c r="L527844" s="472"/>
      <c r="M527844" s="472"/>
    </row>
    <row r="527845" spans="12:13" x14ac:dyDescent="0.25">
      <c r="L527845" s="472"/>
      <c r="M527845" s="472"/>
    </row>
    <row r="527917" spans="12:13" x14ac:dyDescent="0.25">
      <c r="L527917" s="472"/>
      <c r="M527917" s="472"/>
    </row>
    <row r="527918" spans="12:13" x14ac:dyDescent="0.25">
      <c r="L527918" s="472"/>
      <c r="M527918" s="472"/>
    </row>
    <row r="527919" spans="12:13" x14ac:dyDescent="0.25">
      <c r="L527919" s="472"/>
      <c r="M527919" s="472"/>
    </row>
    <row r="527991" spans="12:13" x14ac:dyDescent="0.25">
      <c r="L527991" s="472"/>
      <c r="M527991" s="472"/>
    </row>
    <row r="527992" spans="12:13" x14ac:dyDescent="0.25">
      <c r="L527992" s="472"/>
      <c r="M527992" s="472"/>
    </row>
    <row r="527993" spans="12:13" x14ac:dyDescent="0.25">
      <c r="L527993" s="472"/>
      <c r="M527993" s="472"/>
    </row>
    <row r="528065" spans="12:13" x14ac:dyDescent="0.25">
      <c r="L528065" s="472"/>
      <c r="M528065" s="472"/>
    </row>
    <row r="528066" spans="12:13" x14ac:dyDescent="0.25">
      <c r="L528066" s="472"/>
      <c r="M528066" s="472"/>
    </row>
    <row r="528067" spans="12:13" x14ac:dyDescent="0.25">
      <c r="L528067" s="472"/>
      <c r="M528067" s="472"/>
    </row>
    <row r="528139" spans="12:13" x14ac:dyDescent="0.25">
      <c r="L528139" s="472"/>
      <c r="M528139" s="472"/>
    </row>
    <row r="528140" spans="12:13" x14ac:dyDescent="0.25">
      <c r="L528140" s="472"/>
      <c r="M528140" s="472"/>
    </row>
    <row r="528141" spans="12:13" x14ac:dyDescent="0.25">
      <c r="L528141" s="472"/>
      <c r="M528141" s="472"/>
    </row>
    <row r="528213" spans="12:13" x14ac:dyDescent="0.25">
      <c r="L528213" s="472"/>
      <c r="M528213" s="472"/>
    </row>
    <row r="528214" spans="12:13" x14ac:dyDescent="0.25">
      <c r="L528214" s="472"/>
      <c r="M528214" s="472"/>
    </row>
    <row r="528215" spans="12:13" x14ac:dyDescent="0.25">
      <c r="L528215" s="472"/>
      <c r="M528215" s="472"/>
    </row>
    <row r="528287" spans="12:13" x14ac:dyDescent="0.25">
      <c r="L528287" s="472"/>
      <c r="M528287" s="472"/>
    </row>
    <row r="528288" spans="12:13" x14ac:dyDescent="0.25">
      <c r="L528288" s="472"/>
      <c r="M528288" s="472"/>
    </row>
    <row r="528289" spans="12:13" x14ac:dyDescent="0.25">
      <c r="L528289" s="472"/>
      <c r="M528289" s="472"/>
    </row>
    <row r="528361" spans="12:13" x14ac:dyDescent="0.25">
      <c r="L528361" s="472"/>
      <c r="M528361" s="472"/>
    </row>
    <row r="528362" spans="12:13" x14ac:dyDescent="0.25">
      <c r="L528362" s="472"/>
      <c r="M528362" s="472"/>
    </row>
    <row r="528363" spans="12:13" x14ac:dyDescent="0.25">
      <c r="L528363" s="472"/>
      <c r="M528363" s="472"/>
    </row>
    <row r="528435" spans="12:13" x14ac:dyDescent="0.25">
      <c r="L528435" s="472"/>
      <c r="M528435" s="472"/>
    </row>
    <row r="528436" spans="12:13" x14ac:dyDescent="0.25">
      <c r="L528436" s="472"/>
      <c r="M528436" s="472"/>
    </row>
    <row r="528437" spans="12:13" x14ac:dyDescent="0.25">
      <c r="L528437" s="472"/>
      <c r="M528437" s="472"/>
    </row>
    <row r="528509" spans="12:13" x14ac:dyDescent="0.25">
      <c r="L528509" s="472"/>
      <c r="M528509" s="472"/>
    </row>
    <row r="528510" spans="12:13" x14ac:dyDescent="0.25">
      <c r="L528510" s="472"/>
      <c r="M528510" s="472"/>
    </row>
    <row r="528511" spans="12:13" x14ac:dyDescent="0.25">
      <c r="L528511" s="472"/>
      <c r="M528511" s="472"/>
    </row>
    <row r="528583" spans="12:13" x14ac:dyDescent="0.25">
      <c r="L528583" s="472"/>
      <c r="M528583" s="472"/>
    </row>
    <row r="528584" spans="12:13" x14ac:dyDescent="0.25">
      <c r="L528584" s="472"/>
      <c r="M528584" s="472"/>
    </row>
    <row r="528585" spans="12:13" x14ac:dyDescent="0.25">
      <c r="L528585" s="472"/>
      <c r="M528585" s="472"/>
    </row>
    <row r="528657" spans="12:13" x14ac:dyDescent="0.25">
      <c r="L528657" s="472"/>
      <c r="M528657" s="472"/>
    </row>
    <row r="528658" spans="12:13" x14ac:dyDescent="0.25">
      <c r="L528658" s="472"/>
      <c r="M528658" s="472"/>
    </row>
    <row r="528659" spans="12:13" x14ac:dyDescent="0.25">
      <c r="L528659" s="472"/>
      <c r="M528659" s="472"/>
    </row>
    <row r="528731" spans="12:13" x14ac:dyDescent="0.25">
      <c r="L528731" s="472"/>
      <c r="M528731" s="472"/>
    </row>
    <row r="528732" spans="12:13" x14ac:dyDescent="0.25">
      <c r="L528732" s="472"/>
      <c r="M528732" s="472"/>
    </row>
    <row r="528733" spans="12:13" x14ac:dyDescent="0.25">
      <c r="L528733" s="472"/>
      <c r="M528733" s="472"/>
    </row>
    <row r="528805" spans="12:13" x14ac:dyDescent="0.25">
      <c r="L528805" s="472"/>
      <c r="M528805" s="472"/>
    </row>
    <row r="528806" spans="12:13" x14ac:dyDescent="0.25">
      <c r="L528806" s="472"/>
      <c r="M528806" s="472"/>
    </row>
    <row r="528807" spans="12:13" x14ac:dyDescent="0.25">
      <c r="L528807" s="472"/>
      <c r="M528807" s="472"/>
    </row>
    <row r="528879" spans="12:13" x14ac:dyDescent="0.25">
      <c r="L528879" s="472"/>
      <c r="M528879" s="472"/>
    </row>
    <row r="528880" spans="12:13" x14ac:dyDescent="0.25">
      <c r="L528880" s="472"/>
      <c r="M528880" s="472"/>
    </row>
    <row r="528881" spans="12:13" x14ac:dyDescent="0.25">
      <c r="L528881" s="472"/>
      <c r="M528881" s="472"/>
    </row>
    <row r="528953" spans="12:13" x14ac:dyDescent="0.25">
      <c r="L528953" s="472"/>
      <c r="M528953" s="472"/>
    </row>
    <row r="528954" spans="12:13" x14ac:dyDescent="0.25">
      <c r="L528954" s="472"/>
      <c r="M528954" s="472"/>
    </row>
    <row r="528955" spans="12:13" x14ac:dyDescent="0.25">
      <c r="L528955" s="472"/>
      <c r="M528955" s="472"/>
    </row>
    <row r="529027" spans="12:13" x14ac:dyDescent="0.25">
      <c r="L529027" s="472"/>
      <c r="M529027" s="472"/>
    </row>
    <row r="529028" spans="12:13" x14ac:dyDescent="0.25">
      <c r="L529028" s="472"/>
      <c r="M529028" s="472"/>
    </row>
    <row r="529029" spans="12:13" x14ac:dyDescent="0.25">
      <c r="L529029" s="472"/>
      <c r="M529029" s="472"/>
    </row>
    <row r="529101" spans="12:13" x14ac:dyDescent="0.25">
      <c r="L529101" s="472"/>
      <c r="M529101" s="472"/>
    </row>
    <row r="529102" spans="12:13" x14ac:dyDescent="0.25">
      <c r="L529102" s="472"/>
      <c r="M529102" s="472"/>
    </row>
    <row r="529103" spans="12:13" x14ac:dyDescent="0.25">
      <c r="L529103" s="472"/>
      <c r="M529103" s="472"/>
    </row>
    <row r="529175" spans="12:13" x14ac:dyDescent="0.25">
      <c r="L529175" s="472"/>
      <c r="M529175" s="472"/>
    </row>
    <row r="529176" spans="12:13" x14ac:dyDescent="0.25">
      <c r="L529176" s="472"/>
      <c r="M529176" s="472"/>
    </row>
    <row r="529177" spans="12:13" x14ac:dyDescent="0.25">
      <c r="L529177" s="472"/>
      <c r="M529177" s="472"/>
    </row>
    <row r="529249" spans="12:13" x14ac:dyDescent="0.25">
      <c r="L529249" s="472"/>
      <c r="M529249" s="472"/>
    </row>
    <row r="529250" spans="12:13" x14ac:dyDescent="0.25">
      <c r="L529250" s="472"/>
      <c r="M529250" s="472"/>
    </row>
    <row r="529251" spans="12:13" x14ac:dyDescent="0.25">
      <c r="L529251" s="472"/>
      <c r="M529251" s="472"/>
    </row>
    <row r="529323" spans="12:13" x14ac:dyDescent="0.25">
      <c r="L529323" s="472"/>
      <c r="M529323" s="472"/>
    </row>
    <row r="529324" spans="12:13" x14ac:dyDescent="0.25">
      <c r="L529324" s="472"/>
      <c r="M529324" s="472"/>
    </row>
    <row r="529325" spans="12:13" x14ac:dyDescent="0.25">
      <c r="L529325" s="472"/>
      <c r="M529325" s="472"/>
    </row>
    <row r="529397" spans="12:13" x14ac:dyDescent="0.25">
      <c r="L529397" s="472"/>
      <c r="M529397" s="472"/>
    </row>
    <row r="529398" spans="12:13" x14ac:dyDescent="0.25">
      <c r="L529398" s="472"/>
      <c r="M529398" s="472"/>
    </row>
    <row r="529399" spans="12:13" x14ac:dyDescent="0.25">
      <c r="L529399" s="472"/>
      <c r="M529399" s="472"/>
    </row>
    <row r="529471" spans="12:13" x14ac:dyDescent="0.25">
      <c r="L529471" s="472"/>
      <c r="M529471" s="472"/>
    </row>
    <row r="529472" spans="12:13" x14ac:dyDescent="0.25">
      <c r="L529472" s="472"/>
      <c r="M529472" s="472"/>
    </row>
    <row r="529473" spans="12:13" x14ac:dyDescent="0.25">
      <c r="L529473" s="472"/>
      <c r="M529473" s="472"/>
    </row>
    <row r="529545" spans="12:13" x14ac:dyDescent="0.25">
      <c r="L529545" s="472"/>
      <c r="M529545" s="472"/>
    </row>
    <row r="529546" spans="12:13" x14ac:dyDescent="0.25">
      <c r="L529546" s="472"/>
      <c r="M529546" s="472"/>
    </row>
    <row r="529547" spans="12:13" x14ac:dyDescent="0.25">
      <c r="L529547" s="472"/>
      <c r="M529547" s="472"/>
    </row>
    <row r="529619" spans="12:13" x14ac:dyDescent="0.25">
      <c r="L529619" s="472"/>
      <c r="M529619" s="472"/>
    </row>
    <row r="529620" spans="12:13" x14ac:dyDescent="0.25">
      <c r="L529620" s="472"/>
      <c r="M529620" s="472"/>
    </row>
    <row r="529621" spans="12:13" x14ac:dyDescent="0.25">
      <c r="L529621" s="472"/>
      <c r="M529621" s="472"/>
    </row>
    <row r="529693" spans="12:13" x14ac:dyDescent="0.25">
      <c r="L529693" s="472"/>
      <c r="M529693" s="472"/>
    </row>
    <row r="529694" spans="12:13" x14ac:dyDescent="0.25">
      <c r="L529694" s="472"/>
      <c r="M529694" s="472"/>
    </row>
    <row r="529695" spans="12:13" x14ac:dyDescent="0.25">
      <c r="L529695" s="472"/>
      <c r="M529695" s="472"/>
    </row>
    <row r="529767" spans="12:13" x14ac:dyDescent="0.25">
      <c r="L529767" s="472"/>
      <c r="M529767" s="472"/>
    </row>
    <row r="529768" spans="12:13" x14ac:dyDescent="0.25">
      <c r="L529768" s="472"/>
      <c r="M529768" s="472"/>
    </row>
    <row r="529769" spans="12:13" x14ac:dyDescent="0.25">
      <c r="L529769" s="472"/>
      <c r="M529769" s="472"/>
    </row>
    <row r="529841" spans="12:13" x14ac:dyDescent="0.25">
      <c r="L529841" s="472"/>
      <c r="M529841" s="472"/>
    </row>
    <row r="529842" spans="12:13" x14ac:dyDescent="0.25">
      <c r="L529842" s="472"/>
      <c r="M529842" s="472"/>
    </row>
    <row r="529843" spans="12:13" x14ac:dyDescent="0.25">
      <c r="L529843" s="472"/>
      <c r="M529843" s="472"/>
    </row>
    <row r="529915" spans="12:13" x14ac:dyDescent="0.25">
      <c r="L529915" s="472"/>
      <c r="M529915" s="472"/>
    </row>
    <row r="529916" spans="12:13" x14ac:dyDescent="0.25">
      <c r="L529916" s="472"/>
      <c r="M529916" s="472"/>
    </row>
    <row r="529917" spans="12:13" x14ac:dyDescent="0.25">
      <c r="L529917" s="472"/>
      <c r="M529917" s="472"/>
    </row>
    <row r="529989" spans="12:13" x14ac:dyDescent="0.25">
      <c r="L529989" s="472"/>
      <c r="M529989" s="472"/>
    </row>
    <row r="529990" spans="12:13" x14ac:dyDescent="0.25">
      <c r="L529990" s="472"/>
      <c r="M529990" s="472"/>
    </row>
    <row r="529991" spans="12:13" x14ac:dyDescent="0.25">
      <c r="L529991" s="472"/>
      <c r="M529991" s="472"/>
    </row>
    <row r="530063" spans="12:13" x14ac:dyDescent="0.25">
      <c r="L530063" s="472"/>
      <c r="M530063" s="472"/>
    </row>
    <row r="530064" spans="12:13" x14ac:dyDescent="0.25">
      <c r="L530064" s="472"/>
      <c r="M530064" s="472"/>
    </row>
    <row r="530065" spans="12:13" x14ac:dyDescent="0.25">
      <c r="L530065" s="472"/>
      <c r="M530065" s="472"/>
    </row>
    <row r="530137" spans="12:13" x14ac:dyDescent="0.25">
      <c r="L530137" s="472"/>
      <c r="M530137" s="472"/>
    </row>
    <row r="530138" spans="12:13" x14ac:dyDescent="0.25">
      <c r="L530138" s="472"/>
      <c r="M530138" s="472"/>
    </row>
    <row r="530139" spans="12:13" x14ac:dyDescent="0.25">
      <c r="L530139" s="472"/>
      <c r="M530139" s="472"/>
    </row>
    <row r="530211" spans="12:13" x14ac:dyDescent="0.25">
      <c r="L530211" s="472"/>
      <c r="M530211" s="472"/>
    </row>
    <row r="530212" spans="12:13" x14ac:dyDescent="0.25">
      <c r="L530212" s="472"/>
      <c r="M530212" s="472"/>
    </row>
    <row r="530213" spans="12:13" x14ac:dyDescent="0.25">
      <c r="L530213" s="472"/>
      <c r="M530213" s="472"/>
    </row>
    <row r="530285" spans="12:13" x14ac:dyDescent="0.25">
      <c r="L530285" s="472"/>
      <c r="M530285" s="472"/>
    </row>
    <row r="530286" spans="12:13" x14ac:dyDescent="0.25">
      <c r="L530286" s="472"/>
      <c r="M530286" s="472"/>
    </row>
    <row r="530287" spans="12:13" x14ac:dyDescent="0.25">
      <c r="L530287" s="472"/>
      <c r="M530287" s="472"/>
    </row>
    <row r="530359" spans="12:13" x14ac:dyDescent="0.25">
      <c r="L530359" s="472"/>
      <c r="M530359" s="472"/>
    </row>
    <row r="530360" spans="12:13" x14ac:dyDescent="0.25">
      <c r="L530360" s="472"/>
      <c r="M530360" s="472"/>
    </row>
    <row r="530361" spans="12:13" x14ac:dyDescent="0.25">
      <c r="L530361" s="472"/>
      <c r="M530361" s="472"/>
    </row>
    <row r="530433" spans="12:13" x14ac:dyDescent="0.25">
      <c r="L530433" s="472"/>
      <c r="M530433" s="472"/>
    </row>
    <row r="530434" spans="12:13" x14ac:dyDescent="0.25">
      <c r="L530434" s="472"/>
      <c r="M530434" s="472"/>
    </row>
    <row r="530435" spans="12:13" x14ac:dyDescent="0.25">
      <c r="L530435" s="472"/>
      <c r="M530435" s="472"/>
    </row>
    <row r="530507" spans="12:13" x14ac:dyDescent="0.25">
      <c r="L530507" s="472"/>
      <c r="M530507" s="472"/>
    </row>
    <row r="530508" spans="12:13" x14ac:dyDescent="0.25">
      <c r="L530508" s="472"/>
      <c r="M530508" s="472"/>
    </row>
    <row r="530509" spans="12:13" x14ac:dyDescent="0.25">
      <c r="L530509" s="472"/>
      <c r="M530509" s="472"/>
    </row>
    <row r="530581" spans="12:13" x14ac:dyDescent="0.25">
      <c r="L530581" s="472"/>
      <c r="M530581" s="472"/>
    </row>
    <row r="530582" spans="12:13" x14ac:dyDescent="0.25">
      <c r="L530582" s="472"/>
      <c r="M530582" s="472"/>
    </row>
    <row r="530583" spans="12:13" x14ac:dyDescent="0.25">
      <c r="L530583" s="472"/>
      <c r="M530583" s="472"/>
    </row>
    <row r="530655" spans="12:13" x14ac:dyDescent="0.25">
      <c r="L530655" s="472"/>
      <c r="M530655" s="472"/>
    </row>
    <row r="530656" spans="12:13" x14ac:dyDescent="0.25">
      <c r="L530656" s="472"/>
      <c r="M530656" s="472"/>
    </row>
    <row r="530657" spans="12:13" x14ac:dyDescent="0.25">
      <c r="L530657" s="472"/>
      <c r="M530657" s="472"/>
    </row>
    <row r="530729" spans="12:13" x14ac:dyDescent="0.25">
      <c r="L530729" s="472"/>
      <c r="M530729" s="472"/>
    </row>
    <row r="530730" spans="12:13" x14ac:dyDescent="0.25">
      <c r="L530730" s="472"/>
      <c r="M530730" s="472"/>
    </row>
    <row r="530731" spans="12:13" x14ac:dyDescent="0.25">
      <c r="L530731" s="472"/>
      <c r="M530731" s="472"/>
    </row>
    <row r="530803" spans="12:13" x14ac:dyDescent="0.25">
      <c r="L530803" s="472"/>
      <c r="M530803" s="472"/>
    </row>
    <row r="530804" spans="12:13" x14ac:dyDescent="0.25">
      <c r="L530804" s="472"/>
      <c r="M530804" s="472"/>
    </row>
    <row r="530805" spans="12:13" x14ac:dyDescent="0.25">
      <c r="L530805" s="472"/>
      <c r="M530805" s="472"/>
    </row>
    <row r="530877" spans="12:13" x14ac:dyDescent="0.25">
      <c r="L530877" s="472"/>
      <c r="M530877" s="472"/>
    </row>
    <row r="530878" spans="12:13" x14ac:dyDescent="0.25">
      <c r="L530878" s="472"/>
      <c r="M530878" s="472"/>
    </row>
    <row r="530879" spans="12:13" x14ac:dyDescent="0.25">
      <c r="L530879" s="472"/>
      <c r="M530879" s="472"/>
    </row>
    <row r="530951" spans="12:13" x14ac:dyDescent="0.25">
      <c r="L530951" s="472"/>
      <c r="M530951" s="472"/>
    </row>
    <row r="530952" spans="12:13" x14ac:dyDescent="0.25">
      <c r="L530952" s="472"/>
      <c r="M530952" s="472"/>
    </row>
    <row r="530953" spans="12:13" x14ac:dyDescent="0.25">
      <c r="L530953" s="472"/>
      <c r="M530953" s="472"/>
    </row>
    <row r="531025" spans="12:13" x14ac:dyDescent="0.25">
      <c r="L531025" s="472"/>
      <c r="M531025" s="472"/>
    </row>
    <row r="531026" spans="12:13" x14ac:dyDescent="0.25">
      <c r="L531026" s="472"/>
      <c r="M531026" s="472"/>
    </row>
    <row r="531027" spans="12:13" x14ac:dyDescent="0.25">
      <c r="L531027" s="472"/>
      <c r="M531027" s="472"/>
    </row>
    <row r="531099" spans="12:13" x14ac:dyDescent="0.25">
      <c r="L531099" s="472"/>
      <c r="M531099" s="472"/>
    </row>
    <row r="531100" spans="12:13" x14ac:dyDescent="0.25">
      <c r="L531100" s="472"/>
      <c r="M531100" s="472"/>
    </row>
    <row r="531101" spans="12:13" x14ac:dyDescent="0.25">
      <c r="L531101" s="472"/>
      <c r="M531101" s="472"/>
    </row>
    <row r="531173" spans="12:13" x14ac:dyDescent="0.25">
      <c r="L531173" s="472"/>
      <c r="M531173" s="472"/>
    </row>
    <row r="531174" spans="12:13" x14ac:dyDescent="0.25">
      <c r="L531174" s="472"/>
      <c r="M531174" s="472"/>
    </row>
    <row r="531175" spans="12:13" x14ac:dyDescent="0.25">
      <c r="L531175" s="472"/>
      <c r="M531175" s="472"/>
    </row>
    <row r="531247" spans="12:13" x14ac:dyDescent="0.25">
      <c r="L531247" s="472"/>
      <c r="M531247" s="472"/>
    </row>
    <row r="531248" spans="12:13" x14ac:dyDescent="0.25">
      <c r="L531248" s="472"/>
      <c r="M531248" s="472"/>
    </row>
    <row r="531249" spans="12:13" x14ac:dyDescent="0.25">
      <c r="L531249" s="472"/>
      <c r="M531249" s="472"/>
    </row>
    <row r="531321" spans="12:13" x14ac:dyDescent="0.25">
      <c r="L531321" s="472"/>
      <c r="M531321" s="472"/>
    </row>
    <row r="531322" spans="12:13" x14ac:dyDescent="0.25">
      <c r="L531322" s="472"/>
      <c r="M531322" s="472"/>
    </row>
    <row r="531323" spans="12:13" x14ac:dyDescent="0.25">
      <c r="L531323" s="472"/>
      <c r="M531323" s="472"/>
    </row>
    <row r="531395" spans="12:13" x14ac:dyDescent="0.25">
      <c r="L531395" s="472"/>
      <c r="M531395" s="472"/>
    </row>
    <row r="531396" spans="12:13" x14ac:dyDescent="0.25">
      <c r="L531396" s="472"/>
      <c r="M531396" s="472"/>
    </row>
    <row r="531397" spans="12:13" x14ac:dyDescent="0.25">
      <c r="L531397" s="472"/>
      <c r="M531397" s="472"/>
    </row>
    <row r="531469" spans="12:13" x14ac:dyDescent="0.25">
      <c r="L531469" s="472"/>
      <c r="M531469" s="472"/>
    </row>
    <row r="531470" spans="12:13" x14ac:dyDescent="0.25">
      <c r="L531470" s="472"/>
      <c r="M531470" s="472"/>
    </row>
    <row r="531471" spans="12:13" x14ac:dyDescent="0.25">
      <c r="L531471" s="472"/>
      <c r="M531471" s="472"/>
    </row>
    <row r="531543" spans="12:13" x14ac:dyDescent="0.25">
      <c r="L531543" s="472"/>
      <c r="M531543" s="472"/>
    </row>
    <row r="531544" spans="12:13" x14ac:dyDescent="0.25">
      <c r="L531544" s="472"/>
      <c r="M531544" s="472"/>
    </row>
    <row r="531545" spans="12:13" x14ac:dyDescent="0.25">
      <c r="L531545" s="472"/>
      <c r="M531545" s="472"/>
    </row>
    <row r="531617" spans="12:13" x14ac:dyDescent="0.25">
      <c r="L531617" s="472"/>
      <c r="M531617" s="472"/>
    </row>
    <row r="531618" spans="12:13" x14ac:dyDescent="0.25">
      <c r="L531618" s="472"/>
      <c r="M531618" s="472"/>
    </row>
    <row r="531619" spans="12:13" x14ac:dyDescent="0.25">
      <c r="L531619" s="472"/>
      <c r="M531619" s="472"/>
    </row>
    <row r="531691" spans="12:13" x14ac:dyDescent="0.25">
      <c r="L531691" s="472"/>
      <c r="M531691" s="472"/>
    </row>
    <row r="531692" spans="12:13" x14ac:dyDescent="0.25">
      <c r="L531692" s="472"/>
      <c r="M531692" s="472"/>
    </row>
    <row r="531693" spans="12:13" x14ac:dyDescent="0.25">
      <c r="L531693" s="472"/>
      <c r="M531693" s="472"/>
    </row>
    <row r="531765" spans="12:13" x14ac:dyDescent="0.25">
      <c r="L531765" s="472"/>
      <c r="M531765" s="472"/>
    </row>
    <row r="531766" spans="12:13" x14ac:dyDescent="0.25">
      <c r="L531766" s="472"/>
      <c r="M531766" s="472"/>
    </row>
    <row r="531767" spans="12:13" x14ac:dyDescent="0.25">
      <c r="L531767" s="472"/>
      <c r="M531767" s="472"/>
    </row>
    <row r="531839" spans="12:13" x14ac:dyDescent="0.25">
      <c r="L531839" s="472"/>
      <c r="M531839" s="472"/>
    </row>
    <row r="531840" spans="12:13" x14ac:dyDescent="0.25">
      <c r="L531840" s="472"/>
      <c r="M531840" s="472"/>
    </row>
    <row r="531841" spans="12:13" x14ac:dyDescent="0.25">
      <c r="L531841" s="472"/>
      <c r="M531841" s="472"/>
    </row>
    <row r="531913" spans="12:13" x14ac:dyDescent="0.25">
      <c r="L531913" s="472"/>
      <c r="M531913" s="472"/>
    </row>
    <row r="531914" spans="12:13" x14ac:dyDescent="0.25">
      <c r="L531914" s="472"/>
      <c r="M531914" s="472"/>
    </row>
    <row r="531915" spans="12:13" x14ac:dyDescent="0.25">
      <c r="L531915" s="472"/>
      <c r="M531915" s="472"/>
    </row>
    <row r="531987" spans="12:13" x14ac:dyDescent="0.25">
      <c r="L531987" s="472"/>
      <c r="M531987" s="472"/>
    </row>
    <row r="531988" spans="12:13" x14ac:dyDescent="0.25">
      <c r="L531988" s="472"/>
      <c r="M531988" s="472"/>
    </row>
    <row r="531989" spans="12:13" x14ac:dyDescent="0.25">
      <c r="L531989" s="472"/>
      <c r="M531989" s="472"/>
    </row>
    <row r="532061" spans="12:13" x14ac:dyDescent="0.25">
      <c r="L532061" s="472"/>
      <c r="M532061" s="472"/>
    </row>
    <row r="532062" spans="12:13" x14ac:dyDescent="0.25">
      <c r="L532062" s="472"/>
      <c r="M532062" s="472"/>
    </row>
    <row r="532063" spans="12:13" x14ac:dyDescent="0.25">
      <c r="L532063" s="472"/>
      <c r="M532063" s="472"/>
    </row>
    <row r="532135" spans="12:13" x14ac:dyDescent="0.25">
      <c r="L532135" s="472"/>
      <c r="M532135" s="472"/>
    </row>
    <row r="532136" spans="12:13" x14ac:dyDescent="0.25">
      <c r="L532136" s="472"/>
      <c r="M532136" s="472"/>
    </row>
    <row r="532137" spans="12:13" x14ac:dyDescent="0.25">
      <c r="L532137" s="472"/>
      <c r="M532137" s="472"/>
    </row>
    <row r="532209" spans="12:13" x14ac:dyDescent="0.25">
      <c r="L532209" s="472"/>
      <c r="M532209" s="472"/>
    </row>
    <row r="532210" spans="12:13" x14ac:dyDescent="0.25">
      <c r="L532210" s="472"/>
      <c r="M532210" s="472"/>
    </row>
    <row r="532211" spans="12:13" x14ac:dyDescent="0.25">
      <c r="L532211" s="472"/>
      <c r="M532211" s="472"/>
    </row>
    <row r="532283" spans="12:13" x14ac:dyDescent="0.25">
      <c r="L532283" s="472"/>
      <c r="M532283" s="472"/>
    </row>
    <row r="532284" spans="12:13" x14ac:dyDescent="0.25">
      <c r="L532284" s="472"/>
      <c r="M532284" s="472"/>
    </row>
    <row r="532285" spans="12:13" x14ac:dyDescent="0.25">
      <c r="L532285" s="472"/>
      <c r="M532285" s="472"/>
    </row>
    <row r="532357" spans="12:13" x14ac:dyDescent="0.25">
      <c r="L532357" s="472"/>
      <c r="M532357" s="472"/>
    </row>
    <row r="532358" spans="12:13" x14ac:dyDescent="0.25">
      <c r="L532358" s="472"/>
      <c r="M532358" s="472"/>
    </row>
    <row r="532359" spans="12:13" x14ac:dyDescent="0.25">
      <c r="L532359" s="472"/>
      <c r="M532359" s="472"/>
    </row>
    <row r="532431" spans="12:13" x14ac:dyDescent="0.25">
      <c r="L532431" s="472"/>
      <c r="M532431" s="472"/>
    </row>
    <row r="532432" spans="12:13" x14ac:dyDescent="0.25">
      <c r="L532432" s="472"/>
      <c r="M532432" s="472"/>
    </row>
    <row r="532433" spans="12:13" x14ac:dyDescent="0.25">
      <c r="L532433" s="472"/>
      <c r="M532433" s="472"/>
    </row>
    <row r="532505" spans="12:13" x14ac:dyDescent="0.25">
      <c r="L532505" s="472"/>
      <c r="M532505" s="472"/>
    </row>
    <row r="532506" spans="12:13" x14ac:dyDescent="0.25">
      <c r="L532506" s="472"/>
      <c r="M532506" s="472"/>
    </row>
    <row r="532507" spans="12:13" x14ac:dyDescent="0.25">
      <c r="L532507" s="472"/>
      <c r="M532507" s="472"/>
    </row>
    <row r="532579" spans="12:13" x14ac:dyDescent="0.25">
      <c r="L532579" s="472"/>
      <c r="M532579" s="472"/>
    </row>
    <row r="532580" spans="12:13" x14ac:dyDescent="0.25">
      <c r="L532580" s="472"/>
      <c r="M532580" s="472"/>
    </row>
    <row r="532581" spans="12:13" x14ac:dyDescent="0.25">
      <c r="L532581" s="472"/>
      <c r="M532581" s="472"/>
    </row>
    <row r="532653" spans="12:13" x14ac:dyDescent="0.25">
      <c r="L532653" s="472"/>
      <c r="M532653" s="472"/>
    </row>
    <row r="532654" spans="12:13" x14ac:dyDescent="0.25">
      <c r="L532654" s="472"/>
      <c r="M532654" s="472"/>
    </row>
    <row r="532655" spans="12:13" x14ac:dyDescent="0.25">
      <c r="L532655" s="472"/>
      <c r="M532655" s="472"/>
    </row>
    <row r="532727" spans="12:13" x14ac:dyDescent="0.25">
      <c r="L532727" s="472"/>
      <c r="M532727" s="472"/>
    </row>
    <row r="532728" spans="12:13" x14ac:dyDescent="0.25">
      <c r="L532728" s="472"/>
      <c r="M532728" s="472"/>
    </row>
    <row r="532729" spans="12:13" x14ac:dyDescent="0.25">
      <c r="L532729" s="472"/>
      <c r="M532729" s="472"/>
    </row>
    <row r="532801" spans="12:13" x14ac:dyDescent="0.25">
      <c r="L532801" s="472"/>
      <c r="M532801" s="472"/>
    </row>
    <row r="532802" spans="12:13" x14ac:dyDescent="0.25">
      <c r="L532802" s="472"/>
      <c r="M532802" s="472"/>
    </row>
    <row r="532803" spans="12:13" x14ac:dyDescent="0.25">
      <c r="L532803" s="472"/>
      <c r="M532803" s="472"/>
    </row>
    <row r="532875" spans="12:13" x14ac:dyDescent="0.25">
      <c r="L532875" s="472"/>
      <c r="M532875" s="472"/>
    </row>
    <row r="532876" spans="12:13" x14ac:dyDescent="0.25">
      <c r="L532876" s="472"/>
      <c r="M532876" s="472"/>
    </row>
    <row r="532877" spans="12:13" x14ac:dyDescent="0.25">
      <c r="L532877" s="472"/>
      <c r="M532877" s="472"/>
    </row>
    <row r="532949" spans="12:13" x14ac:dyDescent="0.25">
      <c r="L532949" s="472"/>
      <c r="M532949" s="472"/>
    </row>
    <row r="532950" spans="12:13" x14ac:dyDescent="0.25">
      <c r="L532950" s="472"/>
      <c r="M532950" s="472"/>
    </row>
    <row r="532951" spans="12:13" x14ac:dyDescent="0.25">
      <c r="L532951" s="472"/>
      <c r="M532951" s="472"/>
    </row>
    <row r="533023" spans="12:13" x14ac:dyDescent="0.25">
      <c r="L533023" s="472"/>
      <c r="M533023" s="472"/>
    </row>
    <row r="533024" spans="12:13" x14ac:dyDescent="0.25">
      <c r="L533024" s="472"/>
      <c r="M533024" s="472"/>
    </row>
    <row r="533025" spans="12:13" x14ac:dyDescent="0.25">
      <c r="L533025" s="472"/>
      <c r="M533025" s="472"/>
    </row>
    <row r="533097" spans="12:13" x14ac:dyDescent="0.25">
      <c r="L533097" s="472"/>
      <c r="M533097" s="472"/>
    </row>
    <row r="533098" spans="12:13" x14ac:dyDescent="0.25">
      <c r="L533098" s="472"/>
      <c r="M533098" s="472"/>
    </row>
    <row r="533099" spans="12:13" x14ac:dyDescent="0.25">
      <c r="L533099" s="472"/>
      <c r="M533099" s="472"/>
    </row>
    <row r="533171" spans="12:13" x14ac:dyDescent="0.25">
      <c r="L533171" s="472"/>
      <c r="M533171" s="472"/>
    </row>
    <row r="533172" spans="12:13" x14ac:dyDescent="0.25">
      <c r="L533172" s="472"/>
      <c r="M533172" s="472"/>
    </row>
    <row r="533173" spans="12:13" x14ac:dyDescent="0.25">
      <c r="L533173" s="472"/>
      <c r="M533173" s="472"/>
    </row>
    <row r="533245" spans="12:13" x14ac:dyDescent="0.25">
      <c r="L533245" s="472"/>
      <c r="M533245" s="472"/>
    </row>
    <row r="533246" spans="12:13" x14ac:dyDescent="0.25">
      <c r="L533246" s="472"/>
      <c r="M533246" s="472"/>
    </row>
    <row r="533247" spans="12:13" x14ac:dyDescent="0.25">
      <c r="L533247" s="472"/>
      <c r="M533247" s="472"/>
    </row>
    <row r="533319" spans="12:13" x14ac:dyDescent="0.25">
      <c r="L533319" s="472"/>
      <c r="M533319" s="472"/>
    </row>
    <row r="533320" spans="12:13" x14ac:dyDescent="0.25">
      <c r="L533320" s="472"/>
      <c r="M533320" s="472"/>
    </row>
    <row r="533321" spans="12:13" x14ac:dyDescent="0.25">
      <c r="L533321" s="472"/>
      <c r="M533321" s="472"/>
    </row>
    <row r="533393" spans="12:13" x14ac:dyDescent="0.25">
      <c r="L533393" s="472"/>
      <c r="M533393" s="472"/>
    </row>
    <row r="533394" spans="12:13" x14ac:dyDescent="0.25">
      <c r="L533394" s="472"/>
      <c r="M533394" s="472"/>
    </row>
    <row r="533395" spans="12:13" x14ac:dyDescent="0.25">
      <c r="L533395" s="472"/>
      <c r="M533395" s="472"/>
    </row>
    <row r="533467" spans="12:13" x14ac:dyDescent="0.25">
      <c r="L533467" s="472"/>
      <c r="M533467" s="472"/>
    </row>
    <row r="533468" spans="12:13" x14ac:dyDescent="0.25">
      <c r="L533468" s="472"/>
      <c r="M533468" s="472"/>
    </row>
    <row r="533469" spans="12:13" x14ac:dyDescent="0.25">
      <c r="L533469" s="472"/>
      <c r="M533469" s="472"/>
    </row>
    <row r="533541" spans="12:13" x14ac:dyDescent="0.25">
      <c r="L533541" s="472"/>
      <c r="M533541" s="472"/>
    </row>
    <row r="533542" spans="12:13" x14ac:dyDescent="0.25">
      <c r="L533542" s="472"/>
      <c r="M533542" s="472"/>
    </row>
    <row r="533543" spans="12:13" x14ac:dyDescent="0.25">
      <c r="L533543" s="472"/>
      <c r="M533543" s="472"/>
    </row>
    <row r="533615" spans="12:13" x14ac:dyDescent="0.25">
      <c r="L533615" s="472"/>
      <c r="M533615" s="472"/>
    </row>
    <row r="533616" spans="12:13" x14ac:dyDescent="0.25">
      <c r="L533616" s="472"/>
      <c r="M533616" s="472"/>
    </row>
    <row r="533617" spans="12:13" x14ac:dyDescent="0.25">
      <c r="L533617" s="472"/>
      <c r="M533617" s="472"/>
    </row>
    <row r="533689" spans="12:13" x14ac:dyDescent="0.25">
      <c r="L533689" s="472"/>
      <c r="M533689" s="472"/>
    </row>
    <row r="533690" spans="12:13" x14ac:dyDescent="0.25">
      <c r="L533690" s="472"/>
      <c r="M533690" s="472"/>
    </row>
    <row r="533691" spans="12:13" x14ac:dyDescent="0.25">
      <c r="L533691" s="472"/>
      <c r="M533691" s="472"/>
    </row>
    <row r="533763" spans="12:13" x14ac:dyDescent="0.25">
      <c r="L533763" s="472"/>
      <c r="M533763" s="472"/>
    </row>
    <row r="533764" spans="12:13" x14ac:dyDescent="0.25">
      <c r="L533764" s="472"/>
      <c r="M533764" s="472"/>
    </row>
    <row r="533765" spans="12:13" x14ac:dyDescent="0.25">
      <c r="L533765" s="472"/>
      <c r="M533765" s="472"/>
    </row>
    <row r="533837" spans="12:13" x14ac:dyDescent="0.25">
      <c r="L533837" s="472"/>
      <c r="M533837" s="472"/>
    </row>
    <row r="533838" spans="12:13" x14ac:dyDescent="0.25">
      <c r="L533838" s="472"/>
      <c r="M533838" s="472"/>
    </row>
    <row r="533839" spans="12:13" x14ac:dyDescent="0.25">
      <c r="L533839" s="472"/>
      <c r="M533839" s="472"/>
    </row>
    <row r="533911" spans="12:13" x14ac:dyDescent="0.25">
      <c r="L533911" s="472"/>
      <c r="M533911" s="472"/>
    </row>
    <row r="533912" spans="12:13" x14ac:dyDescent="0.25">
      <c r="L533912" s="472"/>
      <c r="M533912" s="472"/>
    </row>
    <row r="533913" spans="12:13" x14ac:dyDescent="0.25">
      <c r="L533913" s="472"/>
      <c r="M533913" s="472"/>
    </row>
    <row r="533985" spans="12:13" x14ac:dyDescent="0.25">
      <c r="L533985" s="472"/>
      <c r="M533985" s="472"/>
    </row>
    <row r="533986" spans="12:13" x14ac:dyDescent="0.25">
      <c r="L533986" s="472"/>
      <c r="M533986" s="472"/>
    </row>
    <row r="533987" spans="12:13" x14ac:dyDescent="0.25">
      <c r="L533987" s="472"/>
      <c r="M533987" s="472"/>
    </row>
    <row r="534059" spans="12:13" x14ac:dyDescent="0.25">
      <c r="L534059" s="472"/>
      <c r="M534059" s="472"/>
    </row>
    <row r="534060" spans="12:13" x14ac:dyDescent="0.25">
      <c r="L534060" s="472"/>
      <c r="M534060" s="472"/>
    </row>
    <row r="534061" spans="12:13" x14ac:dyDescent="0.25">
      <c r="L534061" s="472"/>
      <c r="M534061" s="472"/>
    </row>
    <row r="534133" spans="12:13" x14ac:dyDescent="0.25">
      <c r="L534133" s="472"/>
      <c r="M534133" s="472"/>
    </row>
    <row r="534134" spans="12:13" x14ac:dyDescent="0.25">
      <c r="L534134" s="472"/>
      <c r="M534134" s="472"/>
    </row>
    <row r="534135" spans="12:13" x14ac:dyDescent="0.25">
      <c r="L534135" s="472"/>
      <c r="M534135" s="472"/>
    </row>
    <row r="534207" spans="12:13" x14ac:dyDescent="0.25">
      <c r="L534207" s="472"/>
      <c r="M534207" s="472"/>
    </row>
    <row r="534208" spans="12:13" x14ac:dyDescent="0.25">
      <c r="L534208" s="472"/>
      <c r="M534208" s="472"/>
    </row>
    <row r="534209" spans="12:13" x14ac:dyDescent="0.25">
      <c r="L534209" s="472"/>
      <c r="M534209" s="472"/>
    </row>
    <row r="534281" spans="12:13" x14ac:dyDescent="0.25">
      <c r="L534281" s="472"/>
      <c r="M534281" s="472"/>
    </row>
    <row r="534282" spans="12:13" x14ac:dyDescent="0.25">
      <c r="L534282" s="472"/>
      <c r="M534282" s="472"/>
    </row>
    <row r="534283" spans="12:13" x14ac:dyDescent="0.25">
      <c r="L534283" s="472"/>
      <c r="M534283" s="472"/>
    </row>
    <row r="534355" spans="12:13" x14ac:dyDescent="0.25">
      <c r="L534355" s="472"/>
      <c r="M534355" s="472"/>
    </row>
    <row r="534356" spans="12:13" x14ac:dyDescent="0.25">
      <c r="L534356" s="472"/>
      <c r="M534356" s="472"/>
    </row>
    <row r="534357" spans="12:13" x14ac:dyDescent="0.25">
      <c r="L534357" s="472"/>
      <c r="M534357" s="472"/>
    </row>
    <row r="534429" spans="12:13" x14ac:dyDescent="0.25">
      <c r="L534429" s="472"/>
      <c r="M534429" s="472"/>
    </row>
    <row r="534430" spans="12:13" x14ac:dyDescent="0.25">
      <c r="L534430" s="472"/>
      <c r="M534430" s="472"/>
    </row>
    <row r="534431" spans="12:13" x14ac:dyDescent="0.25">
      <c r="L534431" s="472"/>
      <c r="M534431" s="472"/>
    </row>
    <row r="534503" spans="12:13" x14ac:dyDescent="0.25">
      <c r="L534503" s="472"/>
      <c r="M534503" s="472"/>
    </row>
    <row r="534504" spans="12:13" x14ac:dyDescent="0.25">
      <c r="L534504" s="472"/>
      <c r="M534504" s="472"/>
    </row>
    <row r="534505" spans="12:13" x14ac:dyDescent="0.25">
      <c r="L534505" s="472"/>
      <c r="M534505" s="472"/>
    </row>
    <row r="534577" spans="12:13" x14ac:dyDescent="0.25">
      <c r="L534577" s="472"/>
      <c r="M534577" s="472"/>
    </row>
    <row r="534578" spans="12:13" x14ac:dyDescent="0.25">
      <c r="L534578" s="472"/>
      <c r="M534578" s="472"/>
    </row>
    <row r="534579" spans="12:13" x14ac:dyDescent="0.25">
      <c r="L534579" s="472"/>
      <c r="M534579" s="472"/>
    </row>
    <row r="534651" spans="12:13" x14ac:dyDescent="0.25">
      <c r="L534651" s="472"/>
      <c r="M534651" s="472"/>
    </row>
    <row r="534652" spans="12:13" x14ac:dyDescent="0.25">
      <c r="L534652" s="472"/>
      <c r="M534652" s="472"/>
    </row>
    <row r="534653" spans="12:13" x14ac:dyDescent="0.25">
      <c r="L534653" s="472"/>
      <c r="M534653" s="472"/>
    </row>
    <row r="534725" spans="12:13" x14ac:dyDescent="0.25">
      <c r="L534725" s="472"/>
      <c r="M534725" s="472"/>
    </row>
    <row r="534726" spans="12:13" x14ac:dyDescent="0.25">
      <c r="L534726" s="472"/>
      <c r="M534726" s="472"/>
    </row>
    <row r="534727" spans="12:13" x14ac:dyDescent="0.25">
      <c r="L534727" s="472"/>
      <c r="M534727" s="472"/>
    </row>
    <row r="534799" spans="12:13" x14ac:dyDescent="0.25">
      <c r="L534799" s="472"/>
      <c r="M534799" s="472"/>
    </row>
    <row r="534800" spans="12:13" x14ac:dyDescent="0.25">
      <c r="L534800" s="472"/>
      <c r="M534800" s="472"/>
    </row>
    <row r="534801" spans="12:13" x14ac:dyDescent="0.25">
      <c r="L534801" s="472"/>
      <c r="M534801" s="472"/>
    </row>
    <row r="534873" spans="12:13" x14ac:dyDescent="0.25">
      <c r="L534873" s="472"/>
      <c r="M534873" s="472"/>
    </row>
    <row r="534874" spans="12:13" x14ac:dyDescent="0.25">
      <c r="L534874" s="472"/>
      <c r="M534874" s="472"/>
    </row>
    <row r="534875" spans="12:13" x14ac:dyDescent="0.25">
      <c r="L534875" s="472"/>
      <c r="M534875" s="472"/>
    </row>
    <row r="534947" spans="12:13" x14ac:dyDescent="0.25">
      <c r="L534947" s="472"/>
      <c r="M534947" s="472"/>
    </row>
    <row r="534948" spans="12:13" x14ac:dyDescent="0.25">
      <c r="L534948" s="472"/>
      <c r="M534948" s="472"/>
    </row>
    <row r="534949" spans="12:13" x14ac:dyDescent="0.25">
      <c r="L534949" s="472"/>
      <c r="M534949" s="472"/>
    </row>
    <row r="535021" spans="12:13" x14ac:dyDescent="0.25">
      <c r="L535021" s="472"/>
      <c r="M535021" s="472"/>
    </row>
    <row r="535022" spans="12:13" x14ac:dyDescent="0.25">
      <c r="L535022" s="472"/>
      <c r="M535022" s="472"/>
    </row>
    <row r="535023" spans="12:13" x14ac:dyDescent="0.25">
      <c r="L535023" s="472"/>
      <c r="M535023" s="472"/>
    </row>
    <row r="535095" spans="12:13" x14ac:dyDescent="0.25">
      <c r="L535095" s="472"/>
      <c r="M535095" s="472"/>
    </row>
    <row r="535096" spans="12:13" x14ac:dyDescent="0.25">
      <c r="L535096" s="472"/>
      <c r="M535096" s="472"/>
    </row>
    <row r="535097" spans="12:13" x14ac:dyDescent="0.25">
      <c r="L535097" s="472"/>
      <c r="M535097" s="472"/>
    </row>
    <row r="535169" spans="12:13" x14ac:dyDescent="0.25">
      <c r="L535169" s="472"/>
      <c r="M535169" s="472"/>
    </row>
    <row r="535170" spans="12:13" x14ac:dyDescent="0.25">
      <c r="L535170" s="472"/>
      <c r="M535170" s="472"/>
    </row>
    <row r="535171" spans="12:13" x14ac:dyDescent="0.25">
      <c r="L535171" s="472"/>
      <c r="M535171" s="472"/>
    </row>
    <row r="535243" spans="12:13" x14ac:dyDescent="0.25">
      <c r="L535243" s="472"/>
      <c r="M535243" s="472"/>
    </row>
    <row r="535244" spans="12:13" x14ac:dyDescent="0.25">
      <c r="L535244" s="472"/>
      <c r="M535244" s="472"/>
    </row>
    <row r="535245" spans="12:13" x14ac:dyDescent="0.25">
      <c r="L535245" s="472"/>
      <c r="M535245" s="472"/>
    </row>
    <row r="535317" spans="12:13" x14ac:dyDescent="0.25">
      <c r="L535317" s="472"/>
      <c r="M535317" s="472"/>
    </row>
    <row r="535318" spans="12:13" x14ac:dyDescent="0.25">
      <c r="L535318" s="472"/>
      <c r="M535318" s="472"/>
    </row>
    <row r="535319" spans="12:13" x14ac:dyDescent="0.25">
      <c r="L535319" s="472"/>
      <c r="M535319" s="472"/>
    </row>
    <row r="535391" spans="12:13" x14ac:dyDescent="0.25">
      <c r="L535391" s="472"/>
      <c r="M535391" s="472"/>
    </row>
    <row r="535392" spans="12:13" x14ac:dyDescent="0.25">
      <c r="L535392" s="472"/>
      <c r="M535392" s="472"/>
    </row>
    <row r="535393" spans="12:13" x14ac:dyDescent="0.25">
      <c r="L535393" s="472"/>
      <c r="M535393" s="472"/>
    </row>
    <row r="535465" spans="12:13" x14ac:dyDescent="0.25">
      <c r="L535465" s="472"/>
      <c r="M535465" s="472"/>
    </row>
    <row r="535466" spans="12:13" x14ac:dyDescent="0.25">
      <c r="L535466" s="472"/>
      <c r="M535466" s="472"/>
    </row>
    <row r="535467" spans="12:13" x14ac:dyDescent="0.25">
      <c r="L535467" s="472"/>
      <c r="M535467" s="472"/>
    </row>
    <row r="535539" spans="12:13" x14ac:dyDescent="0.25">
      <c r="L535539" s="472"/>
      <c r="M535539" s="472"/>
    </row>
    <row r="535540" spans="12:13" x14ac:dyDescent="0.25">
      <c r="L535540" s="472"/>
      <c r="M535540" s="472"/>
    </row>
    <row r="535541" spans="12:13" x14ac:dyDescent="0.25">
      <c r="L535541" s="472"/>
      <c r="M535541" s="472"/>
    </row>
    <row r="535613" spans="12:13" x14ac:dyDescent="0.25">
      <c r="L535613" s="472"/>
      <c r="M535613" s="472"/>
    </row>
    <row r="535614" spans="12:13" x14ac:dyDescent="0.25">
      <c r="L535614" s="472"/>
      <c r="M535614" s="472"/>
    </row>
    <row r="535615" spans="12:13" x14ac:dyDescent="0.25">
      <c r="L535615" s="472"/>
      <c r="M535615" s="472"/>
    </row>
    <row r="535687" spans="12:13" x14ac:dyDescent="0.25">
      <c r="L535687" s="472"/>
      <c r="M535687" s="472"/>
    </row>
    <row r="535688" spans="12:13" x14ac:dyDescent="0.25">
      <c r="L535688" s="472"/>
      <c r="M535688" s="472"/>
    </row>
    <row r="535689" spans="12:13" x14ac:dyDescent="0.25">
      <c r="L535689" s="472"/>
      <c r="M535689" s="472"/>
    </row>
    <row r="535761" spans="12:13" x14ac:dyDescent="0.25">
      <c r="L535761" s="472"/>
      <c r="M535761" s="472"/>
    </row>
    <row r="535762" spans="12:13" x14ac:dyDescent="0.25">
      <c r="L535762" s="472"/>
      <c r="M535762" s="472"/>
    </row>
    <row r="535763" spans="12:13" x14ac:dyDescent="0.25">
      <c r="L535763" s="472"/>
      <c r="M535763" s="472"/>
    </row>
    <row r="535835" spans="12:13" x14ac:dyDescent="0.25">
      <c r="L535835" s="472"/>
      <c r="M535835" s="472"/>
    </row>
    <row r="535836" spans="12:13" x14ac:dyDescent="0.25">
      <c r="L535836" s="472"/>
      <c r="M535836" s="472"/>
    </row>
    <row r="535837" spans="12:13" x14ac:dyDescent="0.25">
      <c r="L535837" s="472"/>
      <c r="M535837" s="472"/>
    </row>
    <row r="535909" spans="12:13" x14ac:dyDescent="0.25">
      <c r="L535909" s="472"/>
      <c r="M535909" s="472"/>
    </row>
    <row r="535910" spans="12:13" x14ac:dyDescent="0.25">
      <c r="L535910" s="472"/>
      <c r="M535910" s="472"/>
    </row>
    <row r="535911" spans="12:13" x14ac:dyDescent="0.25">
      <c r="L535911" s="472"/>
      <c r="M535911" s="472"/>
    </row>
    <row r="535983" spans="12:13" x14ac:dyDescent="0.25">
      <c r="L535983" s="472"/>
      <c r="M535983" s="472"/>
    </row>
    <row r="535984" spans="12:13" x14ac:dyDescent="0.25">
      <c r="L535984" s="472"/>
      <c r="M535984" s="472"/>
    </row>
    <row r="535985" spans="12:13" x14ac:dyDescent="0.25">
      <c r="L535985" s="472"/>
      <c r="M535985" s="472"/>
    </row>
    <row r="536057" spans="12:13" x14ac:dyDescent="0.25">
      <c r="L536057" s="472"/>
      <c r="M536057" s="472"/>
    </row>
    <row r="536058" spans="12:13" x14ac:dyDescent="0.25">
      <c r="L536058" s="472"/>
      <c r="M536058" s="472"/>
    </row>
    <row r="536059" spans="12:13" x14ac:dyDescent="0.25">
      <c r="L536059" s="472"/>
      <c r="M536059" s="472"/>
    </row>
    <row r="536131" spans="12:13" x14ac:dyDescent="0.25">
      <c r="L536131" s="472"/>
      <c r="M536131" s="472"/>
    </row>
    <row r="536132" spans="12:13" x14ac:dyDescent="0.25">
      <c r="L536132" s="472"/>
      <c r="M536132" s="472"/>
    </row>
    <row r="536133" spans="12:13" x14ac:dyDescent="0.25">
      <c r="L536133" s="472"/>
      <c r="M536133" s="472"/>
    </row>
    <row r="536205" spans="12:13" x14ac:dyDescent="0.25">
      <c r="L536205" s="472"/>
      <c r="M536205" s="472"/>
    </row>
    <row r="536206" spans="12:13" x14ac:dyDescent="0.25">
      <c r="L536206" s="472"/>
      <c r="M536206" s="472"/>
    </row>
    <row r="536207" spans="12:13" x14ac:dyDescent="0.25">
      <c r="L536207" s="472"/>
      <c r="M536207" s="472"/>
    </row>
    <row r="536279" spans="12:13" x14ac:dyDescent="0.25">
      <c r="L536279" s="472"/>
      <c r="M536279" s="472"/>
    </row>
    <row r="536280" spans="12:13" x14ac:dyDescent="0.25">
      <c r="L536280" s="472"/>
      <c r="M536280" s="472"/>
    </row>
    <row r="536281" spans="12:13" x14ac:dyDescent="0.25">
      <c r="L536281" s="472"/>
      <c r="M536281" s="472"/>
    </row>
    <row r="536353" spans="12:13" x14ac:dyDescent="0.25">
      <c r="L536353" s="472"/>
      <c r="M536353" s="472"/>
    </row>
    <row r="536354" spans="12:13" x14ac:dyDescent="0.25">
      <c r="L536354" s="472"/>
      <c r="M536354" s="472"/>
    </row>
    <row r="536355" spans="12:13" x14ac:dyDescent="0.25">
      <c r="L536355" s="472"/>
      <c r="M536355" s="472"/>
    </row>
    <row r="536427" spans="12:13" x14ac:dyDescent="0.25">
      <c r="L536427" s="472"/>
      <c r="M536427" s="472"/>
    </row>
    <row r="536428" spans="12:13" x14ac:dyDescent="0.25">
      <c r="L536428" s="472"/>
      <c r="M536428" s="472"/>
    </row>
    <row r="536429" spans="12:13" x14ac:dyDescent="0.25">
      <c r="L536429" s="472"/>
      <c r="M536429" s="472"/>
    </row>
    <row r="536501" spans="12:13" x14ac:dyDescent="0.25">
      <c r="L536501" s="472"/>
      <c r="M536501" s="472"/>
    </row>
    <row r="536502" spans="12:13" x14ac:dyDescent="0.25">
      <c r="L536502" s="472"/>
      <c r="M536502" s="472"/>
    </row>
    <row r="536503" spans="12:13" x14ac:dyDescent="0.25">
      <c r="L536503" s="472"/>
      <c r="M536503" s="472"/>
    </row>
    <row r="536575" spans="12:13" x14ac:dyDescent="0.25">
      <c r="L536575" s="472"/>
      <c r="M536575" s="472"/>
    </row>
    <row r="536576" spans="12:13" x14ac:dyDescent="0.25">
      <c r="L536576" s="472"/>
      <c r="M536576" s="472"/>
    </row>
    <row r="536577" spans="12:13" x14ac:dyDescent="0.25">
      <c r="L536577" s="472"/>
      <c r="M536577" s="472"/>
    </row>
    <row r="536649" spans="12:13" x14ac:dyDescent="0.25">
      <c r="L536649" s="472"/>
      <c r="M536649" s="472"/>
    </row>
    <row r="536650" spans="12:13" x14ac:dyDescent="0.25">
      <c r="L536650" s="472"/>
      <c r="M536650" s="472"/>
    </row>
    <row r="536651" spans="12:13" x14ac:dyDescent="0.25">
      <c r="L536651" s="472"/>
      <c r="M536651" s="472"/>
    </row>
    <row r="536723" spans="12:13" x14ac:dyDescent="0.25">
      <c r="L536723" s="472"/>
      <c r="M536723" s="472"/>
    </row>
    <row r="536724" spans="12:13" x14ac:dyDescent="0.25">
      <c r="L536724" s="472"/>
      <c r="M536724" s="472"/>
    </row>
    <row r="536725" spans="12:13" x14ac:dyDescent="0.25">
      <c r="L536725" s="472"/>
      <c r="M536725" s="472"/>
    </row>
    <row r="536797" spans="12:13" x14ac:dyDescent="0.25">
      <c r="L536797" s="472"/>
      <c r="M536797" s="472"/>
    </row>
    <row r="536798" spans="12:13" x14ac:dyDescent="0.25">
      <c r="L536798" s="472"/>
      <c r="M536798" s="472"/>
    </row>
    <row r="536799" spans="12:13" x14ac:dyDescent="0.25">
      <c r="L536799" s="472"/>
      <c r="M536799" s="472"/>
    </row>
    <row r="536871" spans="12:13" x14ac:dyDescent="0.25">
      <c r="L536871" s="472"/>
      <c r="M536871" s="472"/>
    </row>
    <row r="536872" spans="12:13" x14ac:dyDescent="0.25">
      <c r="L536872" s="472"/>
      <c r="M536872" s="472"/>
    </row>
    <row r="536873" spans="12:13" x14ac:dyDescent="0.25">
      <c r="L536873" s="472"/>
      <c r="M536873" s="472"/>
    </row>
    <row r="536945" spans="12:13" x14ac:dyDescent="0.25">
      <c r="L536945" s="472"/>
      <c r="M536945" s="472"/>
    </row>
    <row r="536946" spans="12:13" x14ac:dyDescent="0.25">
      <c r="L536946" s="472"/>
      <c r="M536946" s="472"/>
    </row>
    <row r="536947" spans="12:13" x14ac:dyDescent="0.25">
      <c r="L536947" s="472"/>
      <c r="M536947" s="472"/>
    </row>
    <row r="537019" spans="12:13" x14ac:dyDescent="0.25">
      <c r="L537019" s="472"/>
      <c r="M537019" s="472"/>
    </row>
    <row r="537020" spans="12:13" x14ac:dyDescent="0.25">
      <c r="L537020" s="472"/>
      <c r="M537020" s="472"/>
    </row>
    <row r="537021" spans="12:13" x14ac:dyDescent="0.25">
      <c r="L537021" s="472"/>
      <c r="M537021" s="472"/>
    </row>
    <row r="537093" spans="12:13" x14ac:dyDescent="0.25">
      <c r="L537093" s="472"/>
      <c r="M537093" s="472"/>
    </row>
    <row r="537094" spans="12:13" x14ac:dyDescent="0.25">
      <c r="L537094" s="472"/>
      <c r="M537094" s="472"/>
    </row>
    <row r="537095" spans="12:13" x14ac:dyDescent="0.25">
      <c r="L537095" s="472"/>
      <c r="M537095" s="472"/>
    </row>
    <row r="537167" spans="12:13" x14ac:dyDescent="0.25">
      <c r="L537167" s="472"/>
      <c r="M537167" s="472"/>
    </row>
    <row r="537168" spans="12:13" x14ac:dyDescent="0.25">
      <c r="L537168" s="472"/>
      <c r="M537168" s="472"/>
    </row>
    <row r="537169" spans="12:13" x14ac:dyDescent="0.25">
      <c r="L537169" s="472"/>
      <c r="M537169" s="472"/>
    </row>
    <row r="537241" spans="12:13" x14ac:dyDescent="0.25">
      <c r="L537241" s="472"/>
      <c r="M537241" s="472"/>
    </row>
    <row r="537242" spans="12:13" x14ac:dyDescent="0.25">
      <c r="L537242" s="472"/>
      <c r="M537242" s="472"/>
    </row>
    <row r="537243" spans="12:13" x14ac:dyDescent="0.25">
      <c r="L537243" s="472"/>
      <c r="M537243" s="472"/>
    </row>
    <row r="537315" spans="12:13" x14ac:dyDescent="0.25">
      <c r="L537315" s="472"/>
      <c r="M537315" s="472"/>
    </row>
    <row r="537316" spans="12:13" x14ac:dyDescent="0.25">
      <c r="L537316" s="472"/>
      <c r="M537316" s="472"/>
    </row>
    <row r="537317" spans="12:13" x14ac:dyDescent="0.25">
      <c r="L537317" s="472"/>
      <c r="M537317" s="472"/>
    </row>
    <row r="537389" spans="12:13" x14ac:dyDescent="0.25">
      <c r="L537389" s="472"/>
      <c r="M537389" s="472"/>
    </row>
    <row r="537390" spans="12:13" x14ac:dyDescent="0.25">
      <c r="L537390" s="472"/>
      <c r="M537390" s="472"/>
    </row>
    <row r="537391" spans="12:13" x14ac:dyDescent="0.25">
      <c r="L537391" s="472"/>
      <c r="M537391" s="472"/>
    </row>
    <row r="537463" spans="12:13" x14ac:dyDescent="0.25">
      <c r="L537463" s="472"/>
      <c r="M537463" s="472"/>
    </row>
    <row r="537464" spans="12:13" x14ac:dyDescent="0.25">
      <c r="L537464" s="472"/>
      <c r="M537464" s="472"/>
    </row>
    <row r="537465" spans="12:13" x14ac:dyDescent="0.25">
      <c r="L537465" s="472"/>
      <c r="M537465" s="472"/>
    </row>
    <row r="537537" spans="12:13" x14ac:dyDescent="0.25">
      <c r="L537537" s="472"/>
      <c r="M537537" s="472"/>
    </row>
    <row r="537538" spans="12:13" x14ac:dyDescent="0.25">
      <c r="L537538" s="472"/>
      <c r="M537538" s="472"/>
    </row>
    <row r="537539" spans="12:13" x14ac:dyDescent="0.25">
      <c r="L537539" s="472"/>
      <c r="M537539" s="472"/>
    </row>
    <row r="537611" spans="12:13" x14ac:dyDescent="0.25">
      <c r="L537611" s="472"/>
      <c r="M537611" s="472"/>
    </row>
    <row r="537612" spans="12:13" x14ac:dyDescent="0.25">
      <c r="L537612" s="472"/>
      <c r="M537612" s="472"/>
    </row>
    <row r="537613" spans="12:13" x14ac:dyDescent="0.25">
      <c r="L537613" s="472"/>
      <c r="M537613" s="472"/>
    </row>
    <row r="537685" spans="12:13" x14ac:dyDescent="0.25">
      <c r="L537685" s="472"/>
      <c r="M537685" s="472"/>
    </row>
    <row r="537686" spans="12:13" x14ac:dyDescent="0.25">
      <c r="L537686" s="472"/>
      <c r="M537686" s="472"/>
    </row>
    <row r="537687" spans="12:13" x14ac:dyDescent="0.25">
      <c r="L537687" s="472"/>
      <c r="M537687" s="472"/>
    </row>
    <row r="537759" spans="12:13" x14ac:dyDescent="0.25">
      <c r="L537759" s="472"/>
      <c r="M537759" s="472"/>
    </row>
    <row r="537760" spans="12:13" x14ac:dyDescent="0.25">
      <c r="L537760" s="472"/>
      <c r="M537760" s="472"/>
    </row>
    <row r="537761" spans="12:13" x14ac:dyDescent="0.25">
      <c r="L537761" s="472"/>
      <c r="M537761" s="472"/>
    </row>
    <row r="537833" spans="12:13" x14ac:dyDescent="0.25">
      <c r="L537833" s="472"/>
      <c r="M537833" s="472"/>
    </row>
    <row r="537834" spans="12:13" x14ac:dyDescent="0.25">
      <c r="L537834" s="472"/>
      <c r="M537834" s="472"/>
    </row>
    <row r="537835" spans="12:13" x14ac:dyDescent="0.25">
      <c r="L537835" s="472"/>
      <c r="M537835" s="472"/>
    </row>
    <row r="537907" spans="12:13" x14ac:dyDescent="0.25">
      <c r="L537907" s="472"/>
      <c r="M537907" s="472"/>
    </row>
    <row r="537908" spans="12:13" x14ac:dyDescent="0.25">
      <c r="L537908" s="472"/>
      <c r="M537908" s="472"/>
    </row>
    <row r="537909" spans="12:13" x14ac:dyDescent="0.25">
      <c r="L537909" s="472"/>
      <c r="M537909" s="472"/>
    </row>
    <row r="537981" spans="12:13" x14ac:dyDescent="0.25">
      <c r="L537981" s="472"/>
      <c r="M537981" s="472"/>
    </row>
    <row r="537982" spans="12:13" x14ac:dyDescent="0.25">
      <c r="L537982" s="472"/>
      <c r="M537982" s="472"/>
    </row>
    <row r="537983" spans="12:13" x14ac:dyDescent="0.25">
      <c r="L537983" s="472"/>
      <c r="M537983" s="472"/>
    </row>
    <row r="538055" spans="12:13" x14ac:dyDescent="0.25">
      <c r="L538055" s="472"/>
      <c r="M538055" s="472"/>
    </row>
    <row r="538056" spans="12:13" x14ac:dyDescent="0.25">
      <c r="L538056" s="472"/>
      <c r="M538056" s="472"/>
    </row>
    <row r="538057" spans="12:13" x14ac:dyDescent="0.25">
      <c r="L538057" s="472"/>
      <c r="M538057" s="472"/>
    </row>
    <row r="538129" spans="12:13" x14ac:dyDescent="0.25">
      <c r="L538129" s="472"/>
      <c r="M538129" s="472"/>
    </row>
    <row r="538130" spans="12:13" x14ac:dyDescent="0.25">
      <c r="L538130" s="472"/>
      <c r="M538130" s="472"/>
    </row>
    <row r="538131" spans="12:13" x14ac:dyDescent="0.25">
      <c r="L538131" s="472"/>
      <c r="M538131" s="472"/>
    </row>
    <row r="538203" spans="12:13" x14ac:dyDescent="0.25">
      <c r="L538203" s="472"/>
      <c r="M538203" s="472"/>
    </row>
    <row r="538204" spans="12:13" x14ac:dyDescent="0.25">
      <c r="L538204" s="472"/>
      <c r="M538204" s="472"/>
    </row>
    <row r="538205" spans="12:13" x14ac:dyDescent="0.25">
      <c r="L538205" s="472"/>
      <c r="M538205" s="472"/>
    </row>
    <row r="538277" spans="12:13" x14ac:dyDescent="0.25">
      <c r="L538277" s="472"/>
      <c r="M538277" s="472"/>
    </row>
    <row r="538278" spans="12:13" x14ac:dyDescent="0.25">
      <c r="L538278" s="472"/>
      <c r="M538278" s="472"/>
    </row>
    <row r="538279" spans="12:13" x14ac:dyDescent="0.25">
      <c r="L538279" s="472"/>
      <c r="M538279" s="472"/>
    </row>
    <row r="538351" spans="12:13" x14ac:dyDescent="0.25">
      <c r="L538351" s="472"/>
      <c r="M538351" s="472"/>
    </row>
    <row r="538352" spans="12:13" x14ac:dyDescent="0.25">
      <c r="L538352" s="472"/>
      <c r="M538352" s="472"/>
    </row>
    <row r="538353" spans="12:13" x14ac:dyDescent="0.25">
      <c r="L538353" s="472"/>
      <c r="M538353" s="472"/>
    </row>
    <row r="538425" spans="12:13" x14ac:dyDescent="0.25">
      <c r="L538425" s="472"/>
      <c r="M538425" s="472"/>
    </row>
    <row r="538426" spans="12:13" x14ac:dyDescent="0.25">
      <c r="L538426" s="472"/>
      <c r="M538426" s="472"/>
    </row>
    <row r="538427" spans="12:13" x14ac:dyDescent="0.25">
      <c r="L538427" s="472"/>
      <c r="M538427" s="472"/>
    </row>
    <row r="538499" spans="12:13" x14ac:dyDescent="0.25">
      <c r="L538499" s="472"/>
      <c r="M538499" s="472"/>
    </row>
    <row r="538500" spans="12:13" x14ac:dyDescent="0.25">
      <c r="L538500" s="472"/>
      <c r="M538500" s="472"/>
    </row>
    <row r="538501" spans="12:13" x14ac:dyDescent="0.25">
      <c r="L538501" s="472"/>
      <c r="M538501" s="472"/>
    </row>
    <row r="538573" spans="12:13" x14ac:dyDescent="0.25">
      <c r="L538573" s="472"/>
      <c r="M538573" s="472"/>
    </row>
    <row r="538574" spans="12:13" x14ac:dyDescent="0.25">
      <c r="L538574" s="472"/>
      <c r="M538574" s="472"/>
    </row>
    <row r="538575" spans="12:13" x14ac:dyDescent="0.25">
      <c r="L538575" s="472"/>
      <c r="M538575" s="472"/>
    </row>
    <row r="538647" spans="12:13" x14ac:dyDescent="0.25">
      <c r="L538647" s="472"/>
      <c r="M538647" s="472"/>
    </row>
    <row r="538648" spans="12:13" x14ac:dyDescent="0.25">
      <c r="L538648" s="472"/>
      <c r="M538648" s="472"/>
    </row>
    <row r="538649" spans="12:13" x14ac:dyDescent="0.25">
      <c r="L538649" s="472"/>
      <c r="M538649" s="472"/>
    </row>
    <row r="538721" spans="12:13" x14ac:dyDescent="0.25">
      <c r="L538721" s="472"/>
      <c r="M538721" s="472"/>
    </row>
    <row r="538722" spans="12:13" x14ac:dyDescent="0.25">
      <c r="L538722" s="472"/>
      <c r="M538722" s="472"/>
    </row>
    <row r="538723" spans="12:13" x14ac:dyDescent="0.25">
      <c r="L538723" s="472"/>
      <c r="M538723" s="472"/>
    </row>
    <row r="538795" spans="12:13" x14ac:dyDescent="0.25">
      <c r="L538795" s="472"/>
      <c r="M538795" s="472"/>
    </row>
    <row r="538796" spans="12:13" x14ac:dyDescent="0.25">
      <c r="L538796" s="472"/>
      <c r="M538796" s="472"/>
    </row>
    <row r="538797" spans="12:13" x14ac:dyDescent="0.25">
      <c r="L538797" s="472"/>
      <c r="M538797" s="472"/>
    </row>
    <row r="538869" spans="12:13" x14ac:dyDescent="0.25">
      <c r="L538869" s="472"/>
      <c r="M538869" s="472"/>
    </row>
    <row r="538870" spans="12:13" x14ac:dyDescent="0.25">
      <c r="L538870" s="472"/>
      <c r="M538870" s="472"/>
    </row>
    <row r="538871" spans="12:13" x14ac:dyDescent="0.25">
      <c r="L538871" s="472"/>
      <c r="M538871" s="472"/>
    </row>
    <row r="538943" spans="12:13" x14ac:dyDescent="0.25">
      <c r="L538943" s="472"/>
      <c r="M538943" s="472"/>
    </row>
    <row r="538944" spans="12:13" x14ac:dyDescent="0.25">
      <c r="L538944" s="472"/>
      <c r="M538944" s="472"/>
    </row>
    <row r="538945" spans="12:13" x14ac:dyDescent="0.25">
      <c r="L538945" s="472"/>
      <c r="M538945" s="472"/>
    </row>
    <row r="539017" spans="12:13" x14ac:dyDescent="0.25">
      <c r="L539017" s="472"/>
      <c r="M539017" s="472"/>
    </row>
    <row r="539018" spans="12:13" x14ac:dyDescent="0.25">
      <c r="L539018" s="472"/>
      <c r="M539018" s="472"/>
    </row>
    <row r="539019" spans="12:13" x14ac:dyDescent="0.25">
      <c r="L539019" s="472"/>
      <c r="M539019" s="472"/>
    </row>
    <row r="539091" spans="12:13" x14ac:dyDescent="0.25">
      <c r="L539091" s="472"/>
      <c r="M539091" s="472"/>
    </row>
    <row r="539092" spans="12:13" x14ac:dyDescent="0.25">
      <c r="L539092" s="472"/>
      <c r="M539092" s="472"/>
    </row>
    <row r="539093" spans="12:13" x14ac:dyDescent="0.25">
      <c r="L539093" s="472"/>
      <c r="M539093" s="472"/>
    </row>
    <row r="539165" spans="12:13" x14ac:dyDescent="0.25">
      <c r="L539165" s="472"/>
      <c r="M539165" s="472"/>
    </row>
    <row r="539166" spans="12:13" x14ac:dyDescent="0.25">
      <c r="L539166" s="472"/>
      <c r="M539166" s="472"/>
    </row>
    <row r="539167" spans="12:13" x14ac:dyDescent="0.25">
      <c r="L539167" s="472"/>
      <c r="M539167" s="472"/>
    </row>
    <row r="539239" spans="12:13" x14ac:dyDescent="0.25">
      <c r="L539239" s="472"/>
      <c r="M539239" s="472"/>
    </row>
    <row r="539240" spans="12:13" x14ac:dyDescent="0.25">
      <c r="L539240" s="472"/>
      <c r="M539240" s="472"/>
    </row>
    <row r="539241" spans="12:13" x14ac:dyDescent="0.25">
      <c r="L539241" s="472"/>
      <c r="M539241" s="472"/>
    </row>
    <row r="539313" spans="12:13" x14ac:dyDescent="0.25">
      <c r="L539313" s="472"/>
      <c r="M539313" s="472"/>
    </row>
    <row r="539314" spans="12:13" x14ac:dyDescent="0.25">
      <c r="L539314" s="472"/>
      <c r="M539314" s="472"/>
    </row>
    <row r="539315" spans="12:13" x14ac:dyDescent="0.25">
      <c r="L539315" s="472"/>
      <c r="M539315" s="472"/>
    </row>
    <row r="539387" spans="12:13" x14ac:dyDescent="0.25">
      <c r="L539387" s="472"/>
      <c r="M539387" s="472"/>
    </row>
    <row r="539388" spans="12:13" x14ac:dyDescent="0.25">
      <c r="L539388" s="472"/>
      <c r="M539388" s="472"/>
    </row>
    <row r="539389" spans="12:13" x14ac:dyDescent="0.25">
      <c r="L539389" s="472"/>
      <c r="M539389" s="472"/>
    </row>
    <row r="539461" spans="12:13" x14ac:dyDescent="0.25">
      <c r="L539461" s="472"/>
      <c r="M539461" s="472"/>
    </row>
    <row r="539462" spans="12:13" x14ac:dyDescent="0.25">
      <c r="L539462" s="472"/>
      <c r="M539462" s="472"/>
    </row>
    <row r="539463" spans="12:13" x14ac:dyDescent="0.25">
      <c r="L539463" s="472"/>
      <c r="M539463" s="472"/>
    </row>
    <row r="539535" spans="12:13" x14ac:dyDescent="0.25">
      <c r="L539535" s="472"/>
      <c r="M539535" s="472"/>
    </row>
    <row r="539536" spans="12:13" x14ac:dyDescent="0.25">
      <c r="L539536" s="472"/>
      <c r="M539536" s="472"/>
    </row>
    <row r="539537" spans="12:13" x14ac:dyDescent="0.25">
      <c r="L539537" s="472"/>
      <c r="M539537" s="472"/>
    </row>
    <row r="539609" spans="12:13" x14ac:dyDescent="0.25">
      <c r="L539609" s="472"/>
      <c r="M539609" s="472"/>
    </row>
    <row r="539610" spans="12:13" x14ac:dyDescent="0.25">
      <c r="L539610" s="472"/>
      <c r="M539610" s="472"/>
    </row>
    <row r="539611" spans="12:13" x14ac:dyDescent="0.25">
      <c r="L539611" s="472"/>
      <c r="M539611" s="472"/>
    </row>
    <row r="539683" spans="12:13" x14ac:dyDescent="0.25">
      <c r="L539683" s="472"/>
      <c r="M539683" s="472"/>
    </row>
    <row r="539684" spans="12:13" x14ac:dyDescent="0.25">
      <c r="L539684" s="472"/>
      <c r="M539684" s="472"/>
    </row>
    <row r="539685" spans="12:13" x14ac:dyDescent="0.25">
      <c r="L539685" s="472"/>
      <c r="M539685" s="472"/>
    </row>
    <row r="539757" spans="12:13" x14ac:dyDescent="0.25">
      <c r="L539757" s="472"/>
      <c r="M539757" s="472"/>
    </row>
    <row r="539758" spans="12:13" x14ac:dyDescent="0.25">
      <c r="L539758" s="472"/>
      <c r="M539758" s="472"/>
    </row>
    <row r="539759" spans="12:13" x14ac:dyDescent="0.25">
      <c r="L539759" s="472"/>
      <c r="M539759" s="472"/>
    </row>
    <row r="539831" spans="12:13" x14ac:dyDescent="0.25">
      <c r="L539831" s="472"/>
      <c r="M539831" s="472"/>
    </row>
    <row r="539832" spans="12:13" x14ac:dyDescent="0.25">
      <c r="L539832" s="472"/>
      <c r="M539832" s="472"/>
    </row>
    <row r="539833" spans="12:13" x14ac:dyDescent="0.25">
      <c r="L539833" s="472"/>
      <c r="M539833" s="472"/>
    </row>
    <row r="539905" spans="12:13" x14ac:dyDescent="0.25">
      <c r="L539905" s="472"/>
      <c r="M539905" s="472"/>
    </row>
    <row r="539906" spans="12:13" x14ac:dyDescent="0.25">
      <c r="L539906" s="472"/>
      <c r="M539906" s="472"/>
    </row>
    <row r="539907" spans="12:13" x14ac:dyDescent="0.25">
      <c r="L539907" s="472"/>
      <c r="M539907" s="472"/>
    </row>
    <row r="539979" spans="12:13" x14ac:dyDescent="0.25">
      <c r="L539979" s="472"/>
      <c r="M539979" s="472"/>
    </row>
    <row r="539980" spans="12:13" x14ac:dyDescent="0.25">
      <c r="L539980" s="472"/>
      <c r="M539980" s="472"/>
    </row>
    <row r="539981" spans="12:13" x14ac:dyDescent="0.25">
      <c r="L539981" s="472"/>
      <c r="M539981" s="472"/>
    </row>
    <row r="540053" spans="12:13" x14ac:dyDescent="0.25">
      <c r="L540053" s="472"/>
      <c r="M540053" s="472"/>
    </row>
    <row r="540054" spans="12:13" x14ac:dyDescent="0.25">
      <c r="L540054" s="472"/>
      <c r="M540054" s="472"/>
    </row>
    <row r="540055" spans="12:13" x14ac:dyDescent="0.25">
      <c r="L540055" s="472"/>
      <c r="M540055" s="472"/>
    </row>
    <row r="540127" spans="12:13" x14ac:dyDescent="0.25">
      <c r="L540127" s="472"/>
      <c r="M540127" s="472"/>
    </row>
    <row r="540128" spans="12:13" x14ac:dyDescent="0.25">
      <c r="L540128" s="472"/>
      <c r="M540128" s="472"/>
    </row>
    <row r="540129" spans="12:13" x14ac:dyDescent="0.25">
      <c r="L540129" s="472"/>
      <c r="M540129" s="472"/>
    </row>
    <row r="540201" spans="12:13" x14ac:dyDescent="0.25">
      <c r="L540201" s="472"/>
      <c r="M540201" s="472"/>
    </row>
    <row r="540202" spans="12:13" x14ac:dyDescent="0.25">
      <c r="L540202" s="472"/>
      <c r="M540202" s="472"/>
    </row>
    <row r="540203" spans="12:13" x14ac:dyDescent="0.25">
      <c r="L540203" s="472"/>
      <c r="M540203" s="472"/>
    </row>
    <row r="540275" spans="12:13" x14ac:dyDescent="0.25">
      <c r="L540275" s="472"/>
      <c r="M540275" s="472"/>
    </row>
    <row r="540276" spans="12:13" x14ac:dyDescent="0.25">
      <c r="L540276" s="472"/>
      <c r="M540276" s="472"/>
    </row>
    <row r="540277" spans="12:13" x14ac:dyDescent="0.25">
      <c r="L540277" s="472"/>
      <c r="M540277" s="472"/>
    </row>
    <row r="540349" spans="12:13" x14ac:dyDescent="0.25">
      <c r="L540349" s="472"/>
      <c r="M540349" s="472"/>
    </row>
    <row r="540350" spans="12:13" x14ac:dyDescent="0.25">
      <c r="L540350" s="472"/>
      <c r="M540350" s="472"/>
    </row>
    <row r="540351" spans="12:13" x14ac:dyDescent="0.25">
      <c r="L540351" s="472"/>
      <c r="M540351" s="472"/>
    </row>
    <row r="540423" spans="12:13" x14ac:dyDescent="0.25">
      <c r="L540423" s="472"/>
      <c r="M540423" s="472"/>
    </row>
    <row r="540424" spans="12:13" x14ac:dyDescent="0.25">
      <c r="L540424" s="472"/>
      <c r="M540424" s="472"/>
    </row>
    <row r="540425" spans="12:13" x14ac:dyDescent="0.25">
      <c r="L540425" s="472"/>
      <c r="M540425" s="472"/>
    </row>
    <row r="540497" spans="12:13" x14ac:dyDescent="0.25">
      <c r="L540497" s="472"/>
      <c r="M540497" s="472"/>
    </row>
    <row r="540498" spans="12:13" x14ac:dyDescent="0.25">
      <c r="L540498" s="472"/>
      <c r="M540498" s="472"/>
    </row>
    <row r="540499" spans="12:13" x14ac:dyDescent="0.25">
      <c r="L540499" s="472"/>
      <c r="M540499" s="472"/>
    </row>
    <row r="540571" spans="12:13" x14ac:dyDescent="0.25">
      <c r="L540571" s="472"/>
      <c r="M540571" s="472"/>
    </row>
    <row r="540572" spans="12:13" x14ac:dyDescent="0.25">
      <c r="L540572" s="472"/>
      <c r="M540572" s="472"/>
    </row>
    <row r="540573" spans="12:13" x14ac:dyDescent="0.25">
      <c r="L540573" s="472"/>
      <c r="M540573" s="472"/>
    </row>
    <row r="540645" spans="12:13" x14ac:dyDescent="0.25">
      <c r="L540645" s="472"/>
      <c r="M540645" s="472"/>
    </row>
    <row r="540646" spans="12:13" x14ac:dyDescent="0.25">
      <c r="L540646" s="472"/>
      <c r="M540646" s="472"/>
    </row>
    <row r="540647" spans="12:13" x14ac:dyDescent="0.25">
      <c r="L540647" s="472"/>
      <c r="M540647" s="472"/>
    </row>
    <row r="540719" spans="12:13" x14ac:dyDescent="0.25">
      <c r="L540719" s="472"/>
      <c r="M540719" s="472"/>
    </row>
    <row r="540720" spans="12:13" x14ac:dyDescent="0.25">
      <c r="L540720" s="472"/>
      <c r="M540720" s="472"/>
    </row>
    <row r="540721" spans="12:13" x14ac:dyDescent="0.25">
      <c r="L540721" s="472"/>
      <c r="M540721" s="472"/>
    </row>
    <row r="540793" spans="12:13" x14ac:dyDescent="0.25">
      <c r="L540793" s="472"/>
      <c r="M540793" s="472"/>
    </row>
    <row r="540794" spans="12:13" x14ac:dyDescent="0.25">
      <c r="L540794" s="472"/>
      <c r="M540794" s="472"/>
    </row>
    <row r="540795" spans="12:13" x14ac:dyDescent="0.25">
      <c r="L540795" s="472"/>
      <c r="M540795" s="472"/>
    </row>
    <row r="540867" spans="12:13" x14ac:dyDescent="0.25">
      <c r="L540867" s="472"/>
      <c r="M540867" s="472"/>
    </row>
    <row r="540868" spans="12:13" x14ac:dyDescent="0.25">
      <c r="L540868" s="472"/>
      <c r="M540868" s="472"/>
    </row>
    <row r="540869" spans="12:13" x14ac:dyDescent="0.25">
      <c r="L540869" s="472"/>
      <c r="M540869" s="472"/>
    </row>
    <row r="540941" spans="12:13" x14ac:dyDescent="0.25">
      <c r="L540941" s="472"/>
      <c r="M540941" s="472"/>
    </row>
    <row r="540942" spans="12:13" x14ac:dyDescent="0.25">
      <c r="L540942" s="472"/>
      <c r="M540942" s="472"/>
    </row>
    <row r="540943" spans="12:13" x14ac:dyDescent="0.25">
      <c r="L540943" s="472"/>
      <c r="M540943" s="472"/>
    </row>
    <row r="541015" spans="12:13" x14ac:dyDescent="0.25">
      <c r="L541015" s="472"/>
      <c r="M541015" s="472"/>
    </row>
    <row r="541016" spans="12:13" x14ac:dyDescent="0.25">
      <c r="L541016" s="472"/>
      <c r="M541016" s="472"/>
    </row>
    <row r="541017" spans="12:13" x14ac:dyDescent="0.25">
      <c r="L541017" s="472"/>
      <c r="M541017" s="472"/>
    </row>
    <row r="541089" spans="12:13" x14ac:dyDescent="0.25">
      <c r="L541089" s="472"/>
      <c r="M541089" s="472"/>
    </row>
    <row r="541090" spans="12:13" x14ac:dyDescent="0.25">
      <c r="L541090" s="472"/>
      <c r="M541090" s="472"/>
    </row>
    <row r="541091" spans="12:13" x14ac:dyDescent="0.25">
      <c r="L541091" s="472"/>
      <c r="M541091" s="472"/>
    </row>
    <row r="541163" spans="12:13" x14ac:dyDescent="0.25">
      <c r="L541163" s="472"/>
      <c r="M541163" s="472"/>
    </row>
    <row r="541164" spans="12:13" x14ac:dyDescent="0.25">
      <c r="L541164" s="472"/>
      <c r="M541164" s="472"/>
    </row>
    <row r="541165" spans="12:13" x14ac:dyDescent="0.25">
      <c r="L541165" s="472"/>
      <c r="M541165" s="472"/>
    </row>
    <row r="541237" spans="12:13" x14ac:dyDescent="0.25">
      <c r="L541237" s="472"/>
      <c r="M541237" s="472"/>
    </row>
    <row r="541238" spans="12:13" x14ac:dyDescent="0.25">
      <c r="L541238" s="472"/>
      <c r="M541238" s="472"/>
    </row>
    <row r="541239" spans="12:13" x14ac:dyDescent="0.25">
      <c r="L541239" s="472"/>
      <c r="M541239" s="472"/>
    </row>
    <row r="541311" spans="12:13" x14ac:dyDescent="0.25">
      <c r="L541311" s="472"/>
      <c r="M541311" s="472"/>
    </row>
    <row r="541312" spans="12:13" x14ac:dyDescent="0.25">
      <c r="L541312" s="472"/>
      <c r="M541312" s="472"/>
    </row>
    <row r="541313" spans="12:13" x14ac:dyDescent="0.25">
      <c r="L541313" s="472"/>
      <c r="M541313" s="472"/>
    </row>
    <row r="541385" spans="12:13" x14ac:dyDescent="0.25">
      <c r="L541385" s="472"/>
      <c r="M541385" s="472"/>
    </row>
    <row r="541386" spans="12:13" x14ac:dyDescent="0.25">
      <c r="L541386" s="472"/>
      <c r="M541386" s="472"/>
    </row>
    <row r="541387" spans="12:13" x14ac:dyDescent="0.25">
      <c r="L541387" s="472"/>
      <c r="M541387" s="472"/>
    </row>
    <row r="541459" spans="12:13" x14ac:dyDescent="0.25">
      <c r="L541459" s="472"/>
      <c r="M541459" s="472"/>
    </row>
    <row r="541460" spans="12:13" x14ac:dyDescent="0.25">
      <c r="L541460" s="472"/>
      <c r="M541460" s="472"/>
    </row>
    <row r="541461" spans="12:13" x14ac:dyDescent="0.25">
      <c r="L541461" s="472"/>
      <c r="M541461" s="472"/>
    </row>
    <row r="541533" spans="12:13" x14ac:dyDescent="0.25">
      <c r="L541533" s="472"/>
      <c r="M541533" s="472"/>
    </row>
    <row r="541534" spans="12:13" x14ac:dyDescent="0.25">
      <c r="L541534" s="472"/>
      <c r="M541534" s="472"/>
    </row>
    <row r="541535" spans="12:13" x14ac:dyDescent="0.25">
      <c r="L541535" s="472"/>
      <c r="M541535" s="472"/>
    </row>
    <row r="541607" spans="12:13" x14ac:dyDescent="0.25">
      <c r="L541607" s="472"/>
      <c r="M541607" s="472"/>
    </row>
    <row r="541608" spans="12:13" x14ac:dyDescent="0.25">
      <c r="L541608" s="472"/>
      <c r="M541608" s="472"/>
    </row>
    <row r="541609" spans="12:13" x14ac:dyDescent="0.25">
      <c r="L541609" s="472"/>
      <c r="M541609" s="472"/>
    </row>
    <row r="541681" spans="12:13" x14ac:dyDescent="0.25">
      <c r="L541681" s="472"/>
      <c r="M541681" s="472"/>
    </row>
    <row r="541682" spans="12:13" x14ac:dyDescent="0.25">
      <c r="L541682" s="472"/>
      <c r="M541682" s="472"/>
    </row>
    <row r="541683" spans="12:13" x14ac:dyDescent="0.25">
      <c r="L541683" s="472"/>
      <c r="M541683" s="472"/>
    </row>
    <row r="541755" spans="12:13" x14ac:dyDescent="0.25">
      <c r="L541755" s="472"/>
      <c r="M541755" s="472"/>
    </row>
    <row r="541756" spans="12:13" x14ac:dyDescent="0.25">
      <c r="L541756" s="472"/>
      <c r="M541756" s="472"/>
    </row>
    <row r="541757" spans="12:13" x14ac:dyDescent="0.25">
      <c r="L541757" s="472"/>
      <c r="M541757" s="472"/>
    </row>
    <row r="541829" spans="12:13" x14ac:dyDescent="0.25">
      <c r="L541829" s="472"/>
      <c r="M541829" s="472"/>
    </row>
    <row r="541830" spans="12:13" x14ac:dyDescent="0.25">
      <c r="L541830" s="472"/>
      <c r="M541830" s="472"/>
    </row>
    <row r="541831" spans="12:13" x14ac:dyDescent="0.25">
      <c r="L541831" s="472"/>
      <c r="M541831" s="472"/>
    </row>
    <row r="541903" spans="12:13" x14ac:dyDescent="0.25">
      <c r="L541903" s="472"/>
      <c r="M541903" s="472"/>
    </row>
    <row r="541904" spans="12:13" x14ac:dyDescent="0.25">
      <c r="L541904" s="472"/>
      <c r="M541904" s="472"/>
    </row>
    <row r="541905" spans="12:13" x14ac:dyDescent="0.25">
      <c r="L541905" s="472"/>
      <c r="M541905" s="472"/>
    </row>
    <row r="541977" spans="12:13" x14ac:dyDescent="0.25">
      <c r="L541977" s="472"/>
      <c r="M541977" s="472"/>
    </row>
    <row r="541978" spans="12:13" x14ac:dyDescent="0.25">
      <c r="L541978" s="472"/>
      <c r="M541978" s="472"/>
    </row>
    <row r="541979" spans="12:13" x14ac:dyDescent="0.25">
      <c r="L541979" s="472"/>
      <c r="M541979" s="472"/>
    </row>
    <row r="542051" spans="12:13" x14ac:dyDescent="0.25">
      <c r="L542051" s="472"/>
      <c r="M542051" s="472"/>
    </row>
    <row r="542052" spans="12:13" x14ac:dyDescent="0.25">
      <c r="L542052" s="472"/>
      <c r="M542052" s="472"/>
    </row>
    <row r="542053" spans="12:13" x14ac:dyDescent="0.25">
      <c r="L542053" s="472"/>
      <c r="M542053" s="472"/>
    </row>
    <row r="542125" spans="12:13" x14ac:dyDescent="0.25">
      <c r="L542125" s="472"/>
      <c r="M542125" s="472"/>
    </row>
    <row r="542126" spans="12:13" x14ac:dyDescent="0.25">
      <c r="L542126" s="472"/>
      <c r="M542126" s="472"/>
    </row>
    <row r="542127" spans="12:13" x14ac:dyDescent="0.25">
      <c r="L542127" s="472"/>
      <c r="M542127" s="472"/>
    </row>
    <row r="542199" spans="12:13" x14ac:dyDescent="0.25">
      <c r="L542199" s="472"/>
      <c r="M542199" s="472"/>
    </row>
    <row r="542200" spans="12:13" x14ac:dyDescent="0.25">
      <c r="L542200" s="472"/>
      <c r="M542200" s="472"/>
    </row>
    <row r="542201" spans="12:13" x14ac:dyDescent="0.25">
      <c r="L542201" s="472"/>
      <c r="M542201" s="472"/>
    </row>
    <row r="542273" spans="12:13" x14ac:dyDescent="0.25">
      <c r="L542273" s="472"/>
      <c r="M542273" s="472"/>
    </row>
    <row r="542274" spans="12:13" x14ac:dyDescent="0.25">
      <c r="L542274" s="472"/>
      <c r="M542274" s="472"/>
    </row>
    <row r="542275" spans="12:13" x14ac:dyDescent="0.25">
      <c r="L542275" s="472"/>
      <c r="M542275" s="472"/>
    </row>
    <row r="542347" spans="12:13" x14ac:dyDescent="0.25">
      <c r="L542347" s="472"/>
      <c r="M542347" s="472"/>
    </row>
    <row r="542348" spans="12:13" x14ac:dyDescent="0.25">
      <c r="L542348" s="472"/>
      <c r="M542348" s="472"/>
    </row>
    <row r="542349" spans="12:13" x14ac:dyDescent="0.25">
      <c r="L542349" s="472"/>
      <c r="M542349" s="472"/>
    </row>
    <row r="542421" spans="12:13" x14ac:dyDescent="0.25">
      <c r="L542421" s="472"/>
      <c r="M542421" s="472"/>
    </row>
    <row r="542422" spans="12:13" x14ac:dyDescent="0.25">
      <c r="L542422" s="472"/>
      <c r="M542422" s="472"/>
    </row>
    <row r="542423" spans="12:13" x14ac:dyDescent="0.25">
      <c r="L542423" s="472"/>
      <c r="M542423" s="472"/>
    </row>
    <row r="542495" spans="12:13" x14ac:dyDescent="0.25">
      <c r="L542495" s="472"/>
      <c r="M542495" s="472"/>
    </row>
    <row r="542496" spans="12:13" x14ac:dyDescent="0.25">
      <c r="L542496" s="472"/>
      <c r="M542496" s="472"/>
    </row>
    <row r="542497" spans="12:13" x14ac:dyDescent="0.25">
      <c r="L542497" s="472"/>
      <c r="M542497" s="472"/>
    </row>
    <row r="542569" spans="12:13" x14ac:dyDescent="0.25">
      <c r="L542569" s="472"/>
      <c r="M542569" s="472"/>
    </row>
    <row r="542570" spans="12:13" x14ac:dyDescent="0.25">
      <c r="L542570" s="472"/>
      <c r="M542570" s="472"/>
    </row>
    <row r="542571" spans="12:13" x14ac:dyDescent="0.25">
      <c r="L542571" s="472"/>
      <c r="M542571" s="472"/>
    </row>
    <row r="542643" spans="12:13" x14ac:dyDescent="0.25">
      <c r="L542643" s="472"/>
      <c r="M542643" s="472"/>
    </row>
    <row r="542644" spans="12:13" x14ac:dyDescent="0.25">
      <c r="L542644" s="472"/>
      <c r="M542644" s="472"/>
    </row>
    <row r="542645" spans="12:13" x14ac:dyDescent="0.25">
      <c r="L542645" s="472"/>
      <c r="M542645" s="472"/>
    </row>
    <row r="542717" spans="12:13" x14ac:dyDescent="0.25">
      <c r="L542717" s="472"/>
      <c r="M542717" s="472"/>
    </row>
    <row r="542718" spans="12:13" x14ac:dyDescent="0.25">
      <c r="L542718" s="472"/>
      <c r="M542718" s="472"/>
    </row>
    <row r="542719" spans="12:13" x14ac:dyDescent="0.25">
      <c r="L542719" s="472"/>
      <c r="M542719" s="472"/>
    </row>
    <row r="542791" spans="12:13" x14ac:dyDescent="0.25">
      <c r="L542791" s="472"/>
      <c r="M542791" s="472"/>
    </row>
    <row r="542792" spans="12:13" x14ac:dyDescent="0.25">
      <c r="L542792" s="472"/>
      <c r="M542792" s="472"/>
    </row>
    <row r="542793" spans="12:13" x14ac:dyDescent="0.25">
      <c r="L542793" s="472"/>
      <c r="M542793" s="472"/>
    </row>
    <row r="542865" spans="12:13" x14ac:dyDescent="0.25">
      <c r="L542865" s="472"/>
      <c r="M542865" s="472"/>
    </row>
    <row r="542866" spans="12:13" x14ac:dyDescent="0.25">
      <c r="L542866" s="472"/>
      <c r="M542866" s="472"/>
    </row>
    <row r="542867" spans="12:13" x14ac:dyDescent="0.25">
      <c r="L542867" s="472"/>
      <c r="M542867" s="472"/>
    </row>
    <row r="542939" spans="12:13" x14ac:dyDescent="0.25">
      <c r="L542939" s="472"/>
      <c r="M542939" s="472"/>
    </row>
    <row r="542940" spans="12:13" x14ac:dyDescent="0.25">
      <c r="L542940" s="472"/>
      <c r="M542940" s="472"/>
    </row>
    <row r="542941" spans="12:13" x14ac:dyDescent="0.25">
      <c r="L542941" s="472"/>
      <c r="M542941" s="472"/>
    </row>
    <row r="543013" spans="12:13" x14ac:dyDescent="0.25">
      <c r="L543013" s="472"/>
      <c r="M543013" s="472"/>
    </row>
    <row r="543014" spans="12:13" x14ac:dyDescent="0.25">
      <c r="L543014" s="472"/>
      <c r="M543014" s="472"/>
    </row>
    <row r="543015" spans="12:13" x14ac:dyDescent="0.25">
      <c r="L543015" s="472"/>
      <c r="M543015" s="472"/>
    </row>
    <row r="543087" spans="12:13" x14ac:dyDescent="0.25">
      <c r="L543087" s="472"/>
      <c r="M543087" s="472"/>
    </row>
    <row r="543088" spans="12:13" x14ac:dyDescent="0.25">
      <c r="L543088" s="472"/>
      <c r="M543088" s="472"/>
    </row>
    <row r="543089" spans="12:13" x14ac:dyDescent="0.25">
      <c r="L543089" s="472"/>
      <c r="M543089" s="472"/>
    </row>
    <row r="543161" spans="12:13" x14ac:dyDescent="0.25">
      <c r="L543161" s="472"/>
      <c r="M543161" s="472"/>
    </row>
    <row r="543162" spans="12:13" x14ac:dyDescent="0.25">
      <c r="L543162" s="472"/>
      <c r="M543162" s="472"/>
    </row>
    <row r="543163" spans="12:13" x14ac:dyDescent="0.25">
      <c r="L543163" s="472"/>
      <c r="M543163" s="472"/>
    </row>
    <row r="543235" spans="12:13" x14ac:dyDescent="0.25">
      <c r="L543235" s="472"/>
      <c r="M543235" s="472"/>
    </row>
    <row r="543236" spans="12:13" x14ac:dyDescent="0.25">
      <c r="L543236" s="472"/>
      <c r="M543236" s="472"/>
    </row>
    <row r="543237" spans="12:13" x14ac:dyDescent="0.25">
      <c r="L543237" s="472"/>
      <c r="M543237" s="472"/>
    </row>
    <row r="543309" spans="12:13" x14ac:dyDescent="0.25">
      <c r="L543309" s="472"/>
      <c r="M543309" s="472"/>
    </row>
    <row r="543310" spans="12:13" x14ac:dyDescent="0.25">
      <c r="L543310" s="472"/>
      <c r="M543310" s="472"/>
    </row>
    <row r="543311" spans="12:13" x14ac:dyDescent="0.25">
      <c r="L543311" s="472"/>
      <c r="M543311" s="472"/>
    </row>
    <row r="543383" spans="12:13" x14ac:dyDescent="0.25">
      <c r="L543383" s="472"/>
      <c r="M543383" s="472"/>
    </row>
    <row r="543384" spans="12:13" x14ac:dyDescent="0.25">
      <c r="L543384" s="472"/>
      <c r="M543384" s="472"/>
    </row>
    <row r="543385" spans="12:13" x14ac:dyDescent="0.25">
      <c r="L543385" s="472"/>
      <c r="M543385" s="472"/>
    </row>
    <row r="543457" spans="12:13" x14ac:dyDescent="0.25">
      <c r="L543457" s="472"/>
      <c r="M543457" s="472"/>
    </row>
    <row r="543458" spans="12:13" x14ac:dyDescent="0.25">
      <c r="L543458" s="472"/>
      <c r="M543458" s="472"/>
    </row>
    <row r="543459" spans="12:13" x14ac:dyDescent="0.25">
      <c r="L543459" s="472"/>
      <c r="M543459" s="472"/>
    </row>
    <row r="543531" spans="12:13" x14ac:dyDescent="0.25">
      <c r="L543531" s="472"/>
      <c r="M543531" s="472"/>
    </row>
    <row r="543532" spans="12:13" x14ac:dyDescent="0.25">
      <c r="L543532" s="472"/>
      <c r="M543532" s="472"/>
    </row>
    <row r="543533" spans="12:13" x14ac:dyDescent="0.25">
      <c r="L543533" s="472"/>
      <c r="M543533" s="472"/>
    </row>
    <row r="543605" spans="12:13" x14ac:dyDescent="0.25">
      <c r="L543605" s="472"/>
      <c r="M543605" s="472"/>
    </row>
    <row r="543606" spans="12:13" x14ac:dyDescent="0.25">
      <c r="L543606" s="472"/>
      <c r="M543606" s="472"/>
    </row>
    <row r="543607" spans="12:13" x14ac:dyDescent="0.25">
      <c r="L543607" s="472"/>
      <c r="M543607" s="472"/>
    </row>
    <row r="543679" spans="12:13" x14ac:dyDescent="0.25">
      <c r="L543679" s="472"/>
      <c r="M543679" s="472"/>
    </row>
    <row r="543680" spans="12:13" x14ac:dyDescent="0.25">
      <c r="L543680" s="472"/>
      <c r="M543680" s="472"/>
    </row>
    <row r="543681" spans="12:13" x14ac:dyDescent="0.25">
      <c r="L543681" s="472"/>
      <c r="M543681" s="472"/>
    </row>
    <row r="543753" spans="12:13" x14ac:dyDescent="0.25">
      <c r="L543753" s="472"/>
      <c r="M543753" s="472"/>
    </row>
    <row r="543754" spans="12:13" x14ac:dyDescent="0.25">
      <c r="L543754" s="472"/>
      <c r="M543754" s="472"/>
    </row>
    <row r="543755" spans="12:13" x14ac:dyDescent="0.25">
      <c r="L543755" s="472"/>
      <c r="M543755" s="472"/>
    </row>
    <row r="543827" spans="12:13" x14ac:dyDescent="0.25">
      <c r="L543827" s="472"/>
      <c r="M543827" s="472"/>
    </row>
    <row r="543828" spans="12:13" x14ac:dyDescent="0.25">
      <c r="L543828" s="472"/>
      <c r="M543828" s="472"/>
    </row>
    <row r="543829" spans="12:13" x14ac:dyDescent="0.25">
      <c r="L543829" s="472"/>
      <c r="M543829" s="472"/>
    </row>
    <row r="543901" spans="12:13" x14ac:dyDescent="0.25">
      <c r="L543901" s="472"/>
      <c r="M543901" s="472"/>
    </row>
    <row r="543902" spans="12:13" x14ac:dyDescent="0.25">
      <c r="L543902" s="472"/>
      <c r="M543902" s="472"/>
    </row>
    <row r="543903" spans="12:13" x14ac:dyDescent="0.25">
      <c r="L543903" s="472"/>
      <c r="M543903" s="472"/>
    </row>
    <row r="543975" spans="12:13" x14ac:dyDescent="0.25">
      <c r="L543975" s="472"/>
      <c r="M543975" s="472"/>
    </row>
    <row r="543976" spans="12:13" x14ac:dyDescent="0.25">
      <c r="L543976" s="472"/>
      <c r="M543976" s="472"/>
    </row>
    <row r="543977" spans="12:13" x14ac:dyDescent="0.25">
      <c r="L543977" s="472"/>
      <c r="M543977" s="472"/>
    </row>
    <row r="544049" spans="12:13" x14ac:dyDescent="0.25">
      <c r="L544049" s="472"/>
      <c r="M544049" s="472"/>
    </row>
    <row r="544050" spans="12:13" x14ac:dyDescent="0.25">
      <c r="L544050" s="472"/>
      <c r="M544050" s="472"/>
    </row>
    <row r="544051" spans="12:13" x14ac:dyDescent="0.25">
      <c r="L544051" s="472"/>
      <c r="M544051" s="472"/>
    </row>
    <row r="544123" spans="12:13" x14ac:dyDescent="0.25">
      <c r="L544123" s="472"/>
      <c r="M544123" s="472"/>
    </row>
    <row r="544124" spans="12:13" x14ac:dyDescent="0.25">
      <c r="L544124" s="472"/>
      <c r="M544124" s="472"/>
    </row>
    <row r="544125" spans="12:13" x14ac:dyDescent="0.25">
      <c r="L544125" s="472"/>
      <c r="M544125" s="472"/>
    </row>
    <row r="544197" spans="12:13" x14ac:dyDescent="0.25">
      <c r="L544197" s="472"/>
      <c r="M544197" s="472"/>
    </row>
    <row r="544198" spans="12:13" x14ac:dyDescent="0.25">
      <c r="L544198" s="472"/>
      <c r="M544198" s="472"/>
    </row>
    <row r="544199" spans="12:13" x14ac:dyDescent="0.25">
      <c r="L544199" s="472"/>
      <c r="M544199" s="472"/>
    </row>
    <row r="544271" spans="12:13" x14ac:dyDescent="0.25">
      <c r="L544271" s="472"/>
      <c r="M544271" s="472"/>
    </row>
    <row r="544272" spans="12:13" x14ac:dyDescent="0.25">
      <c r="L544272" s="472"/>
      <c r="M544272" s="472"/>
    </row>
    <row r="544273" spans="12:13" x14ac:dyDescent="0.25">
      <c r="L544273" s="472"/>
      <c r="M544273" s="472"/>
    </row>
    <row r="544345" spans="12:13" x14ac:dyDescent="0.25">
      <c r="L544345" s="472"/>
      <c r="M544345" s="472"/>
    </row>
    <row r="544346" spans="12:13" x14ac:dyDescent="0.25">
      <c r="L544346" s="472"/>
      <c r="M544346" s="472"/>
    </row>
    <row r="544347" spans="12:13" x14ac:dyDescent="0.25">
      <c r="L544347" s="472"/>
      <c r="M544347" s="472"/>
    </row>
    <row r="544419" spans="12:13" x14ac:dyDescent="0.25">
      <c r="L544419" s="472"/>
      <c r="M544419" s="472"/>
    </row>
    <row r="544420" spans="12:13" x14ac:dyDescent="0.25">
      <c r="L544420" s="472"/>
      <c r="M544420" s="472"/>
    </row>
    <row r="544421" spans="12:13" x14ac:dyDescent="0.25">
      <c r="L544421" s="472"/>
      <c r="M544421" s="472"/>
    </row>
    <row r="544493" spans="12:13" x14ac:dyDescent="0.25">
      <c r="L544493" s="472"/>
      <c r="M544493" s="472"/>
    </row>
    <row r="544494" spans="12:13" x14ac:dyDescent="0.25">
      <c r="L544494" s="472"/>
      <c r="M544494" s="472"/>
    </row>
    <row r="544495" spans="12:13" x14ac:dyDescent="0.25">
      <c r="L544495" s="472"/>
      <c r="M544495" s="472"/>
    </row>
    <row r="544567" spans="12:13" x14ac:dyDescent="0.25">
      <c r="L544567" s="472"/>
      <c r="M544567" s="472"/>
    </row>
    <row r="544568" spans="12:13" x14ac:dyDescent="0.25">
      <c r="L544568" s="472"/>
      <c r="M544568" s="472"/>
    </row>
    <row r="544569" spans="12:13" x14ac:dyDescent="0.25">
      <c r="L544569" s="472"/>
      <c r="M544569" s="472"/>
    </row>
    <row r="544641" spans="12:13" x14ac:dyDescent="0.25">
      <c r="L544641" s="472"/>
      <c r="M544641" s="472"/>
    </row>
    <row r="544642" spans="12:13" x14ac:dyDescent="0.25">
      <c r="L544642" s="472"/>
      <c r="M544642" s="472"/>
    </row>
    <row r="544643" spans="12:13" x14ac:dyDescent="0.25">
      <c r="L544643" s="472"/>
      <c r="M544643" s="472"/>
    </row>
    <row r="544715" spans="12:13" x14ac:dyDescent="0.25">
      <c r="L544715" s="472"/>
      <c r="M544715" s="472"/>
    </row>
    <row r="544716" spans="12:13" x14ac:dyDescent="0.25">
      <c r="L544716" s="472"/>
      <c r="M544716" s="472"/>
    </row>
    <row r="544717" spans="12:13" x14ac:dyDescent="0.25">
      <c r="L544717" s="472"/>
      <c r="M544717" s="472"/>
    </row>
    <row r="544789" spans="12:13" x14ac:dyDescent="0.25">
      <c r="L544789" s="472"/>
      <c r="M544789" s="472"/>
    </row>
    <row r="544790" spans="12:13" x14ac:dyDescent="0.25">
      <c r="L544790" s="472"/>
      <c r="M544790" s="472"/>
    </row>
    <row r="544791" spans="12:13" x14ac:dyDescent="0.25">
      <c r="L544791" s="472"/>
      <c r="M544791" s="472"/>
    </row>
    <row r="544863" spans="12:13" x14ac:dyDescent="0.25">
      <c r="L544863" s="472"/>
      <c r="M544863" s="472"/>
    </row>
    <row r="544864" spans="12:13" x14ac:dyDescent="0.25">
      <c r="L544864" s="472"/>
      <c r="M544864" s="472"/>
    </row>
    <row r="544865" spans="12:13" x14ac:dyDescent="0.25">
      <c r="L544865" s="472"/>
      <c r="M544865" s="472"/>
    </row>
    <row r="544937" spans="12:13" x14ac:dyDescent="0.25">
      <c r="L544937" s="472"/>
      <c r="M544937" s="472"/>
    </row>
    <row r="544938" spans="12:13" x14ac:dyDescent="0.25">
      <c r="L544938" s="472"/>
      <c r="M544938" s="472"/>
    </row>
    <row r="544939" spans="12:13" x14ac:dyDescent="0.25">
      <c r="L544939" s="472"/>
      <c r="M544939" s="472"/>
    </row>
    <row r="545011" spans="12:13" x14ac:dyDescent="0.25">
      <c r="L545011" s="472"/>
      <c r="M545011" s="472"/>
    </row>
    <row r="545012" spans="12:13" x14ac:dyDescent="0.25">
      <c r="L545012" s="472"/>
      <c r="M545012" s="472"/>
    </row>
    <row r="545013" spans="12:13" x14ac:dyDescent="0.25">
      <c r="L545013" s="472"/>
      <c r="M545013" s="472"/>
    </row>
    <row r="545085" spans="12:13" x14ac:dyDescent="0.25">
      <c r="L545085" s="472"/>
      <c r="M545085" s="472"/>
    </row>
    <row r="545086" spans="12:13" x14ac:dyDescent="0.25">
      <c r="L545086" s="472"/>
      <c r="M545086" s="472"/>
    </row>
    <row r="545087" spans="12:13" x14ac:dyDescent="0.25">
      <c r="L545087" s="472"/>
      <c r="M545087" s="472"/>
    </row>
    <row r="545159" spans="12:13" x14ac:dyDescent="0.25">
      <c r="L545159" s="472"/>
      <c r="M545159" s="472"/>
    </row>
    <row r="545160" spans="12:13" x14ac:dyDescent="0.25">
      <c r="L545160" s="472"/>
      <c r="M545160" s="472"/>
    </row>
    <row r="545161" spans="12:13" x14ac:dyDescent="0.25">
      <c r="L545161" s="472"/>
      <c r="M545161" s="472"/>
    </row>
    <row r="545233" spans="12:13" x14ac:dyDescent="0.25">
      <c r="L545233" s="472"/>
      <c r="M545233" s="472"/>
    </row>
    <row r="545234" spans="12:13" x14ac:dyDescent="0.25">
      <c r="L545234" s="472"/>
      <c r="M545234" s="472"/>
    </row>
    <row r="545235" spans="12:13" x14ac:dyDescent="0.25">
      <c r="L545235" s="472"/>
      <c r="M545235" s="472"/>
    </row>
    <row r="545307" spans="12:13" x14ac:dyDescent="0.25">
      <c r="L545307" s="472"/>
      <c r="M545307" s="472"/>
    </row>
    <row r="545308" spans="12:13" x14ac:dyDescent="0.25">
      <c r="L545308" s="472"/>
      <c r="M545308" s="472"/>
    </row>
    <row r="545309" spans="12:13" x14ac:dyDescent="0.25">
      <c r="L545309" s="472"/>
      <c r="M545309" s="472"/>
    </row>
    <row r="545381" spans="12:13" x14ac:dyDescent="0.25">
      <c r="L545381" s="472"/>
      <c r="M545381" s="472"/>
    </row>
    <row r="545382" spans="12:13" x14ac:dyDescent="0.25">
      <c r="L545382" s="472"/>
      <c r="M545382" s="472"/>
    </row>
    <row r="545383" spans="12:13" x14ac:dyDescent="0.25">
      <c r="L545383" s="472"/>
      <c r="M545383" s="472"/>
    </row>
    <row r="545455" spans="12:13" x14ac:dyDescent="0.25">
      <c r="L545455" s="472"/>
      <c r="M545455" s="472"/>
    </row>
    <row r="545456" spans="12:13" x14ac:dyDescent="0.25">
      <c r="L545456" s="472"/>
      <c r="M545456" s="472"/>
    </row>
    <row r="545457" spans="12:13" x14ac:dyDescent="0.25">
      <c r="L545457" s="472"/>
      <c r="M545457" s="472"/>
    </row>
    <row r="545529" spans="12:13" x14ac:dyDescent="0.25">
      <c r="L545529" s="472"/>
      <c r="M545529" s="472"/>
    </row>
    <row r="545530" spans="12:13" x14ac:dyDescent="0.25">
      <c r="L545530" s="472"/>
      <c r="M545530" s="472"/>
    </row>
    <row r="545531" spans="12:13" x14ac:dyDescent="0.25">
      <c r="L545531" s="472"/>
      <c r="M545531" s="472"/>
    </row>
    <row r="545603" spans="12:13" x14ac:dyDescent="0.25">
      <c r="L545603" s="472"/>
      <c r="M545603" s="472"/>
    </row>
    <row r="545604" spans="12:13" x14ac:dyDescent="0.25">
      <c r="L545604" s="472"/>
      <c r="M545604" s="472"/>
    </row>
    <row r="545605" spans="12:13" x14ac:dyDescent="0.25">
      <c r="L545605" s="472"/>
      <c r="M545605" s="472"/>
    </row>
    <row r="545677" spans="12:13" x14ac:dyDescent="0.25">
      <c r="L545677" s="472"/>
      <c r="M545677" s="472"/>
    </row>
    <row r="545678" spans="12:13" x14ac:dyDescent="0.25">
      <c r="L545678" s="472"/>
      <c r="M545678" s="472"/>
    </row>
    <row r="545679" spans="12:13" x14ac:dyDescent="0.25">
      <c r="L545679" s="472"/>
      <c r="M545679" s="472"/>
    </row>
    <row r="545751" spans="12:13" x14ac:dyDescent="0.25">
      <c r="L545751" s="472"/>
      <c r="M545751" s="472"/>
    </row>
    <row r="545752" spans="12:13" x14ac:dyDescent="0.25">
      <c r="L545752" s="472"/>
      <c r="M545752" s="472"/>
    </row>
    <row r="545753" spans="12:13" x14ac:dyDescent="0.25">
      <c r="L545753" s="472"/>
      <c r="M545753" s="472"/>
    </row>
    <row r="545825" spans="12:13" x14ac:dyDescent="0.25">
      <c r="L545825" s="472"/>
      <c r="M545825" s="472"/>
    </row>
    <row r="545826" spans="12:13" x14ac:dyDescent="0.25">
      <c r="L545826" s="472"/>
      <c r="M545826" s="472"/>
    </row>
    <row r="545827" spans="12:13" x14ac:dyDescent="0.25">
      <c r="L545827" s="472"/>
      <c r="M545827" s="472"/>
    </row>
    <row r="545899" spans="12:13" x14ac:dyDescent="0.25">
      <c r="L545899" s="472"/>
      <c r="M545899" s="472"/>
    </row>
    <row r="545900" spans="12:13" x14ac:dyDescent="0.25">
      <c r="L545900" s="472"/>
      <c r="M545900" s="472"/>
    </row>
    <row r="545901" spans="12:13" x14ac:dyDescent="0.25">
      <c r="L545901" s="472"/>
      <c r="M545901" s="472"/>
    </row>
    <row r="545973" spans="12:13" x14ac:dyDescent="0.25">
      <c r="L545973" s="472"/>
      <c r="M545973" s="472"/>
    </row>
    <row r="545974" spans="12:13" x14ac:dyDescent="0.25">
      <c r="L545974" s="472"/>
      <c r="M545974" s="472"/>
    </row>
    <row r="545975" spans="12:13" x14ac:dyDescent="0.25">
      <c r="L545975" s="472"/>
      <c r="M545975" s="472"/>
    </row>
    <row r="546047" spans="12:13" x14ac:dyDescent="0.25">
      <c r="L546047" s="472"/>
      <c r="M546047" s="472"/>
    </row>
    <row r="546048" spans="12:13" x14ac:dyDescent="0.25">
      <c r="L546048" s="472"/>
      <c r="M546048" s="472"/>
    </row>
    <row r="546049" spans="12:13" x14ac:dyDescent="0.25">
      <c r="L546049" s="472"/>
      <c r="M546049" s="472"/>
    </row>
    <row r="546121" spans="12:13" x14ac:dyDescent="0.25">
      <c r="L546121" s="472"/>
      <c r="M546121" s="472"/>
    </row>
    <row r="546122" spans="12:13" x14ac:dyDescent="0.25">
      <c r="L546122" s="472"/>
      <c r="M546122" s="472"/>
    </row>
    <row r="546123" spans="12:13" x14ac:dyDescent="0.25">
      <c r="L546123" s="472"/>
      <c r="M546123" s="472"/>
    </row>
    <row r="546195" spans="12:13" x14ac:dyDescent="0.25">
      <c r="L546195" s="472"/>
      <c r="M546195" s="472"/>
    </row>
    <row r="546196" spans="12:13" x14ac:dyDescent="0.25">
      <c r="L546196" s="472"/>
      <c r="M546196" s="472"/>
    </row>
    <row r="546197" spans="12:13" x14ac:dyDescent="0.25">
      <c r="L546197" s="472"/>
      <c r="M546197" s="472"/>
    </row>
    <row r="546269" spans="12:13" x14ac:dyDescent="0.25">
      <c r="L546269" s="472"/>
      <c r="M546269" s="472"/>
    </row>
    <row r="546270" spans="12:13" x14ac:dyDescent="0.25">
      <c r="L546270" s="472"/>
      <c r="M546270" s="472"/>
    </row>
    <row r="546271" spans="12:13" x14ac:dyDescent="0.25">
      <c r="L546271" s="472"/>
      <c r="M546271" s="472"/>
    </row>
    <row r="546343" spans="12:13" x14ac:dyDescent="0.25">
      <c r="L546343" s="472"/>
      <c r="M546343" s="472"/>
    </row>
    <row r="546344" spans="12:13" x14ac:dyDescent="0.25">
      <c r="L546344" s="472"/>
      <c r="M546344" s="472"/>
    </row>
    <row r="546345" spans="12:13" x14ac:dyDescent="0.25">
      <c r="L546345" s="472"/>
      <c r="M546345" s="472"/>
    </row>
    <row r="546417" spans="12:13" x14ac:dyDescent="0.25">
      <c r="L546417" s="472"/>
      <c r="M546417" s="472"/>
    </row>
    <row r="546418" spans="12:13" x14ac:dyDescent="0.25">
      <c r="L546418" s="472"/>
      <c r="M546418" s="472"/>
    </row>
    <row r="546419" spans="12:13" x14ac:dyDescent="0.25">
      <c r="L546419" s="472"/>
      <c r="M546419" s="472"/>
    </row>
    <row r="546491" spans="12:13" x14ac:dyDescent="0.25">
      <c r="L546491" s="472"/>
      <c r="M546491" s="472"/>
    </row>
    <row r="546492" spans="12:13" x14ac:dyDescent="0.25">
      <c r="L546492" s="472"/>
      <c r="M546492" s="472"/>
    </row>
    <row r="546493" spans="12:13" x14ac:dyDescent="0.25">
      <c r="L546493" s="472"/>
      <c r="M546493" s="472"/>
    </row>
    <row r="546565" spans="12:13" x14ac:dyDescent="0.25">
      <c r="L546565" s="472"/>
      <c r="M546565" s="472"/>
    </row>
    <row r="546566" spans="12:13" x14ac:dyDescent="0.25">
      <c r="L546566" s="472"/>
      <c r="M546566" s="472"/>
    </row>
    <row r="546567" spans="12:13" x14ac:dyDescent="0.25">
      <c r="L546567" s="472"/>
      <c r="M546567" s="472"/>
    </row>
    <row r="546639" spans="12:13" x14ac:dyDescent="0.25">
      <c r="L546639" s="472"/>
      <c r="M546639" s="472"/>
    </row>
    <row r="546640" spans="12:13" x14ac:dyDescent="0.25">
      <c r="L546640" s="472"/>
      <c r="M546640" s="472"/>
    </row>
    <row r="546641" spans="12:13" x14ac:dyDescent="0.25">
      <c r="L546641" s="472"/>
      <c r="M546641" s="472"/>
    </row>
    <row r="546713" spans="12:13" x14ac:dyDescent="0.25">
      <c r="L546713" s="472"/>
      <c r="M546713" s="472"/>
    </row>
    <row r="546714" spans="12:13" x14ac:dyDescent="0.25">
      <c r="L546714" s="472"/>
      <c r="M546714" s="472"/>
    </row>
    <row r="546715" spans="12:13" x14ac:dyDescent="0.25">
      <c r="L546715" s="472"/>
      <c r="M546715" s="472"/>
    </row>
    <row r="546787" spans="12:13" x14ac:dyDescent="0.25">
      <c r="L546787" s="472"/>
      <c r="M546787" s="472"/>
    </row>
    <row r="546788" spans="12:13" x14ac:dyDescent="0.25">
      <c r="L546788" s="472"/>
      <c r="M546788" s="472"/>
    </row>
    <row r="546789" spans="12:13" x14ac:dyDescent="0.25">
      <c r="L546789" s="472"/>
      <c r="M546789" s="472"/>
    </row>
    <row r="546861" spans="12:13" x14ac:dyDescent="0.25">
      <c r="L546861" s="472"/>
      <c r="M546861" s="472"/>
    </row>
    <row r="546862" spans="12:13" x14ac:dyDescent="0.25">
      <c r="L546862" s="472"/>
      <c r="M546862" s="472"/>
    </row>
    <row r="546863" spans="12:13" x14ac:dyDescent="0.25">
      <c r="L546863" s="472"/>
      <c r="M546863" s="472"/>
    </row>
    <row r="546935" spans="12:13" x14ac:dyDescent="0.25">
      <c r="L546935" s="472"/>
      <c r="M546935" s="472"/>
    </row>
    <row r="546936" spans="12:13" x14ac:dyDescent="0.25">
      <c r="L546936" s="472"/>
      <c r="M546936" s="472"/>
    </row>
    <row r="546937" spans="12:13" x14ac:dyDescent="0.25">
      <c r="L546937" s="472"/>
      <c r="M546937" s="472"/>
    </row>
    <row r="547009" spans="12:13" x14ac:dyDescent="0.25">
      <c r="L547009" s="472"/>
      <c r="M547009" s="472"/>
    </row>
    <row r="547010" spans="12:13" x14ac:dyDescent="0.25">
      <c r="L547010" s="472"/>
      <c r="M547010" s="472"/>
    </row>
    <row r="547011" spans="12:13" x14ac:dyDescent="0.25">
      <c r="L547011" s="472"/>
      <c r="M547011" s="472"/>
    </row>
    <row r="547083" spans="12:13" x14ac:dyDescent="0.25">
      <c r="L547083" s="472"/>
      <c r="M547083" s="472"/>
    </row>
    <row r="547084" spans="12:13" x14ac:dyDescent="0.25">
      <c r="L547084" s="472"/>
      <c r="M547084" s="472"/>
    </row>
    <row r="547085" spans="12:13" x14ac:dyDescent="0.25">
      <c r="L547085" s="472"/>
      <c r="M547085" s="472"/>
    </row>
    <row r="547157" spans="12:13" x14ac:dyDescent="0.25">
      <c r="L547157" s="472"/>
      <c r="M547157" s="472"/>
    </row>
    <row r="547158" spans="12:13" x14ac:dyDescent="0.25">
      <c r="L547158" s="472"/>
      <c r="M547158" s="472"/>
    </row>
    <row r="547159" spans="12:13" x14ac:dyDescent="0.25">
      <c r="L547159" s="472"/>
      <c r="M547159" s="472"/>
    </row>
    <row r="547231" spans="12:13" x14ac:dyDescent="0.25">
      <c r="L547231" s="472"/>
      <c r="M547231" s="472"/>
    </row>
    <row r="547232" spans="12:13" x14ac:dyDescent="0.25">
      <c r="L547232" s="472"/>
      <c r="M547232" s="472"/>
    </row>
    <row r="547233" spans="12:13" x14ac:dyDescent="0.25">
      <c r="L547233" s="472"/>
      <c r="M547233" s="472"/>
    </row>
    <row r="547305" spans="12:13" x14ac:dyDescent="0.25">
      <c r="L547305" s="472"/>
      <c r="M547305" s="472"/>
    </row>
    <row r="547306" spans="12:13" x14ac:dyDescent="0.25">
      <c r="L547306" s="472"/>
      <c r="M547306" s="472"/>
    </row>
    <row r="547307" spans="12:13" x14ac:dyDescent="0.25">
      <c r="L547307" s="472"/>
      <c r="M547307" s="472"/>
    </row>
    <row r="547379" spans="12:13" x14ac:dyDescent="0.25">
      <c r="L547379" s="472"/>
      <c r="M547379" s="472"/>
    </row>
    <row r="547380" spans="12:13" x14ac:dyDescent="0.25">
      <c r="L547380" s="472"/>
      <c r="M547380" s="472"/>
    </row>
    <row r="547381" spans="12:13" x14ac:dyDescent="0.25">
      <c r="L547381" s="472"/>
      <c r="M547381" s="472"/>
    </row>
    <row r="547453" spans="12:13" x14ac:dyDescent="0.25">
      <c r="L547453" s="472"/>
      <c r="M547453" s="472"/>
    </row>
    <row r="547454" spans="12:13" x14ac:dyDescent="0.25">
      <c r="L547454" s="472"/>
      <c r="M547454" s="472"/>
    </row>
    <row r="547455" spans="12:13" x14ac:dyDescent="0.25">
      <c r="L547455" s="472"/>
      <c r="M547455" s="472"/>
    </row>
    <row r="547527" spans="12:13" x14ac:dyDescent="0.25">
      <c r="L547527" s="472"/>
      <c r="M547527" s="472"/>
    </row>
    <row r="547528" spans="12:13" x14ac:dyDescent="0.25">
      <c r="L547528" s="472"/>
      <c r="M547528" s="472"/>
    </row>
    <row r="547529" spans="12:13" x14ac:dyDescent="0.25">
      <c r="L547529" s="472"/>
      <c r="M547529" s="472"/>
    </row>
    <row r="547601" spans="12:13" x14ac:dyDescent="0.25">
      <c r="L547601" s="472"/>
      <c r="M547601" s="472"/>
    </row>
    <row r="547602" spans="12:13" x14ac:dyDescent="0.25">
      <c r="L547602" s="472"/>
      <c r="M547602" s="472"/>
    </row>
    <row r="547603" spans="12:13" x14ac:dyDescent="0.25">
      <c r="L547603" s="472"/>
      <c r="M547603" s="472"/>
    </row>
    <row r="547675" spans="12:13" x14ac:dyDescent="0.25">
      <c r="L547675" s="472"/>
      <c r="M547675" s="472"/>
    </row>
    <row r="547676" spans="12:13" x14ac:dyDescent="0.25">
      <c r="L547676" s="472"/>
      <c r="M547676" s="472"/>
    </row>
    <row r="547677" spans="12:13" x14ac:dyDescent="0.25">
      <c r="L547677" s="472"/>
      <c r="M547677" s="472"/>
    </row>
    <row r="547749" spans="12:13" x14ac:dyDescent="0.25">
      <c r="L547749" s="472"/>
      <c r="M547749" s="472"/>
    </row>
    <row r="547750" spans="12:13" x14ac:dyDescent="0.25">
      <c r="L547750" s="472"/>
      <c r="M547750" s="472"/>
    </row>
    <row r="547751" spans="12:13" x14ac:dyDescent="0.25">
      <c r="L547751" s="472"/>
      <c r="M547751" s="472"/>
    </row>
    <row r="547823" spans="12:13" x14ac:dyDescent="0.25">
      <c r="L547823" s="472"/>
      <c r="M547823" s="472"/>
    </row>
    <row r="547824" spans="12:13" x14ac:dyDescent="0.25">
      <c r="L547824" s="472"/>
      <c r="M547824" s="472"/>
    </row>
    <row r="547825" spans="12:13" x14ac:dyDescent="0.25">
      <c r="L547825" s="472"/>
      <c r="M547825" s="472"/>
    </row>
    <row r="547897" spans="12:13" x14ac:dyDescent="0.25">
      <c r="L547897" s="472"/>
      <c r="M547897" s="472"/>
    </row>
    <row r="547898" spans="12:13" x14ac:dyDescent="0.25">
      <c r="L547898" s="472"/>
      <c r="M547898" s="472"/>
    </row>
    <row r="547899" spans="12:13" x14ac:dyDescent="0.25">
      <c r="L547899" s="472"/>
      <c r="M547899" s="472"/>
    </row>
    <row r="547971" spans="12:13" x14ac:dyDescent="0.25">
      <c r="L547971" s="472"/>
      <c r="M547971" s="472"/>
    </row>
    <row r="547972" spans="12:13" x14ac:dyDescent="0.25">
      <c r="L547972" s="472"/>
      <c r="M547972" s="472"/>
    </row>
    <row r="547973" spans="12:13" x14ac:dyDescent="0.25">
      <c r="L547973" s="472"/>
      <c r="M547973" s="472"/>
    </row>
    <row r="548045" spans="12:13" x14ac:dyDescent="0.25">
      <c r="L548045" s="472"/>
      <c r="M548045" s="472"/>
    </row>
    <row r="548046" spans="12:13" x14ac:dyDescent="0.25">
      <c r="L548046" s="472"/>
      <c r="M548046" s="472"/>
    </row>
    <row r="548047" spans="12:13" x14ac:dyDescent="0.25">
      <c r="L548047" s="472"/>
      <c r="M548047" s="472"/>
    </row>
    <row r="548119" spans="12:13" x14ac:dyDescent="0.25">
      <c r="L548119" s="472"/>
      <c r="M548119" s="472"/>
    </row>
    <row r="548120" spans="12:13" x14ac:dyDescent="0.25">
      <c r="L548120" s="472"/>
      <c r="M548120" s="472"/>
    </row>
    <row r="548121" spans="12:13" x14ac:dyDescent="0.25">
      <c r="L548121" s="472"/>
      <c r="M548121" s="472"/>
    </row>
    <row r="548193" spans="12:13" x14ac:dyDescent="0.25">
      <c r="L548193" s="472"/>
      <c r="M548193" s="472"/>
    </row>
    <row r="548194" spans="12:13" x14ac:dyDescent="0.25">
      <c r="L548194" s="472"/>
      <c r="M548194" s="472"/>
    </row>
    <row r="548195" spans="12:13" x14ac:dyDescent="0.25">
      <c r="L548195" s="472"/>
      <c r="M548195" s="472"/>
    </row>
    <row r="548267" spans="12:13" x14ac:dyDescent="0.25">
      <c r="L548267" s="472"/>
      <c r="M548267" s="472"/>
    </row>
    <row r="548268" spans="12:13" x14ac:dyDescent="0.25">
      <c r="L548268" s="472"/>
      <c r="M548268" s="472"/>
    </row>
    <row r="548269" spans="12:13" x14ac:dyDescent="0.25">
      <c r="L548269" s="472"/>
      <c r="M548269" s="472"/>
    </row>
    <row r="548341" spans="12:13" x14ac:dyDescent="0.25">
      <c r="L548341" s="472"/>
      <c r="M548341" s="472"/>
    </row>
    <row r="548342" spans="12:13" x14ac:dyDescent="0.25">
      <c r="L548342" s="472"/>
      <c r="M548342" s="472"/>
    </row>
    <row r="548343" spans="12:13" x14ac:dyDescent="0.25">
      <c r="L548343" s="472"/>
      <c r="M548343" s="472"/>
    </row>
    <row r="548415" spans="12:13" x14ac:dyDescent="0.25">
      <c r="L548415" s="472"/>
      <c r="M548415" s="472"/>
    </row>
    <row r="548416" spans="12:13" x14ac:dyDescent="0.25">
      <c r="L548416" s="472"/>
      <c r="M548416" s="472"/>
    </row>
    <row r="548417" spans="12:13" x14ac:dyDescent="0.25">
      <c r="L548417" s="472"/>
      <c r="M548417" s="472"/>
    </row>
    <row r="548489" spans="12:13" x14ac:dyDescent="0.25">
      <c r="L548489" s="472"/>
      <c r="M548489" s="472"/>
    </row>
    <row r="548490" spans="12:13" x14ac:dyDescent="0.25">
      <c r="L548490" s="472"/>
      <c r="M548490" s="472"/>
    </row>
    <row r="548491" spans="12:13" x14ac:dyDescent="0.25">
      <c r="L548491" s="472"/>
      <c r="M548491" s="472"/>
    </row>
    <row r="548563" spans="12:13" x14ac:dyDescent="0.25">
      <c r="L548563" s="472"/>
      <c r="M548563" s="472"/>
    </row>
    <row r="548564" spans="12:13" x14ac:dyDescent="0.25">
      <c r="L548564" s="472"/>
      <c r="M548564" s="472"/>
    </row>
    <row r="548565" spans="12:13" x14ac:dyDescent="0.25">
      <c r="L548565" s="472"/>
      <c r="M548565" s="472"/>
    </row>
    <row r="548637" spans="12:13" x14ac:dyDescent="0.25">
      <c r="L548637" s="472"/>
      <c r="M548637" s="472"/>
    </row>
    <row r="548638" spans="12:13" x14ac:dyDescent="0.25">
      <c r="L548638" s="472"/>
      <c r="M548638" s="472"/>
    </row>
    <row r="548639" spans="12:13" x14ac:dyDescent="0.25">
      <c r="L548639" s="472"/>
      <c r="M548639" s="472"/>
    </row>
    <row r="548711" spans="12:13" x14ac:dyDescent="0.25">
      <c r="L548711" s="472"/>
      <c r="M548711" s="472"/>
    </row>
    <row r="548712" spans="12:13" x14ac:dyDescent="0.25">
      <c r="L548712" s="472"/>
      <c r="M548712" s="472"/>
    </row>
    <row r="548713" spans="12:13" x14ac:dyDescent="0.25">
      <c r="L548713" s="472"/>
      <c r="M548713" s="472"/>
    </row>
    <row r="548785" spans="12:13" x14ac:dyDescent="0.25">
      <c r="L548785" s="472"/>
      <c r="M548785" s="472"/>
    </row>
    <row r="548786" spans="12:13" x14ac:dyDescent="0.25">
      <c r="L548786" s="472"/>
      <c r="M548786" s="472"/>
    </row>
    <row r="548787" spans="12:13" x14ac:dyDescent="0.25">
      <c r="L548787" s="472"/>
      <c r="M548787" s="472"/>
    </row>
    <row r="548859" spans="12:13" x14ac:dyDescent="0.25">
      <c r="L548859" s="472"/>
      <c r="M548859" s="472"/>
    </row>
    <row r="548860" spans="12:13" x14ac:dyDescent="0.25">
      <c r="L548860" s="472"/>
      <c r="M548860" s="472"/>
    </row>
    <row r="548861" spans="12:13" x14ac:dyDescent="0.25">
      <c r="L548861" s="472"/>
      <c r="M548861" s="472"/>
    </row>
    <row r="548933" spans="12:13" x14ac:dyDescent="0.25">
      <c r="L548933" s="472"/>
      <c r="M548933" s="472"/>
    </row>
    <row r="548934" spans="12:13" x14ac:dyDescent="0.25">
      <c r="L548934" s="472"/>
      <c r="M548934" s="472"/>
    </row>
    <row r="548935" spans="12:13" x14ac:dyDescent="0.25">
      <c r="L548935" s="472"/>
      <c r="M548935" s="472"/>
    </row>
    <row r="549007" spans="12:13" x14ac:dyDescent="0.25">
      <c r="L549007" s="472"/>
      <c r="M549007" s="472"/>
    </row>
    <row r="549008" spans="12:13" x14ac:dyDescent="0.25">
      <c r="L549008" s="472"/>
      <c r="M549008" s="472"/>
    </row>
    <row r="549009" spans="12:13" x14ac:dyDescent="0.25">
      <c r="L549009" s="472"/>
      <c r="M549009" s="472"/>
    </row>
    <row r="549081" spans="12:13" x14ac:dyDescent="0.25">
      <c r="L549081" s="472"/>
      <c r="M549081" s="472"/>
    </row>
    <row r="549082" spans="12:13" x14ac:dyDescent="0.25">
      <c r="L549082" s="472"/>
      <c r="M549082" s="472"/>
    </row>
    <row r="549083" spans="12:13" x14ac:dyDescent="0.25">
      <c r="L549083" s="472"/>
      <c r="M549083" s="472"/>
    </row>
    <row r="549155" spans="12:13" x14ac:dyDescent="0.25">
      <c r="L549155" s="472"/>
      <c r="M549155" s="472"/>
    </row>
    <row r="549156" spans="12:13" x14ac:dyDescent="0.25">
      <c r="L549156" s="472"/>
      <c r="M549156" s="472"/>
    </row>
    <row r="549157" spans="12:13" x14ac:dyDescent="0.25">
      <c r="L549157" s="472"/>
      <c r="M549157" s="472"/>
    </row>
    <row r="549229" spans="12:13" x14ac:dyDescent="0.25">
      <c r="L549229" s="472"/>
      <c r="M549229" s="472"/>
    </row>
    <row r="549230" spans="12:13" x14ac:dyDescent="0.25">
      <c r="L549230" s="472"/>
      <c r="M549230" s="472"/>
    </row>
    <row r="549231" spans="12:13" x14ac:dyDescent="0.25">
      <c r="L549231" s="472"/>
      <c r="M549231" s="472"/>
    </row>
    <row r="549303" spans="12:13" x14ac:dyDescent="0.25">
      <c r="L549303" s="472"/>
      <c r="M549303" s="472"/>
    </row>
    <row r="549304" spans="12:13" x14ac:dyDescent="0.25">
      <c r="L549304" s="472"/>
      <c r="M549304" s="472"/>
    </row>
    <row r="549305" spans="12:13" x14ac:dyDescent="0.25">
      <c r="L549305" s="472"/>
      <c r="M549305" s="472"/>
    </row>
    <row r="549377" spans="12:13" x14ac:dyDescent="0.25">
      <c r="L549377" s="472"/>
      <c r="M549377" s="472"/>
    </row>
    <row r="549378" spans="12:13" x14ac:dyDescent="0.25">
      <c r="L549378" s="472"/>
      <c r="M549378" s="472"/>
    </row>
    <row r="549379" spans="12:13" x14ac:dyDescent="0.25">
      <c r="L549379" s="472"/>
      <c r="M549379" s="472"/>
    </row>
    <row r="549451" spans="12:13" x14ac:dyDescent="0.25">
      <c r="L549451" s="472"/>
      <c r="M549451" s="472"/>
    </row>
    <row r="549452" spans="12:13" x14ac:dyDescent="0.25">
      <c r="L549452" s="472"/>
      <c r="M549452" s="472"/>
    </row>
    <row r="549453" spans="12:13" x14ac:dyDescent="0.25">
      <c r="L549453" s="472"/>
      <c r="M549453" s="472"/>
    </row>
    <row r="549525" spans="12:13" x14ac:dyDescent="0.25">
      <c r="L549525" s="472"/>
      <c r="M549525" s="472"/>
    </row>
    <row r="549526" spans="12:13" x14ac:dyDescent="0.25">
      <c r="L549526" s="472"/>
      <c r="M549526" s="472"/>
    </row>
    <row r="549527" spans="12:13" x14ac:dyDescent="0.25">
      <c r="L549527" s="472"/>
      <c r="M549527" s="472"/>
    </row>
    <row r="549599" spans="12:13" x14ac:dyDescent="0.25">
      <c r="L549599" s="472"/>
      <c r="M549599" s="472"/>
    </row>
    <row r="549600" spans="12:13" x14ac:dyDescent="0.25">
      <c r="L549600" s="472"/>
      <c r="M549600" s="472"/>
    </row>
    <row r="549601" spans="12:13" x14ac:dyDescent="0.25">
      <c r="L549601" s="472"/>
      <c r="M549601" s="472"/>
    </row>
    <row r="549673" spans="12:13" x14ac:dyDescent="0.25">
      <c r="L549673" s="472"/>
      <c r="M549673" s="472"/>
    </row>
    <row r="549674" spans="12:13" x14ac:dyDescent="0.25">
      <c r="L549674" s="472"/>
      <c r="M549674" s="472"/>
    </row>
    <row r="549675" spans="12:13" x14ac:dyDescent="0.25">
      <c r="L549675" s="472"/>
      <c r="M549675" s="472"/>
    </row>
    <row r="549747" spans="12:13" x14ac:dyDescent="0.25">
      <c r="L549747" s="472"/>
      <c r="M549747" s="472"/>
    </row>
    <row r="549748" spans="12:13" x14ac:dyDescent="0.25">
      <c r="L549748" s="472"/>
      <c r="M549748" s="472"/>
    </row>
    <row r="549749" spans="12:13" x14ac:dyDescent="0.25">
      <c r="L549749" s="472"/>
      <c r="M549749" s="472"/>
    </row>
    <row r="549821" spans="12:13" x14ac:dyDescent="0.25">
      <c r="L549821" s="472"/>
      <c r="M549821" s="472"/>
    </row>
    <row r="549822" spans="12:13" x14ac:dyDescent="0.25">
      <c r="L549822" s="472"/>
      <c r="M549822" s="472"/>
    </row>
    <row r="549823" spans="12:13" x14ac:dyDescent="0.25">
      <c r="L549823" s="472"/>
      <c r="M549823" s="472"/>
    </row>
    <row r="549895" spans="12:13" x14ac:dyDescent="0.25">
      <c r="L549895" s="472"/>
      <c r="M549895" s="472"/>
    </row>
    <row r="549896" spans="12:13" x14ac:dyDescent="0.25">
      <c r="L549896" s="472"/>
      <c r="M549896" s="472"/>
    </row>
    <row r="549897" spans="12:13" x14ac:dyDescent="0.25">
      <c r="L549897" s="472"/>
      <c r="M549897" s="472"/>
    </row>
    <row r="549969" spans="12:13" x14ac:dyDescent="0.25">
      <c r="L549969" s="472"/>
      <c r="M549969" s="472"/>
    </row>
    <row r="549970" spans="12:13" x14ac:dyDescent="0.25">
      <c r="L549970" s="472"/>
      <c r="M549970" s="472"/>
    </row>
    <row r="549971" spans="12:13" x14ac:dyDescent="0.25">
      <c r="L549971" s="472"/>
      <c r="M549971" s="472"/>
    </row>
    <row r="550043" spans="12:13" x14ac:dyDescent="0.25">
      <c r="L550043" s="472"/>
      <c r="M550043" s="472"/>
    </row>
    <row r="550044" spans="12:13" x14ac:dyDescent="0.25">
      <c r="L550044" s="472"/>
      <c r="M550044" s="472"/>
    </row>
    <row r="550045" spans="12:13" x14ac:dyDescent="0.25">
      <c r="L550045" s="472"/>
      <c r="M550045" s="472"/>
    </row>
    <row r="550117" spans="12:13" x14ac:dyDescent="0.25">
      <c r="L550117" s="472"/>
      <c r="M550117" s="472"/>
    </row>
    <row r="550118" spans="12:13" x14ac:dyDescent="0.25">
      <c r="L550118" s="472"/>
      <c r="M550118" s="472"/>
    </row>
    <row r="550119" spans="12:13" x14ac:dyDescent="0.25">
      <c r="L550119" s="472"/>
      <c r="M550119" s="472"/>
    </row>
    <row r="550191" spans="12:13" x14ac:dyDescent="0.25">
      <c r="L550191" s="472"/>
      <c r="M550191" s="472"/>
    </row>
    <row r="550192" spans="12:13" x14ac:dyDescent="0.25">
      <c r="L550192" s="472"/>
      <c r="M550192" s="472"/>
    </row>
    <row r="550193" spans="12:13" x14ac:dyDescent="0.25">
      <c r="L550193" s="472"/>
      <c r="M550193" s="472"/>
    </row>
    <row r="550265" spans="12:13" x14ac:dyDescent="0.25">
      <c r="L550265" s="472"/>
      <c r="M550265" s="472"/>
    </row>
    <row r="550266" spans="12:13" x14ac:dyDescent="0.25">
      <c r="L550266" s="472"/>
      <c r="M550266" s="472"/>
    </row>
    <row r="550267" spans="12:13" x14ac:dyDescent="0.25">
      <c r="L550267" s="472"/>
      <c r="M550267" s="472"/>
    </row>
    <row r="550339" spans="12:13" x14ac:dyDescent="0.25">
      <c r="L550339" s="472"/>
      <c r="M550339" s="472"/>
    </row>
    <row r="550340" spans="12:13" x14ac:dyDescent="0.25">
      <c r="L550340" s="472"/>
      <c r="M550340" s="472"/>
    </row>
    <row r="550341" spans="12:13" x14ac:dyDescent="0.25">
      <c r="L550341" s="472"/>
      <c r="M550341" s="472"/>
    </row>
    <row r="550413" spans="12:13" x14ac:dyDescent="0.25">
      <c r="L550413" s="472"/>
      <c r="M550413" s="472"/>
    </row>
    <row r="550414" spans="12:13" x14ac:dyDescent="0.25">
      <c r="L550414" s="472"/>
      <c r="M550414" s="472"/>
    </row>
    <row r="550415" spans="12:13" x14ac:dyDescent="0.25">
      <c r="L550415" s="472"/>
      <c r="M550415" s="472"/>
    </row>
    <row r="550487" spans="12:13" x14ac:dyDescent="0.25">
      <c r="L550487" s="472"/>
      <c r="M550487" s="472"/>
    </row>
    <row r="550488" spans="12:13" x14ac:dyDescent="0.25">
      <c r="L550488" s="472"/>
      <c r="M550488" s="472"/>
    </row>
    <row r="550489" spans="12:13" x14ac:dyDescent="0.25">
      <c r="L550489" s="472"/>
      <c r="M550489" s="472"/>
    </row>
    <row r="550561" spans="12:13" x14ac:dyDescent="0.25">
      <c r="L550561" s="472"/>
      <c r="M550561" s="472"/>
    </row>
    <row r="550562" spans="12:13" x14ac:dyDescent="0.25">
      <c r="L550562" s="472"/>
      <c r="M550562" s="472"/>
    </row>
    <row r="550563" spans="12:13" x14ac:dyDescent="0.25">
      <c r="L550563" s="472"/>
      <c r="M550563" s="472"/>
    </row>
    <row r="550635" spans="12:13" x14ac:dyDescent="0.25">
      <c r="L550635" s="472"/>
      <c r="M550635" s="472"/>
    </row>
    <row r="550636" spans="12:13" x14ac:dyDescent="0.25">
      <c r="L550636" s="472"/>
      <c r="M550636" s="472"/>
    </row>
    <row r="550637" spans="12:13" x14ac:dyDescent="0.25">
      <c r="L550637" s="472"/>
      <c r="M550637" s="472"/>
    </row>
    <row r="550709" spans="12:13" x14ac:dyDescent="0.25">
      <c r="L550709" s="472"/>
      <c r="M550709" s="472"/>
    </row>
    <row r="550710" spans="12:13" x14ac:dyDescent="0.25">
      <c r="L550710" s="472"/>
      <c r="M550710" s="472"/>
    </row>
    <row r="550711" spans="12:13" x14ac:dyDescent="0.25">
      <c r="L550711" s="472"/>
      <c r="M550711" s="472"/>
    </row>
    <row r="550783" spans="12:13" x14ac:dyDescent="0.25">
      <c r="L550783" s="472"/>
      <c r="M550783" s="472"/>
    </row>
    <row r="550784" spans="12:13" x14ac:dyDescent="0.25">
      <c r="L550784" s="472"/>
      <c r="M550784" s="472"/>
    </row>
    <row r="550785" spans="12:13" x14ac:dyDescent="0.25">
      <c r="L550785" s="472"/>
      <c r="M550785" s="472"/>
    </row>
    <row r="550857" spans="12:13" x14ac:dyDescent="0.25">
      <c r="L550857" s="472"/>
      <c r="M550857" s="472"/>
    </row>
    <row r="550858" spans="12:13" x14ac:dyDescent="0.25">
      <c r="L550858" s="472"/>
      <c r="M550858" s="472"/>
    </row>
    <row r="550859" spans="12:13" x14ac:dyDescent="0.25">
      <c r="L550859" s="472"/>
      <c r="M550859" s="472"/>
    </row>
    <row r="550931" spans="12:13" x14ac:dyDescent="0.25">
      <c r="L550931" s="472"/>
      <c r="M550931" s="472"/>
    </row>
    <row r="550932" spans="12:13" x14ac:dyDescent="0.25">
      <c r="L550932" s="472"/>
      <c r="M550932" s="472"/>
    </row>
    <row r="550933" spans="12:13" x14ac:dyDescent="0.25">
      <c r="L550933" s="472"/>
      <c r="M550933" s="472"/>
    </row>
    <row r="551005" spans="12:13" x14ac:dyDescent="0.25">
      <c r="L551005" s="472"/>
      <c r="M551005" s="472"/>
    </row>
    <row r="551006" spans="12:13" x14ac:dyDescent="0.25">
      <c r="L551006" s="472"/>
      <c r="M551006" s="472"/>
    </row>
    <row r="551007" spans="12:13" x14ac:dyDescent="0.25">
      <c r="L551007" s="472"/>
      <c r="M551007" s="472"/>
    </row>
    <row r="551079" spans="12:13" x14ac:dyDescent="0.25">
      <c r="L551079" s="472"/>
      <c r="M551079" s="472"/>
    </row>
    <row r="551080" spans="12:13" x14ac:dyDescent="0.25">
      <c r="L551080" s="472"/>
      <c r="M551080" s="472"/>
    </row>
    <row r="551081" spans="12:13" x14ac:dyDescent="0.25">
      <c r="L551081" s="472"/>
      <c r="M551081" s="472"/>
    </row>
    <row r="551153" spans="12:13" x14ac:dyDescent="0.25">
      <c r="L551153" s="472"/>
      <c r="M551153" s="472"/>
    </row>
    <row r="551154" spans="12:13" x14ac:dyDescent="0.25">
      <c r="L551154" s="472"/>
      <c r="M551154" s="472"/>
    </row>
    <row r="551155" spans="12:13" x14ac:dyDescent="0.25">
      <c r="L551155" s="472"/>
      <c r="M551155" s="472"/>
    </row>
    <row r="551227" spans="12:13" x14ac:dyDescent="0.25">
      <c r="L551227" s="472"/>
      <c r="M551227" s="472"/>
    </row>
    <row r="551228" spans="12:13" x14ac:dyDescent="0.25">
      <c r="L551228" s="472"/>
      <c r="M551228" s="472"/>
    </row>
    <row r="551229" spans="12:13" x14ac:dyDescent="0.25">
      <c r="L551229" s="472"/>
      <c r="M551229" s="472"/>
    </row>
    <row r="551301" spans="12:13" x14ac:dyDescent="0.25">
      <c r="L551301" s="472"/>
      <c r="M551301" s="472"/>
    </row>
    <row r="551302" spans="12:13" x14ac:dyDescent="0.25">
      <c r="L551302" s="472"/>
      <c r="M551302" s="472"/>
    </row>
    <row r="551303" spans="12:13" x14ac:dyDescent="0.25">
      <c r="L551303" s="472"/>
      <c r="M551303" s="472"/>
    </row>
    <row r="551375" spans="12:13" x14ac:dyDescent="0.25">
      <c r="L551375" s="472"/>
      <c r="M551375" s="472"/>
    </row>
    <row r="551376" spans="12:13" x14ac:dyDescent="0.25">
      <c r="L551376" s="472"/>
      <c r="M551376" s="472"/>
    </row>
    <row r="551377" spans="12:13" x14ac:dyDescent="0.25">
      <c r="L551377" s="472"/>
      <c r="M551377" s="472"/>
    </row>
    <row r="551449" spans="12:13" x14ac:dyDescent="0.25">
      <c r="L551449" s="472"/>
      <c r="M551449" s="472"/>
    </row>
    <row r="551450" spans="12:13" x14ac:dyDescent="0.25">
      <c r="L551450" s="472"/>
      <c r="M551450" s="472"/>
    </row>
    <row r="551451" spans="12:13" x14ac:dyDescent="0.25">
      <c r="L551451" s="472"/>
      <c r="M551451" s="472"/>
    </row>
    <row r="551523" spans="12:13" x14ac:dyDescent="0.25">
      <c r="L551523" s="472"/>
      <c r="M551523" s="472"/>
    </row>
    <row r="551524" spans="12:13" x14ac:dyDescent="0.25">
      <c r="L551524" s="472"/>
      <c r="M551524" s="472"/>
    </row>
    <row r="551525" spans="12:13" x14ac:dyDescent="0.25">
      <c r="L551525" s="472"/>
      <c r="M551525" s="472"/>
    </row>
    <row r="551597" spans="12:13" x14ac:dyDescent="0.25">
      <c r="L551597" s="472"/>
      <c r="M551597" s="472"/>
    </row>
    <row r="551598" spans="12:13" x14ac:dyDescent="0.25">
      <c r="L551598" s="472"/>
      <c r="M551598" s="472"/>
    </row>
    <row r="551599" spans="12:13" x14ac:dyDescent="0.25">
      <c r="L551599" s="472"/>
      <c r="M551599" s="472"/>
    </row>
    <row r="551671" spans="12:13" x14ac:dyDescent="0.25">
      <c r="L551671" s="472"/>
      <c r="M551671" s="472"/>
    </row>
    <row r="551672" spans="12:13" x14ac:dyDescent="0.25">
      <c r="L551672" s="472"/>
      <c r="M551672" s="472"/>
    </row>
    <row r="551673" spans="12:13" x14ac:dyDescent="0.25">
      <c r="L551673" s="472"/>
      <c r="M551673" s="472"/>
    </row>
    <row r="551745" spans="12:13" x14ac:dyDescent="0.25">
      <c r="L551745" s="472"/>
      <c r="M551745" s="472"/>
    </row>
    <row r="551746" spans="12:13" x14ac:dyDescent="0.25">
      <c r="L551746" s="472"/>
      <c r="M551746" s="472"/>
    </row>
    <row r="551747" spans="12:13" x14ac:dyDescent="0.25">
      <c r="L551747" s="472"/>
      <c r="M551747" s="472"/>
    </row>
    <row r="551819" spans="12:13" x14ac:dyDescent="0.25">
      <c r="L551819" s="472"/>
      <c r="M551819" s="472"/>
    </row>
    <row r="551820" spans="12:13" x14ac:dyDescent="0.25">
      <c r="L551820" s="472"/>
      <c r="M551820" s="472"/>
    </row>
    <row r="551821" spans="12:13" x14ac:dyDescent="0.25">
      <c r="L551821" s="472"/>
      <c r="M551821" s="472"/>
    </row>
    <row r="551893" spans="12:13" x14ac:dyDescent="0.25">
      <c r="L551893" s="472"/>
      <c r="M551893" s="472"/>
    </row>
    <row r="551894" spans="12:13" x14ac:dyDescent="0.25">
      <c r="L551894" s="472"/>
      <c r="M551894" s="472"/>
    </row>
    <row r="551895" spans="12:13" x14ac:dyDescent="0.25">
      <c r="L551895" s="472"/>
      <c r="M551895" s="472"/>
    </row>
    <row r="551967" spans="12:13" x14ac:dyDescent="0.25">
      <c r="L551967" s="472"/>
      <c r="M551967" s="472"/>
    </row>
    <row r="551968" spans="12:13" x14ac:dyDescent="0.25">
      <c r="L551968" s="472"/>
      <c r="M551968" s="472"/>
    </row>
    <row r="551969" spans="12:13" x14ac:dyDescent="0.25">
      <c r="L551969" s="472"/>
      <c r="M551969" s="472"/>
    </row>
    <row r="552041" spans="12:13" x14ac:dyDescent="0.25">
      <c r="L552041" s="472"/>
      <c r="M552041" s="472"/>
    </row>
    <row r="552042" spans="12:13" x14ac:dyDescent="0.25">
      <c r="L552042" s="472"/>
      <c r="M552042" s="472"/>
    </row>
    <row r="552043" spans="12:13" x14ac:dyDescent="0.25">
      <c r="L552043" s="472"/>
      <c r="M552043" s="472"/>
    </row>
    <row r="552115" spans="12:13" x14ac:dyDescent="0.25">
      <c r="L552115" s="472"/>
      <c r="M552115" s="472"/>
    </row>
    <row r="552116" spans="12:13" x14ac:dyDescent="0.25">
      <c r="L552116" s="472"/>
      <c r="M552116" s="472"/>
    </row>
    <row r="552117" spans="12:13" x14ac:dyDescent="0.25">
      <c r="L552117" s="472"/>
      <c r="M552117" s="472"/>
    </row>
    <row r="552189" spans="12:13" x14ac:dyDescent="0.25">
      <c r="L552189" s="472"/>
      <c r="M552189" s="472"/>
    </row>
    <row r="552190" spans="12:13" x14ac:dyDescent="0.25">
      <c r="L552190" s="472"/>
      <c r="M552190" s="472"/>
    </row>
    <row r="552191" spans="12:13" x14ac:dyDescent="0.25">
      <c r="L552191" s="472"/>
      <c r="M552191" s="472"/>
    </row>
    <row r="552263" spans="12:13" x14ac:dyDescent="0.25">
      <c r="L552263" s="472"/>
      <c r="M552263" s="472"/>
    </row>
    <row r="552264" spans="12:13" x14ac:dyDescent="0.25">
      <c r="L552264" s="472"/>
      <c r="M552264" s="472"/>
    </row>
    <row r="552265" spans="12:13" x14ac:dyDescent="0.25">
      <c r="L552265" s="472"/>
      <c r="M552265" s="472"/>
    </row>
    <row r="552337" spans="12:13" x14ac:dyDescent="0.25">
      <c r="L552337" s="472"/>
      <c r="M552337" s="472"/>
    </row>
    <row r="552338" spans="12:13" x14ac:dyDescent="0.25">
      <c r="L552338" s="472"/>
      <c r="M552338" s="472"/>
    </row>
    <row r="552339" spans="12:13" x14ac:dyDescent="0.25">
      <c r="L552339" s="472"/>
      <c r="M552339" s="472"/>
    </row>
    <row r="552411" spans="12:13" x14ac:dyDescent="0.25">
      <c r="L552411" s="472"/>
      <c r="M552411" s="472"/>
    </row>
    <row r="552412" spans="12:13" x14ac:dyDescent="0.25">
      <c r="L552412" s="472"/>
      <c r="M552412" s="472"/>
    </row>
    <row r="552413" spans="12:13" x14ac:dyDescent="0.25">
      <c r="L552413" s="472"/>
      <c r="M552413" s="472"/>
    </row>
    <row r="552485" spans="12:13" x14ac:dyDescent="0.25">
      <c r="L552485" s="472"/>
      <c r="M552485" s="472"/>
    </row>
    <row r="552486" spans="12:13" x14ac:dyDescent="0.25">
      <c r="L552486" s="472"/>
      <c r="M552486" s="472"/>
    </row>
    <row r="552487" spans="12:13" x14ac:dyDescent="0.25">
      <c r="L552487" s="472"/>
      <c r="M552487" s="472"/>
    </row>
    <row r="552559" spans="12:13" x14ac:dyDescent="0.25">
      <c r="L552559" s="472"/>
      <c r="M552559" s="472"/>
    </row>
    <row r="552560" spans="12:13" x14ac:dyDescent="0.25">
      <c r="L552560" s="472"/>
      <c r="M552560" s="472"/>
    </row>
    <row r="552561" spans="12:13" x14ac:dyDescent="0.25">
      <c r="L552561" s="472"/>
      <c r="M552561" s="472"/>
    </row>
    <row r="552633" spans="12:13" x14ac:dyDescent="0.25">
      <c r="L552633" s="472"/>
      <c r="M552633" s="472"/>
    </row>
    <row r="552634" spans="12:13" x14ac:dyDescent="0.25">
      <c r="L552634" s="472"/>
      <c r="M552634" s="472"/>
    </row>
    <row r="552635" spans="12:13" x14ac:dyDescent="0.25">
      <c r="L552635" s="472"/>
      <c r="M552635" s="472"/>
    </row>
    <row r="552707" spans="12:13" x14ac:dyDescent="0.25">
      <c r="L552707" s="472"/>
      <c r="M552707" s="472"/>
    </row>
    <row r="552708" spans="12:13" x14ac:dyDescent="0.25">
      <c r="L552708" s="472"/>
      <c r="M552708" s="472"/>
    </row>
    <row r="552709" spans="12:13" x14ac:dyDescent="0.25">
      <c r="L552709" s="472"/>
      <c r="M552709" s="472"/>
    </row>
    <row r="552781" spans="12:13" x14ac:dyDescent="0.25">
      <c r="L552781" s="472"/>
      <c r="M552781" s="472"/>
    </row>
    <row r="552782" spans="12:13" x14ac:dyDescent="0.25">
      <c r="L552782" s="472"/>
      <c r="M552782" s="472"/>
    </row>
    <row r="552783" spans="12:13" x14ac:dyDescent="0.25">
      <c r="L552783" s="472"/>
      <c r="M552783" s="472"/>
    </row>
    <row r="552855" spans="12:13" x14ac:dyDescent="0.25">
      <c r="L552855" s="472"/>
      <c r="M552855" s="472"/>
    </row>
    <row r="552856" spans="12:13" x14ac:dyDescent="0.25">
      <c r="L552856" s="472"/>
      <c r="M552856" s="472"/>
    </row>
    <row r="552857" spans="12:13" x14ac:dyDescent="0.25">
      <c r="L552857" s="472"/>
      <c r="M552857" s="472"/>
    </row>
    <row r="552929" spans="12:13" x14ac:dyDescent="0.25">
      <c r="L552929" s="472"/>
      <c r="M552929" s="472"/>
    </row>
    <row r="552930" spans="12:13" x14ac:dyDescent="0.25">
      <c r="L552930" s="472"/>
      <c r="M552930" s="472"/>
    </row>
    <row r="552931" spans="12:13" x14ac:dyDescent="0.25">
      <c r="L552931" s="472"/>
      <c r="M552931" s="472"/>
    </row>
    <row r="553003" spans="12:13" x14ac:dyDescent="0.25">
      <c r="L553003" s="472"/>
      <c r="M553003" s="472"/>
    </row>
    <row r="553004" spans="12:13" x14ac:dyDescent="0.25">
      <c r="L553004" s="472"/>
      <c r="M553004" s="472"/>
    </row>
    <row r="553005" spans="12:13" x14ac:dyDescent="0.25">
      <c r="L553005" s="472"/>
      <c r="M553005" s="472"/>
    </row>
    <row r="553077" spans="12:13" x14ac:dyDescent="0.25">
      <c r="L553077" s="472"/>
      <c r="M553077" s="472"/>
    </row>
    <row r="553078" spans="12:13" x14ac:dyDescent="0.25">
      <c r="L553078" s="472"/>
      <c r="M553078" s="472"/>
    </row>
    <row r="553079" spans="12:13" x14ac:dyDescent="0.25">
      <c r="L553079" s="472"/>
      <c r="M553079" s="472"/>
    </row>
    <row r="553151" spans="12:13" x14ac:dyDescent="0.25">
      <c r="L553151" s="472"/>
      <c r="M553151" s="472"/>
    </row>
    <row r="553152" spans="12:13" x14ac:dyDescent="0.25">
      <c r="L553152" s="472"/>
      <c r="M553152" s="472"/>
    </row>
    <row r="553153" spans="12:13" x14ac:dyDescent="0.25">
      <c r="L553153" s="472"/>
      <c r="M553153" s="472"/>
    </row>
    <row r="553225" spans="12:13" x14ac:dyDescent="0.25">
      <c r="L553225" s="472"/>
      <c r="M553225" s="472"/>
    </row>
    <row r="553226" spans="12:13" x14ac:dyDescent="0.25">
      <c r="L553226" s="472"/>
      <c r="M553226" s="472"/>
    </row>
    <row r="553227" spans="12:13" x14ac:dyDescent="0.25">
      <c r="L553227" s="472"/>
      <c r="M553227" s="472"/>
    </row>
    <row r="553299" spans="12:13" x14ac:dyDescent="0.25">
      <c r="L553299" s="472"/>
      <c r="M553299" s="472"/>
    </row>
    <row r="553300" spans="12:13" x14ac:dyDescent="0.25">
      <c r="L553300" s="472"/>
      <c r="M553300" s="472"/>
    </row>
    <row r="553301" spans="12:13" x14ac:dyDescent="0.25">
      <c r="L553301" s="472"/>
      <c r="M553301" s="472"/>
    </row>
    <row r="553373" spans="12:13" x14ac:dyDescent="0.25">
      <c r="L553373" s="472"/>
      <c r="M553373" s="472"/>
    </row>
    <row r="553374" spans="12:13" x14ac:dyDescent="0.25">
      <c r="L553374" s="472"/>
      <c r="M553374" s="472"/>
    </row>
    <row r="553375" spans="12:13" x14ac:dyDescent="0.25">
      <c r="L553375" s="472"/>
      <c r="M553375" s="472"/>
    </row>
    <row r="553447" spans="12:13" x14ac:dyDescent="0.25">
      <c r="L553447" s="472"/>
      <c r="M553447" s="472"/>
    </row>
    <row r="553448" spans="12:13" x14ac:dyDescent="0.25">
      <c r="L553448" s="472"/>
      <c r="M553448" s="472"/>
    </row>
    <row r="553449" spans="12:13" x14ac:dyDescent="0.25">
      <c r="L553449" s="472"/>
      <c r="M553449" s="472"/>
    </row>
    <row r="553521" spans="12:13" x14ac:dyDescent="0.25">
      <c r="L553521" s="472"/>
      <c r="M553521" s="472"/>
    </row>
    <row r="553522" spans="12:13" x14ac:dyDescent="0.25">
      <c r="L553522" s="472"/>
      <c r="M553522" s="472"/>
    </row>
    <row r="553523" spans="12:13" x14ac:dyDescent="0.25">
      <c r="L553523" s="472"/>
      <c r="M553523" s="472"/>
    </row>
    <row r="553595" spans="12:13" x14ac:dyDescent="0.25">
      <c r="L553595" s="472"/>
      <c r="M553595" s="472"/>
    </row>
    <row r="553596" spans="12:13" x14ac:dyDescent="0.25">
      <c r="L553596" s="472"/>
      <c r="M553596" s="472"/>
    </row>
    <row r="553597" spans="12:13" x14ac:dyDescent="0.25">
      <c r="L553597" s="472"/>
      <c r="M553597" s="472"/>
    </row>
    <row r="553669" spans="12:13" x14ac:dyDescent="0.25">
      <c r="L553669" s="472"/>
      <c r="M553669" s="472"/>
    </row>
    <row r="553670" spans="12:13" x14ac:dyDescent="0.25">
      <c r="L553670" s="472"/>
      <c r="M553670" s="472"/>
    </row>
    <row r="553671" spans="12:13" x14ac:dyDescent="0.25">
      <c r="L553671" s="472"/>
      <c r="M553671" s="472"/>
    </row>
    <row r="553743" spans="12:13" x14ac:dyDescent="0.25">
      <c r="L553743" s="472"/>
      <c r="M553743" s="472"/>
    </row>
    <row r="553744" spans="12:13" x14ac:dyDescent="0.25">
      <c r="L553744" s="472"/>
      <c r="M553744" s="472"/>
    </row>
    <row r="553745" spans="12:13" x14ac:dyDescent="0.25">
      <c r="L553745" s="472"/>
      <c r="M553745" s="472"/>
    </row>
    <row r="553817" spans="12:13" x14ac:dyDescent="0.25">
      <c r="L553817" s="472"/>
      <c r="M553817" s="472"/>
    </row>
    <row r="553818" spans="12:13" x14ac:dyDescent="0.25">
      <c r="L553818" s="472"/>
      <c r="M553818" s="472"/>
    </row>
    <row r="553819" spans="12:13" x14ac:dyDescent="0.25">
      <c r="L553819" s="472"/>
      <c r="M553819" s="472"/>
    </row>
    <row r="553891" spans="12:13" x14ac:dyDescent="0.25">
      <c r="L553891" s="472"/>
      <c r="M553891" s="472"/>
    </row>
    <row r="553892" spans="12:13" x14ac:dyDescent="0.25">
      <c r="L553892" s="472"/>
      <c r="M553892" s="472"/>
    </row>
    <row r="553893" spans="12:13" x14ac:dyDescent="0.25">
      <c r="L553893" s="472"/>
      <c r="M553893" s="472"/>
    </row>
    <row r="553965" spans="12:13" x14ac:dyDescent="0.25">
      <c r="L553965" s="472"/>
      <c r="M553965" s="472"/>
    </row>
    <row r="553966" spans="12:13" x14ac:dyDescent="0.25">
      <c r="L553966" s="472"/>
      <c r="M553966" s="472"/>
    </row>
    <row r="553967" spans="12:13" x14ac:dyDescent="0.25">
      <c r="L553967" s="472"/>
      <c r="M553967" s="472"/>
    </row>
    <row r="554039" spans="12:13" x14ac:dyDescent="0.25">
      <c r="L554039" s="472"/>
      <c r="M554039" s="472"/>
    </row>
    <row r="554040" spans="12:13" x14ac:dyDescent="0.25">
      <c r="L554040" s="472"/>
      <c r="M554040" s="472"/>
    </row>
    <row r="554041" spans="12:13" x14ac:dyDescent="0.25">
      <c r="L554041" s="472"/>
      <c r="M554041" s="472"/>
    </row>
    <row r="554113" spans="12:13" x14ac:dyDescent="0.25">
      <c r="L554113" s="472"/>
      <c r="M554113" s="472"/>
    </row>
    <row r="554114" spans="12:13" x14ac:dyDescent="0.25">
      <c r="L554114" s="472"/>
      <c r="M554114" s="472"/>
    </row>
    <row r="554115" spans="12:13" x14ac:dyDescent="0.25">
      <c r="L554115" s="472"/>
      <c r="M554115" s="472"/>
    </row>
    <row r="554187" spans="12:13" x14ac:dyDescent="0.25">
      <c r="L554187" s="472"/>
      <c r="M554187" s="472"/>
    </row>
    <row r="554188" spans="12:13" x14ac:dyDescent="0.25">
      <c r="L554188" s="472"/>
      <c r="M554188" s="472"/>
    </row>
    <row r="554189" spans="12:13" x14ac:dyDescent="0.25">
      <c r="L554189" s="472"/>
      <c r="M554189" s="472"/>
    </row>
    <row r="554261" spans="12:13" x14ac:dyDescent="0.25">
      <c r="L554261" s="472"/>
      <c r="M554261" s="472"/>
    </row>
    <row r="554262" spans="12:13" x14ac:dyDescent="0.25">
      <c r="L554262" s="472"/>
      <c r="M554262" s="472"/>
    </row>
    <row r="554263" spans="12:13" x14ac:dyDescent="0.25">
      <c r="L554263" s="472"/>
      <c r="M554263" s="472"/>
    </row>
    <row r="554335" spans="12:13" x14ac:dyDescent="0.25">
      <c r="L554335" s="472"/>
      <c r="M554335" s="472"/>
    </row>
    <row r="554336" spans="12:13" x14ac:dyDescent="0.25">
      <c r="L554336" s="472"/>
      <c r="M554336" s="472"/>
    </row>
    <row r="554337" spans="12:13" x14ac:dyDescent="0.25">
      <c r="L554337" s="472"/>
      <c r="M554337" s="472"/>
    </row>
    <row r="554409" spans="12:13" x14ac:dyDescent="0.25">
      <c r="L554409" s="472"/>
      <c r="M554409" s="472"/>
    </row>
    <row r="554410" spans="12:13" x14ac:dyDescent="0.25">
      <c r="L554410" s="472"/>
      <c r="M554410" s="472"/>
    </row>
    <row r="554411" spans="12:13" x14ac:dyDescent="0.25">
      <c r="L554411" s="472"/>
      <c r="M554411" s="472"/>
    </row>
    <row r="554483" spans="12:13" x14ac:dyDescent="0.25">
      <c r="L554483" s="472"/>
      <c r="M554483" s="472"/>
    </row>
    <row r="554484" spans="12:13" x14ac:dyDescent="0.25">
      <c r="L554484" s="472"/>
      <c r="M554484" s="472"/>
    </row>
    <row r="554485" spans="12:13" x14ac:dyDescent="0.25">
      <c r="L554485" s="472"/>
      <c r="M554485" s="472"/>
    </row>
    <row r="554557" spans="12:13" x14ac:dyDescent="0.25">
      <c r="L554557" s="472"/>
      <c r="M554557" s="472"/>
    </row>
    <row r="554558" spans="12:13" x14ac:dyDescent="0.25">
      <c r="L554558" s="472"/>
      <c r="M554558" s="472"/>
    </row>
    <row r="554559" spans="12:13" x14ac:dyDescent="0.25">
      <c r="L554559" s="472"/>
      <c r="M554559" s="472"/>
    </row>
    <row r="554631" spans="12:13" x14ac:dyDescent="0.25">
      <c r="L554631" s="472"/>
      <c r="M554631" s="472"/>
    </row>
    <row r="554632" spans="12:13" x14ac:dyDescent="0.25">
      <c r="L554632" s="472"/>
      <c r="M554632" s="472"/>
    </row>
    <row r="554633" spans="12:13" x14ac:dyDescent="0.25">
      <c r="L554633" s="472"/>
      <c r="M554633" s="472"/>
    </row>
    <row r="554705" spans="12:13" x14ac:dyDescent="0.25">
      <c r="L554705" s="472"/>
      <c r="M554705" s="472"/>
    </row>
    <row r="554706" spans="12:13" x14ac:dyDescent="0.25">
      <c r="L554706" s="472"/>
      <c r="M554706" s="472"/>
    </row>
    <row r="554707" spans="12:13" x14ac:dyDescent="0.25">
      <c r="L554707" s="472"/>
      <c r="M554707" s="472"/>
    </row>
    <row r="554779" spans="12:13" x14ac:dyDescent="0.25">
      <c r="L554779" s="472"/>
      <c r="M554779" s="472"/>
    </row>
    <row r="554780" spans="12:13" x14ac:dyDescent="0.25">
      <c r="L554780" s="472"/>
      <c r="M554780" s="472"/>
    </row>
    <row r="554781" spans="12:13" x14ac:dyDescent="0.25">
      <c r="L554781" s="472"/>
      <c r="M554781" s="472"/>
    </row>
    <row r="554853" spans="12:13" x14ac:dyDescent="0.25">
      <c r="L554853" s="472"/>
      <c r="M554853" s="472"/>
    </row>
    <row r="554854" spans="12:13" x14ac:dyDescent="0.25">
      <c r="L554854" s="472"/>
      <c r="M554854" s="472"/>
    </row>
    <row r="554855" spans="12:13" x14ac:dyDescent="0.25">
      <c r="L554855" s="472"/>
      <c r="M554855" s="472"/>
    </row>
    <row r="554927" spans="12:13" x14ac:dyDescent="0.25">
      <c r="L554927" s="472"/>
      <c r="M554927" s="472"/>
    </row>
    <row r="554928" spans="12:13" x14ac:dyDescent="0.25">
      <c r="L554928" s="472"/>
      <c r="M554928" s="472"/>
    </row>
    <row r="554929" spans="12:13" x14ac:dyDescent="0.25">
      <c r="L554929" s="472"/>
      <c r="M554929" s="472"/>
    </row>
    <row r="555001" spans="12:13" x14ac:dyDescent="0.25">
      <c r="L555001" s="472"/>
      <c r="M555001" s="472"/>
    </row>
    <row r="555002" spans="12:13" x14ac:dyDescent="0.25">
      <c r="L555002" s="472"/>
      <c r="M555002" s="472"/>
    </row>
    <row r="555003" spans="12:13" x14ac:dyDescent="0.25">
      <c r="L555003" s="472"/>
      <c r="M555003" s="472"/>
    </row>
    <row r="555075" spans="12:13" x14ac:dyDescent="0.25">
      <c r="L555075" s="472"/>
      <c r="M555075" s="472"/>
    </row>
    <row r="555076" spans="12:13" x14ac:dyDescent="0.25">
      <c r="L555076" s="472"/>
      <c r="M555076" s="472"/>
    </row>
    <row r="555077" spans="12:13" x14ac:dyDescent="0.25">
      <c r="L555077" s="472"/>
      <c r="M555077" s="472"/>
    </row>
    <row r="555149" spans="12:13" x14ac:dyDescent="0.25">
      <c r="L555149" s="472"/>
      <c r="M555149" s="472"/>
    </row>
    <row r="555150" spans="12:13" x14ac:dyDescent="0.25">
      <c r="L555150" s="472"/>
      <c r="M555150" s="472"/>
    </row>
    <row r="555151" spans="12:13" x14ac:dyDescent="0.25">
      <c r="L555151" s="472"/>
      <c r="M555151" s="472"/>
    </row>
    <row r="555223" spans="12:13" x14ac:dyDescent="0.25">
      <c r="L555223" s="472"/>
      <c r="M555223" s="472"/>
    </row>
    <row r="555224" spans="12:13" x14ac:dyDescent="0.25">
      <c r="L555224" s="472"/>
      <c r="M555224" s="472"/>
    </row>
    <row r="555225" spans="12:13" x14ac:dyDescent="0.25">
      <c r="L555225" s="472"/>
      <c r="M555225" s="472"/>
    </row>
    <row r="555297" spans="12:13" x14ac:dyDescent="0.25">
      <c r="L555297" s="472"/>
      <c r="M555297" s="472"/>
    </row>
    <row r="555298" spans="12:13" x14ac:dyDescent="0.25">
      <c r="L555298" s="472"/>
      <c r="M555298" s="472"/>
    </row>
    <row r="555299" spans="12:13" x14ac:dyDescent="0.25">
      <c r="L555299" s="472"/>
      <c r="M555299" s="472"/>
    </row>
    <row r="555371" spans="12:13" x14ac:dyDescent="0.25">
      <c r="L555371" s="472"/>
      <c r="M555371" s="472"/>
    </row>
    <row r="555372" spans="12:13" x14ac:dyDescent="0.25">
      <c r="L555372" s="472"/>
      <c r="M555372" s="472"/>
    </row>
    <row r="555373" spans="12:13" x14ac:dyDescent="0.25">
      <c r="L555373" s="472"/>
      <c r="M555373" s="472"/>
    </row>
    <row r="555445" spans="12:13" x14ac:dyDescent="0.25">
      <c r="L555445" s="472"/>
      <c r="M555445" s="472"/>
    </row>
    <row r="555446" spans="12:13" x14ac:dyDescent="0.25">
      <c r="L555446" s="472"/>
      <c r="M555446" s="472"/>
    </row>
    <row r="555447" spans="12:13" x14ac:dyDescent="0.25">
      <c r="L555447" s="472"/>
      <c r="M555447" s="472"/>
    </row>
    <row r="555519" spans="12:13" x14ac:dyDescent="0.25">
      <c r="L555519" s="472"/>
      <c r="M555519" s="472"/>
    </row>
    <row r="555520" spans="12:13" x14ac:dyDescent="0.25">
      <c r="L555520" s="472"/>
      <c r="M555520" s="472"/>
    </row>
    <row r="555521" spans="12:13" x14ac:dyDescent="0.25">
      <c r="L555521" s="472"/>
      <c r="M555521" s="472"/>
    </row>
    <row r="555593" spans="12:13" x14ac:dyDescent="0.25">
      <c r="L555593" s="472"/>
      <c r="M555593" s="472"/>
    </row>
    <row r="555594" spans="12:13" x14ac:dyDescent="0.25">
      <c r="L555594" s="472"/>
      <c r="M555594" s="472"/>
    </row>
    <row r="555595" spans="12:13" x14ac:dyDescent="0.25">
      <c r="L555595" s="472"/>
      <c r="M555595" s="472"/>
    </row>
    <row r="555667" spans="12:13" x14ac:dyDescent="0.25">
      <c r="L555667" s="472"/>
      <c r="M555667" s="472"/>
    </row>
    <row r="555668" spans="12:13" x14ac:dyDescent="0.25">
      <c r="L555668" s="472"/>
      <c r="M555668" s="472"/>
    </row>
    <row r="555669" spans="12:13" x14ac:dyDescent="0.25">
      <c r="L555669" s="472"/>
      <c r="M555669" s="472"/>
    </row>
    <row r="555741" spans="12:13" x14ac:dyDescent="0.25">
      <c r="L555741" s="472"/>
      <c r="M555741" s="472"/>
    </row>
    <row r="555742" spans="12:13" x14ac:dyDescent="0.25">
      <c r="L555742" s="472"/>
      <c r="M555742" s="472"/>
    </row>
    <row r="555743" spans="12:13" x14ac:dyDescent="0.25">
      <c r="L555743" s="472"/>
      <c r="M555743" s="472"/>
    </row>
    <row r="555815" spans="12:13" x14ac:dyDescent="0.25">
      <c r="L555815" s="472"/>
      <c r="M555815" s="472"/>
    </row>
    <row r="555816" spans="12:13" x14ac:dyDescent="0.25">
      <c r="L555816" s="472"/>
      <c r="M555816" s="472"/>
    </row>
    <row r="555817" spans="12:13" x14ac:dyDescent="0.25">
      <c r="L555817" s="472"/>
      <c r="M555817" s="472"/>
    </row>
    <row r="555889" spans="12:13" x14ac:dyDescent="0.25">
      <c r="L555889" s="472"/>
      <c r="M555889" s="472"/>
    </row>
    <row r="555890" spans="12:13" x14ac:dyDescent="0.25">
      <c r="L555890" s="472"/>
      <c r="M555890" s="472"/>
    </row>
    <row r="555891" spans="12:13" x14ac:dyDescent="0.25">
      <c r="L555891" s="472"/>
      <c r="M555891" s="472"/>
    </row>
    <row r="555963" spans="12:13" x14ac:dyDescent="0.25">
      <c r="L555963" s="472"/>
      <c r="M555963" s="472"/>
    </row>
    <row r="555964" spans="12:13" x14ac:dyDescent="0.25">
      <c r="L555964" s="472"/>
      <c r="M555964" s="472"/>
    </row>
    <row r="555965" spans="12:13" x14ac:dyDescent="0.25">
      <c r="L555965" s="472"/>
      <c r="M555965" s="472"/>
    </row>
    <row r="556037" spans="12:13" x14ac:dyDescent="0.25">
      <c r="L556037" s="472"/>
      <c r="M556037" s="472"/>
    </row>
    <row r="556038" spans="12:13" x14ac:dyDescent="0.25">
      <c r="L556038" s="472"/>
      <c r="M556038" s="472"/>
    </row>
    <row r="556039" spans="12:13" x14ac:dyDescent="0.25">
      <c r="L556039" s="472"/>
      <c r="M556039" s="472"/>
    </row>
    <row r="556111" spans="12:13" x14ac:dyDescent="0.25">
      <c r="L556111" s="472"/>
      <c r="M556111" s="472"/>
    </row>
    <row r="556112" spans="12:13" x14ac:dyDescent="0.25">
      <c r="L556112" s="472"/>
      <c r="M556112" s="472"/>
    </row>
    <row r="556113" spans="12:13" x14ac:dyDescent="0.25">
      <c r="L556113" s="472"/>
      <c r="M556113" s="472"/>
    </row>
    <row r="556185" spans="12:13" x14ac:dyDescent="0.25">
      <c r="L556185" s="472"/>
      <c r="M556185" s="472"/>
    </row>
    <row r="556186" spans="12:13" x14ac:dyDescent="0.25">
      <c r="L556186" s="472"/>
      <c r="M556186" s="472"/>
    </row>
    <row r="556187" spans="12:13" x14ac:dyDescent="0.25">
      <c r="L556187" s="472"/>
      <c r="M556187" s="472"/>
    </row>
    <row r="556259" spans="12:13" x14ac:dyDescent="0.25">
      <c r="L556259" s="472"/>
      <c r="M556259" s="472"/>
    </row>
    <row r="556260" spans="12:13" x14ac:dyDescent="0.25">
      <c r="L556260" s="472"/>
      <c r="M556260" s="472"/>
    </row>
    <row r="556261" spans="12:13" x14ac:dyDescent="0.25">
      <c r="L556261" s="472"/>
      <c r="M556261" s="472"/>
    </row>
    <row r="556333" spans="12:13" x14ac:dyDescent="0.25">
      <c r="L556333" s="472"/>
      <c r="M556333" s="472"/>
    </row>
    <row r="556334" spans="12:13" x14ac:dyDescent="0.25">
      <c r="L556334" s="472"/>
      <c r="M556334" s="472"/>
    </row>
    <row r="556335" spans="12:13" x14ac:dyDescent="0.25">
      <c r="L556335" s="472"/>
      <c r="M556335" s="472"/>
    </row>
    <row r="556407" spans="12:13" x14ac:dyDescent="0.25">
      <c r="L556407" s="472"/>
      <c r="M556407" s="472"/>
    </row>
    <row r="556408" spans="12:13" x14ac:dyDescent="0.25">
      <c r="L556408" s="472"/>
      <c r="M556408" s="472"/>
    </row>
    <row r="556409" spans="12:13" x14ac:dyDescent="0.25">
      <c r="L556409" s="472"/>
      <c r="M556409" s="472"/>
    </row>
    <row r="556481" spans="12:13" x14ac:dyDescent="0.25">
      <c r="L556481" s="472"/>
      <c r="M556481" s="472"/>
    </row>
    <row r="556482" spans="12:13" x14ac:dyDescent="0.25">
      <c r="L556482" s="472"/>
      <c r="M556482" s="472"/>
    </row>
    <row r="556483" spans="12:13" x14ac:dyDescent="0.25">
      <c r="L556483" s="472"/>
      <c r="M556483" s="472"/>
    </row>
    <row r="556555" spans="12:13" x14ac:dyDescent="0.25">
      <c r="L556555" s="472"/>
      <c r="M556555" s="472"/>
    </row>
    <row r="556556" spans="12:13" x14ac:dyDescent="0.25">
      <c r="L556556" s="472"/>
      <c r="M556556" s="472"/>
    </row>
    <row r="556557" spans="12:13" x14ac:dyDescent="0.25">
      <c r="L556557" s="472"/>
      <c r="M556557" s="472"/>
    </row>
    <row r="556629" spans="12:13" x14ac:dyDescent="0.25">
      <c r="L556629" s="472"/>
      <c r="M556629" s="472"/>
    </row>
    <row r="556630" spans="12:13" x14ac:dyDescent="0.25">
      <c r="L556630" s="472"/>
      <c r="M556630" s="472"/>
    </row>
    <row r="556631" spans="12:13" x14ac:dyDescent="0.25">
      <c r="L556631" s="472"/>
      <c r="M556631" s="472"/>
    </row>
    <row r="556703" spans="12:13" x14ac:dyDescent="0.25">
      <c r="L556703" s="472"/>
      <c r="M556703" s="472"/>
    </row>
    <row r="556704" spans="12:13" x14ac:dyDescent="0.25">
      <c r="L556704" s="472"/>
      <c r="M556704" s="472"/>
    </row>
    <row r="556705" spans="12:13" x14ac:dyDescent="0.25">
      <c r="L556705" s="472"/>
      <c r="M556705" s="472"/>
    </row>
    <row r="556777" spans="12:13" x14ac:dyDescent="0.25">
      <c r="L556777" s="472"/>
      <c r="M556777" s="472"/>
    </row>
    <row r="556778" spans="12:13" x14ac:dyDescent="0.25">
      <c r="L556778" s="472"/>
      <c r="M556778" s="472"/>
    </row>
    <row r="556779" spans="12:13" x14ac:dyDescent="0.25">
      <c r="L556779" s="472"/>
      <c r="M556779" s="472"/>
    </row>
    <row r="556851" spans="12:13" x14ac:dyDescent="0.25">
      <c r="L556851" s="472"/>
      <c r="M556851" s="472"/>
    </row>
    <row r="556852" spans="12:13" x14ac:dyDescent="0.25">
      <c r="L556852" s="472"/>
      <c r="M556852" s="472"/>
    </row>
    <row r="556853" spans="12:13" x14ac:dyDescent="0.25">
      <c r="L556853" s="472"/>
      <c r="M556853" s="472"/>
    </row>
    <row r="556925" spans="12:13" x14ac:dyDescent="0.25">
      <c r="L556925" s="472"/>
      <c r="M556925" s="472"/>
    </row>
    <row r="556926" spans="12:13" x14ac:dyDescent="0.25">
      <c r="L556926" s="472"/>
      <c r="M556926" s="472"/>
    </row>
    <row r="556927" spans="12:13" x14ac:dyDescent="0.25">
      <c r="L556927" s="472"/>
      <c r="M556927" s="472"/>
    </row>
    <row r="556999" spans="12:13" x14ac:dyDescent="0.25">
      <c r="L556999" s="472"/>
      <c r="M556999" s="472"/>
    </row>
    <row r="557000" spans="12:13" x14ac:dyDescent="0.25">
      <c r="L557000" s="472"/>
      <c r="M557000" s="472"/>
    </row>
    <row r="557001" spans="12:13" x14ac:dyDescent="0.25">
      <c r="L557001" s="472"/>
      <c r="M557001" s="472"/>
    </row>
    <row r="557073" spans="12:13" x14ac:dyDescent="0.25">
      <c r="L557073" s="472"/>
      <c r="M557073" s="472"/>
    </row>
    <row r="557074" spans="12:13" x14ac:dyDescent="0.25">
      <c r="L557074" s="472"/>
      <c r="M557074" s="472"/>
    </row>
    <row r="557075" spans="12:13" x14ac:dyDescent="0.25">
      <c r="L557075" s="472"/>
      <c r="M557075" s="472"/>
    </row>
    <row r="557147" spans="12:13" x14ac:dyDescent="0.25">
      <c r="L557147" s="472"/>
      <c r="M557147" s="472"/>
    </row>
    <row r="557148" spans="12:13" x14ac:dyDescent="0.25">
      <c r="L557148" s="472"/>
      <c r="M557148" s="472"/>
    </row>
    <row r="557149" spans="12:13" x14ac:dyDescent="0.25">
      <c r="L557149" s="472"/>
      <c r="M557149" s="472"/>
    </row>
    <row r="557221" spans="12:13" x14ac:dyDescent="0.25">
      <c r="L557221" s="472"/>
      <c r="M557221" s="472"/>
    </row>
    <row r="557222" spans="12:13" x14ac:dyDescent="0.25">
      <c r="L557222" s="472"/>
      <c r="M557222" s="472"/>
    </row>
    <row r="557223" spans="12:13" x14ac:dyDescent="0.25">
      <c r="L557223" s="472"/>
      <c r="M557223" s="472"/>
    </row>
    <row r="557295" spans="12:13" x14ac:dyDescent="0.25">
      <c r="L557295" s="472"/>
      <c r="M557295" s="472"/>
    </row>
    <row r="557296" spans="12:13" x14ac:dyDescent="0.25">
      <c r="L557296" s="472"/>
      <c r="M557296" s="472"/>
    </row>
    <row r="557297" spans="12:13" x14ac:dyDescent="0.25">
      <c r="L557297" s="472"/>
      <c r="M557297" s="472"/>
    </row>
    <row r="557369" spans="12:13" x14ac:dyDescent="0.25">
      <c r="L557369" s="472"/>
      <c r="M557369" s="472"/>
    </row>
    <row r="557370" spans="12:13" x14ac:dyDescent="0.25">
      <c r="L557370" s="472"/>
      <c r="M557370" s="472"/>
    </row>
    <row r="557371" spans="12:13" x14ac:dyDescent="0.25">
      <c r="L557371" s="472"/>
      <c r="M557371" s="472"/>
    </row>
    <row r="557443" spans="12:13" x14ac:dyDescent="0.25">
      <c r="L557443" s="472"/>
      <c r="M557443" s="472"/>
    </row>
    <row r="557444" spans="12:13" x14ac:dyDescent="0.25">
      <c r="L557444" s="472"/>
      <c r="M557444" s="472"/>
    </row>
    <row r="557445" spans="12:13" x14ac:dyDescent="0.25">
      <c r="L557445" s="472"/>
      <c r="M557445" s="472"/>
    </row>
    <row r="557517" spans="12:13" x14ac:dyDescent="0.25">
      <c r="L557517" s="472"/>
      <c r="M557517" s="472"/>
    </row>
    <row r="557518" spans="12:13" x14ac:dyDescent="0.25">
      <c r="L557518" s="472"/>
      <c r="M557518" s="472"/>
    </row>
    <row r="557519" spans="12:13" x14ac:dyDescent="0.25">
      <c r="L557519" s="472"/>
      <c r="M557519" s="472"/>
    </row>
    <row r="557591" spans="12:13" x14ac:dyDescent="0.25">
      <c r="L557591" s="472"/>
      <c r="M557591" s="472"/>
    </row>
    <row r="557592" spans="12:13" x14ac:dyDescent="0.25">
      <c r="L557592" s="472"/>
      <c r="M557592" s="472"/>
    </row>
    <row r="557593" spans="12:13" x14ac:dyDescent="0.25">
      <c r="L557593" s="472"/>
      <c r="M557593" s="472"/>
    </row>
    <row r="557665" spans="12:13" x14ac:dyDescent="0.25">
      <c r="L557665" s="472"/>
      <c r="M557665" s="472"/>
    </row>
    <row r="557666" spans="12:13" x14ac:dyDescent="0.25">
      <c r="L557666" s="472"/>
      <c r="M557666" s="472"/>
    </row>
    <row r="557667" spans="12:13" x14ac:dyDescent="0.25">
      <c r="L557667" s="472"/>
      <c r="M557667" s="472"/>
    </row>
    <row r="557739" spans="12:13" x14ac:dyDescent="0.25">
      <c r="L557739" s="472"/>
      <c r="M557739" s="472"/>
    </row>
    <row r="557740" spans="12:13" x14ac:dyDescent="0.25">
      <c r="L557740" s="472"/>
      <c r="M557740" s="472"/>
    </row>
    <row r="557741" spans="12:13" x14ac:dyDescent="0.25">
      <c r="L557741" s="472"/>
      <c r="M557741" s="472"/>
    </row>
    <row r="557813" spans="12:13" x14ac:dyDescent="0.25">
      <c r="L557813" s="472"/>
      <c r="M557813" s="472"/>
    </row>
    <row r="557814" spans="12:13" x14ac:dyDescent="0.25">
      <c r="L557814" s="472"/>
      <c r="M557814" s="472"/>
    </row>
    <row r="557815" spans="12:13" x14ac:dyDescent="0.25">
      <c r="L557815" s="472"/>
      <c r="M557815" s="472"/>
    </row>
    <row r="557887" spans="12:13" x14ac:dyDescent="0.25">
      <c r="L557887" s="472"/>
      <c r="M557887" s="472"/>
    </row>
    <row r="557888" spans="12:13" x14ac:dyDescent="0.25">
      <c r="L557888" s="472"/>
      <c r="M557888" s="472"/>
    </row>
    <row r="557889" spans="12:13" x14ac:dyDescent="0.25">
      <c r="L557889" s="472"/>
      <c r="M557889" s="472"/>
    </row>
    <row r="557961" spans="12:13" x14ac:dyDescent="0.25">
      <c r="L557961" s="472"/>
      <c r="M557961" s="472"/>
    </row>
    <row r="557962" spans="12:13" x14ac:dyDescent="0.25">
      <c r="L557962" s="472"/>
      <c r="M557962" s="472"/>
    </row>
    <row r="557963" spans="12:13" x14ac:dyDescent="0.25">
      <c r="L557963" s="472"/>
      <c r="M557963" s="472"/>
    </row>
    <row r="558035" spans="12:13" x14ac:dyDescent="0.25">
      <c r="L558035" s="472"/>
      <c r="M558035" s="472"/>
    </row>
    <row r="558036" spans="12:13" x14ac:dyDescent="0.25">
      <c r="L558036" s="472"/>
      <c r="M558036" s="472"/>
    </row>
    <row r="558037" spans="12:13" x14ac:dyDescent="0.25">
      <c r="L558037" s="472"/>
      <c r="M558037" s="472"/>
    </row>
    <row r="558109" spans="12:13" x14ac:dyDescent="0.25">
      <c r="L558109" s="472"/>
      <c r="M558109" s="472"/>
    </row>
    <row r="558110" spans="12:13" x14ac:dyDescent="0.25">
      <c r="L558110" s="472"/>
      <c r="M558110" s="472"/>
    </row>
    <row r="558111" spans="12:13" x14ac:dyDescent="0.25">
      <c r="L558111" s="472"/>
      <c r="M558111" s="472"/>
    </row>
    <row r="558183" spans="12:13" x14ac:dyDescent="0.25">
      <c r="L558183" s="472"/>
      <c r="M558183" s="472"/>
    </row>
    <row r="558184" spans="12:13" x14ac:dyDescent="0.25">
      <c r="L558184" s="472"/>
      <c r="M558184" s="472"/>
    </row>
    <row r="558185" spans="12:13" x14ac:dyDescent="0.25">
      <c r="L558185" s="472"/>
      <c r="M558185" s="472"/>
    </row>
    <row r="558257" spans="12:13" x14ac:dyDescent="0.25">
      <c r="L558257" s="472"/>
      <c r="M558257" s="472"/>
    </row>
    <row r="558258" spans="12:13" x14ac:dyDescent="0.25">
      <c r="L558258" s="472"/>
      <c r="M558258" s="472"/>
    </row>
    <row r="558259" spans="12:13" x14ac:dyDescent="0.25">
      <c r="L558259" s="472"/>
      <c r="M558259" s="472"/>
    </row>
    <row r="558331" spans="12:13" x14ac:dyDescent="0.25">
      <c r="L558331" s="472"/>
      <c r="M558331" s="472"/>
    </row>
    <row r="558332" spans="12:13" x14ac:dyDescent="0.25">
      <c r="L558332" s="472"/>
      <c r="M558332" s="472"/>
    </row>
    <row r="558333" spans="12:13" x14ac:dyDescent="0.25">
      <c r="L558333" s="472"/>
      <c r="M558333" s="472"/>
    </row>
    <row r="558405" spans="12:13" x14ac:dyDescent="0.25">
      <c r="L558405" s="472"/>
      <c r="M558405" s="472"/>
    </row>
    <row r="558406" spans="12:13" x14ac:dyDescent="0.25">
      <c r="L558406" s="472"/>
      <c r="M558406" s="472"/>
    </row>
    <row r="558407" spans="12:13" x14ac:dyDescent="0.25">
      <c r="L558407" s="472"/>
      <c r="M558407" s="472"/>
    </row>
    <row r="558479" spans="12:13" x14ac:dyDescent="0.25">
      <c r="L558479" s="472"/>
      <c r="M558479" s="472"/>
    </row>
    <row r="558480" spans="12:13" x14ac:dyDescent="0.25">
      <c r="L558480" s="472"/>
      <c r="M558480" s="472"/>
    </row>
    <row r="558481" spans="12:13" x14ac:dyDescent="0.25">
      <c r="L558481" s="472"/>
      <c r="M558481" s="472"/>
    </row>
    <row r="558553" spans="12:13" x14ac:dyDescent="0.25">
      <c r="L558553" s="472"/>
      <c r="M558553" s="472"/>
    </row>
    <row r="558554" spans="12:13" x14ac:dyDescent="0.25">
      <c r="L558554" s="472"/>
      <c r="M558554" s="472"/>
    </row>
    <row r="558555" spans="12:13" x14ac:dyDescent="0.25">
      <c r="L558555" s="472"/>
      <c r="M558555" s="472"/>
    </row>
    <row r="558627" spans="12:13" x14ac:dyDescent="0.25">
      <c r="L558627" s="472"/>
      <c r="M558627" s="472"/>
    </row>
    <row r="558628" spans="12:13" x14ac:dyDescent="0.25">
      <c r="L558628" s="472"/>
      <c r="M558628" s="472"/>
    </row>
    <row r="558629" spans="12:13" x14ac:dyDescent="0.25">
      <c r="L558629" s="472"/>
      <c r="M558629" s="472"/>
    </row>
    <row r="558701" spans="12:13" x14ac:dyDescent="0.25">
      <c r="L558701" s="472"/>
      <c r="M558701" s="472"/>
    </row>
    <row r="558702" spans="12:13" x14ac:dyDescent="0.25">
      <c r="L558702" s="472"/>
      <c r="M558702" s="472"/>
    </row>
    <row r="558703" spans="12:13" x14ac:dyDescent="0.25">
      <c r="L558703" s="472"/>
      <c r="M558703" s="472"/>
    </row>
    <row r="558775" spans="12:13" x14ac:dyDescent="0.25">
      <c r="L558775" s="472"/>
      <c r="M558775" s="472"/>
    </row>
    <row r="558776" spans="12:13" x14ac:dyDescent="0.25">
      <c r="L558776" s="472"/>
      <c r="M558776" s="472"/>
    </row>
    <row r="558777" spans="12:13" x14ac:dyDescent="0.25">
      <c r="L558777" s="472"/>
      <c r="M558777" s="472"/>
    </row>
    <row r="558849" spans="12:13" x14ac:dyDescent="0.25">
      <c r="L558849" s="472"/>
      <c r="M558849" s="472"/>
    </row>
    <row r="558850" spans="12:13" x14ac:dyDescent="0.25">
      <c r="L558850" s="472"/>
      <c r="M558850" s="472"/>
    </row>
    <row r="558851" spans="12:13" x14ac:dyDescent="0.25">
      <c r="L558851" s="472"/>
      <c r="M558851" s="472"/>
    </row>
    <row r="558923" spans="12:13" x14ac:dyDescent="0.25">
      <c r="L558923" s="472"/>
      <c r="M558923" s="472"/>
    </row>
    <row r="558924" spans="12:13" x14ac:dyDescent="0.25">
      <c r="L558924" s="472"/>
      <c r="M558924" s="472"/>
    </row>
    <row r="558925" spans="12:13" x14ac:dyDescent="0.25">
      <c r="L558925" s="472"/>
      <c r="M558925" s="472"/>
    </row>
    <row r="558997" spans="12:13" x14ac:dyDescent="0.25">
      <c r="L558997" s="472"/>
      <c r="M558997" s="472"/>
    </row>
    <row r="558998" spans="12:13" x14ac:dyDescent="0.25">
      <c r="L558998" s="472"/>
      <c r="M558998" s="472"/>
    </row>
    <row r="558999" spans="12:13" x14ac:dyDescent="0.25">
      <c r="L558999" s="472"/>
      <c r="M558999" s="472"/>
    </row>
    <row r="559071" spans="12:13" x14ac:dyDescent="0.25">
      <c r="L559071" s="472"/>
      <c r="M559071" s="472"/>
    </row>
    <row r="559072" spans="12:13" x14ac:dyDescent="0.25">
      <c r="L559072" s="472"/>
      <c r="M559072" s="472"/>
    </row>
    <row r="559073" spans="12:13" x14ac:dyDescent="0.25">
      <c r="L559073" s="472"/>
      <c r="M559073" s="472"/>
    </row>
    <row r="559145" spans="12:13" x14ac:dyDescent="0.25">
      <c r="L559145" s="472"/>
      <c r="M559145" s="472"/>
    </row>
    <row r="559146" spans="12:13" x14ac:dyDescent="0.25">
      <c r="L559146" s="472"/>
      <c r="M559146" s="472"/>
    </row>
    <row r="559147" spans="12:13" x14ac:dyDescent="0.25">
      <c r="L559147" s="472"/>
      <c r="M559147" s="472"/>
    </row>
    <row r="559219" spans="12:13" x14ac:dyDescent="0.25">
      <c r="L559219" s="472"/>
      <c r="M559219" s="472"/>
    </row>
    <row r="559220" spans="12:13" x14ac:dyDescent="0.25">
      <c r="L559220" s="472"/>
      <c r="M559220" s="472"/>
    </row>
    <row r="559221" spans="12:13" x14ac:dyDescent="0.25">
      <c r="L559221" s="472"/>
      <c r="M559221" s="472"/>
    </row>
    <row r="559293" spans="12:13" x14ac:dyDescent="0.25">
      <c r="L559293" s="472"/>
      <c r="M559293" s="472"/>
    </row>
    <row r="559294" spans="12:13" x14ac:dyDescent="0.25">
      <c r="L559294" s="472"/>
      <c r="M559294" s="472"/>
    </row>
    <row r="559295" spans="12:13" x14ac:dyDescent="0.25">
      <c r="L559295" s="472"/>
      <c r="M559295" s="472"/>
    </row>
    <row r="559367" spans="12:13" x14ac:dyDescent="0.25">
      <c r="L559367" s="472"/>
      <c r="M559367" s="472"/>
    </row>
    <row r="559368" spans="12:13" x14ac:dyDescent="0.25">
      <c r="L559368" s="472"/>
      <c r="M559368" s="472"/>
    </row>
    <row r="559369" spans="12:13" x14ac:dyDescent="0.25">
      <c r="L559369" s="472"/>
      <c r="M559369" s="472"/>
    </row>
    <row r="559441" spans="12:13" x14ac:dyDescent="0.25">
      <c r="L559441" s="472"/>
      <c r="M559441" s="472"/>
    </row>
    <row r="559442" spans="12:13" x14ac:dyDescent="0.25">
      <c r="L559442" s="472"/>
      <c r="M559442" s="472"/>
    </row>
    <row r="559443" spans="12:13" x14ac:dyDescent="0.25">
      <c r="L559443" s="472"/>
      <c r="M559443" s="472"/>
    </row>
    <row r="559515" spans="12:13" x14ac:dyDescent="0.25">
      <c r="L559515" s="472"/>
      <c r="M559515" s="472"/>
    </row>
    <row r="559516" spans="12:13" x14ac:dyDescent="0.25">
      <c r="L559516" s="472"/>
      <c r="M559516" s="472"/>
    </row>
    <row r="559517" spans="12:13" x14ac:dyDescent="0.25">
      <c r="L559517" s="472"/>
      <c r="M559517" s="472"/>
    </row>
    <row r="559589" spans="12:13" x14ac:dyDescent="0.25">
      <c r="L559589" s="472"/>
      <c r="M559589" s="472"/>
    </row>
    <row r="559590" spans="12:13" x14ac:dyDescent="0.25">
      <c r="L559590" s="472"/>
      <c r="M559590" s="472"/>
    </row>
    <row r="559591" spans="12:13" x14ac:dyDescent="0.25">
      <c r="L559591" s="472"/>
      <c r="M559591" s="472"/>
    </row>
    <row r="559663" spans="12:13" x14ac:dyDescent="0.25">
      <c r="L559663" s="472"/>
      <c r="M559663" s="472"/>
    </row>
    <row r="559664" spans="12:13" x14ac:dyDescent="0.25">
      <c r="L559664" s="472"/>
      <c r="M559664" s="472"/>
    </row>
    <row r="559665" spans="12:13" x14ac:dyDescent="0.25">
      <c r="L559665" s="472"/>
      <c r="M559665" s="472"/>
    </row>
    <row r="559737" spans="12:13" x14ac:dyDescent="0.25">
      <c r="L559737" s="472"/>
      <c r="M559737" s="472"/>
    </row>
    <row r="559738" spans="12:13" x14ac:dyDescent="0.25">
      <c r="L559738" s="472"/>
      <c r="M559738" s="472"/>
    </row>
    <row r="559739" spans="12:13" x14ac:dyDescent="0.25">
      <c r="L559739" s="472"/>
      <c r="M559739" s="472"/>
    </row>
    <row r="559811" spans="12:13" x14ac:dyDescent="0.25">
      <c r="L559811" s="472"/>
      <c r="M559811" s="472"/>
    </row>
    <row r="559812" spans="12:13" x14ac:dyDescent="0.25">
      <c r="L559812" s="472"/>
      <c r="M559812" s="472"/>
    </row>
    <row r="559813" spans="12:13" x14ac:dyDescent="0.25">
      <c r="L559813" s="472"/>
      <c r="M559813" s="472"/>
    </row>
    <row r="559885" spans="12:13" x14ac:dyDescent="0.25">
      <c r="L559885" s="472"/>
      <c r="M559885" s="472"/>
    </row>
    <row r="559886" spans="12:13" x14ac:dyDescent="0.25">
      <c r="L559886" s="472"/>
      <c r="M559886" s="472"/>
    </row>
    <row r="559887" spans="12:13" x14ac:dyDescent="0.25">
      <c r="L559887" s="472"/>
      <c r="M559887" s="472"/>
    </row>
    <row r="559959" spans="12:13" x14ac:dyDescent="0.25">
      <c r="L559959" s="472"/>
      <c r="M559959" s="472"/>
    </row>
    <row r="559960" spans="12:13" x14ac:dyDescent="0.25">
      <c r="L559960" s="472"/>
      <c r="M559960" s="472"/>
    </row>
    <row r="559961" spans="12:13" x14ac:dyDescent="0.25">
      <c r="L559961" s="472"/>
      <c r="M559961" s="472"/>
    </row>
    <row r="560033" spans="12:13" x14ac:dyDescent="0.25">
      <c r="L560033" s="472"/>
      <c r="M560033" s="472"/>
    </row>
    <row r="560034" spans="12:13" x14ac:dyDescent="0.25">
      <c r="L560034" s="472"/>
      <c r="M560034" s="472"/>
    </row>
    <row r="560035" spans="12:13" x14ac:dyDescent="0.25">
      <c r="L560035" s="472"/>
      <c r="M560035" s="472"/>
    </row>
    <row r="560107" spans="12:13" x14ac:dyDescent="0.25">
      <c r="L560107" s="472"/>
      <c r="M560107" s="472"/>
    </row>
    <row r="560108" spans="12:13" x14ac:dyDescent="0.25">
      <c r="L560108" s="472"/>
      <c r="M560108" s="472"/>
    </row>
    <row r="560109" spans="12:13" x14ac:dyDescent="0.25">
      <c r="L560109" s="472"/>
      <c r="M560109" s="472"/>
    </row>
    <row r="560181" spans="12:13" x14ac:dyDescent="0.25">
      <c r="L560181" s="472"/>
      <c r="M560181" s="472"/>
    </row>
    <row r="560182" spans="12:13" x14ac:dyDescent="0.25">
      <c r="L560182" s="472"/>
      <c r="M560182" s="472"/>
    </row>
    <row r="560183" spans="12:13" x14ac:dyDescent="0.25">
      <c r="L560183" s="472"/>
      <c r="M560183" s="472"/>
    </row>
    <row r="560255" spans="12:13" x14ac:dyDescent="0.25">
      <c r="L560255" s="472"/>
      <c r="M560255" s="472"/>
    </row>
    <row r="560256" spans="12:13" x14ac:dyDescent="0.25">
      <c r="L560256" s="472"/>
      <c r="M560256" s="472"/>
    </row>
    <row r="560257" spans="12:13" x14ac:dyDescent="0.25">
      <c r="L560257" s="472"/>
      <c r="M560257" s="472"/>
    </row>
    <row r="560329" spans="12:13" x14ac:dyDescent="0.25">
      <c r="L560329" s="472"/>
      <c r="M560329" s="472"/>
    </row>
    <row r="560330" spans="12:13" x14ac:dyDescent="0.25">
      <c r="L560330" s="472"/>
      <c r="M560330" s="472"/>
    </row>
    <row r="560331" spans="12:13" x14ac:dyDescent="0.25">
      <c r="L560331" s="472"/>
      <c r="M560331" s="472"/>
    </row>
    <row r="560403" spans="12:13" x14ac:dyDescent="0.25">
      <c r="L560403" s="472"/>
      <c r="M560403" s="472"/>
    </row>
    <row r="560404" spans="12:13" x14ac:dyDescent="0.25">
      <c r="L560404" s="472"/>
      <c r="M560404" s="472"/>
    </row>
    <row r="560405" spans="12:13" x14ac:dyDescent="0.25">
      <c r="L560405" s="472"/>
      <c r="M560405" s="472"/>
    </row>
    <row r="560477" spans="12:13" x14ac:dyDescent="0.25">
      <c r="L560477" s="472"/>
      <c r="M560477" s="472"/>
    </row>
    <row r="560478" spans="12:13" x14ac:dyDescent="0.25">
      <c r="L560478" s="472"/>
      <c r="M560478" s="472"/>
    </row>
    <row r="560479" spans="12:13" x14ac:dyDescent="0.25">
      <c r="L560479" s="472"/>
      <c r="M560479" s="472"/>
    </row>
    <row r="560551" spans="12:13" x14ac:dyDescent="0.25">
      <c r="L560551" s="472"/>
      <c r="M560551" s="472"/>
    </row>
    <row r="560552" spans="12:13" x14ac:dyDescent="0.25">
      <c r="L560552" s="472"/>
      <c r="M560552" s="472"/>
    </row>
    <row r="560553" spans="12:13" x14ac:dyDescent="0.25">
      <c r="L560553" s="472"/>
      <c r="M560553" s="472"/>
    </row>
    <row r="560625" spans="12:13" x14ac:dyDescent="0.25">
      <c r="L560625" s="472"/>
      <c r="M560625" s="472"/>
    </row>
    <row r="560626" spans="12:13" x14ac:dyDescent="0.25">
      <c r="L560626" s="472"/>
      <c r="M560626" s="472"/>
    </row>
    <row r="560627" spans="12:13" x14ac:dyDescent="0.25">
      <c r="L560627" s="472"/>
      <c r="M560627" s="472"/>
    </row>
    <row r="560699" spans="12:13" x14ac:dyDescent="0.25">
      <c r="L560699" s="472"/>
      <c r="M560699" s="472"/>
    </row>
    <row r="560700" spans="12:13" x14ac:dyDescent="0.25">
      <c r="L560700" s="472"/>
      <c r="M560700" s="472"/>
    </row>
    <row r="560701" spans="12:13" x14ac:dyDescent="0.25">
      <c r="L560701" s="472"/>
      <c r="M560701" s="472"/>
    </row>
    <row r="560773" spans="12:13" x14ac:dyDescent="0.25">
      <c r="L560773" s="472"/>
      <c r="M560773" s="472"/>
    </row>
    <row r="560774" spans="12:13" x14ac:dyDescent="0.25">
      <c r="L560774" s="472"/>
      <c r="M560774" s="472"/>
    </row>
    <row r="560775" spans="12:13" x14ac:dyDescent="0.25">
      <c r="L560775" s="472"/>
      <c r="M560775" s="472"/>
    </row>
    <row r="560847" spans="12:13" x14ac:dyDescent="0.25">
      <c r="L560847" s="472"/>
      <c r="M560847" s="472"/>
    </row>
    <row r="560848" spans="12:13" x14ac:dyDescent="0.25">
      <c r="L560848" s="472"/>
      <c r="M560848" s="472"/>
    </row>
    <row r="560849" spans="12:13" x14ac:dyDescent="0.25">
      <c r="L560849" s="472"/>
      <c r="M560849" s="472"/>
    </row>
    <row r="560921" spans="12:13" x14ac:dyDescent="0.25">
      <c r="L560921" s="472"/>
      <c r="M560921" s="472"/>
    </row>
    <row r="560922" spans="12:13" x14ac:dyDescent="0.25">
      <c r="L560922" s="472"/>
      <c r="M560922" s="472"/>
    </row>
    <row r="560923" spans="12:13" x14ac:dyDescent="0.25">
      <c r="L560923" s="472"/>
      <c r="M560923" s="472"/>
    </row>
    <row r="560995" spans="12:13" x14ac:dyDescent="0.25">
      <c r="L560995" s="472"/>
      <c r="M560995" s="472"/>
    </row>
    <row r="560996" spans="12:13" x14ac:dyDescent="0.25">
      <c r="L560996" s="472"/>
      <c r="M560996" s="472"/>
    </row>
    <row r="560997" spans="12:13" x14ac:dyDescent="0.25">
      <c r="L560997" s="472"/>
      <c r="M560997" s="472"/>
    </row>
    <row r="561069" spans="12:13" x14ac:dyDescent="0.25">
      <c r="L561069" s="472"/>
      <c r="M561069" s="472"/>
    </row>
    <row r="561070" spans="12:13" x14ac:dyDescent="0.25">
      <c r="L561070" s="472"/>
      <c r="M561070" s="472"/>
    </row>
    <row r="561071" spans="12:13" x14ac:dyDescent="0.25">
      <c r="L561071" s="472"/>
      <c r="M561071" s="472"/>
    </row>
    <row r="561143" spans="12:13" x14ac:dyDescent="0.25">
      <c r="L561143" s="472"/>
      <c r="M561143" s="472"/>
    </row>
    <row r="561144" spans="12:13" x14ac:dyDescent="0.25">
      <c r="L561144" s="472"/>
      <c r="M561144" s="472"/>
    </row>
    <row r="561145" spans="12:13" x14ac:dyDescent="0.25">
      <c r="L561145" s="472"/>
      <c r="M561145" s="472"/>
    </row>
    <row r="561217" spans="12:13" x14ac:dyDescent="0.25">
      <c r="L561217" s="472"/>
      <c r="M561217" s="472"/>
    </row>
    <row r="561218" spans="12:13" x14ac:dyDescent="0.25">
      <c r="L561218" s="472"/>
      <c r="M561218" s="472"/>
    </row>
    <row r="561219" spans="12:13" x14ac:dyDescent="0.25">
      <c r="L561219" s="472"/>
      <c r="M561219" s="472"/>
    </row>
    <row r="561291" spans="12:13" x14ac:dyDescent="0.25">
      <c r="L561291" s="472"/>
      <c r="M561291" s="472"/>
    </row>
    <row r="561292" spans="12:13" x14ac:dyDescent="0.25">
      <c r="L561292" s="472"/>
      <c r="M561292" s="472"/>
    </row>
    <row r="561293" spans="12:13" x14ac:dyDescent="0.25">
      <c r="L561293" s="472"/>
      <c r="M561293" s="472"/>
    </row>
    <row r="561365" spans="12:13" x14ac:dyDescent="0.25">
      <c r="L561365" s="472"/>
      <c r="M561365" s="472"/>
    </row>
    <row r="561366" spans="12:13" x14ac:dyDescent="0.25">
      <c r="L561366" s="472"/>
      <c r="M561366" s="472"/>
    </row>
    <row r="561367" spans="12:13" x14ac:dyDescent="0.25">
      <c r="L561367" s="472"/>
      <c r="M561367" s="472"/>
    </row>
    <row r="561439" spans="12:13" x14ac:dyDescent="0.25">
      <c r="L561439" s="472"/>
      <c r="M561439" s="472"/>
    </row>
    <row r="561440" spans="12:13" x14ac:dyDescent="0.25">
      <c r="L561440" s="472"/>
      <c r="M561440" s="472"/>
    </row>
    <row r="561441" spans="12:13" x14ac:dyDescent="0.25">
      <c r="L561441" s="472"/>
      <c r="M561441" s="472"/>
    </row>
    <row r="561513" spans="12:13" x14ac:dyDescent="0.25">
      <c r="L561513" s="472"/>
      <c r="M561513" s="472"/>
    </row>
    <row r="561514" spans="12:13" x14ac:dyDescent="0.25">
      <c r="L561514" s="472"/>
      <c r="M561514" s="472"/>
    </row>
    <row r="561515" spans="12:13" x14ac:dyDescent="0.25">
      <c r="L561515" s="472"/>
      <c r="M561515" s="472"/>
    </row>
    <row r="561587" spans="12:13" x14ac:dyDescent="0.25">
      <c r="L561587" s="472"/>
      <c r="M561587" s="472"/>
    </row>
    <row r="561588" spans="12:13" x14ac:dyDescent="0.25">
      <c r="L561588" s="472"/>
      <c r="M561588" s="472"/>
    </row>
    <row r="561589" spans="12:13" x14ac:dyDescent="0.25">
      <c r="L561589" s="472"/>
      <c r="M561589" s="472"/>
    </row>
    <row r="561661" spans="12:13" x14ac:dyDescent="0.25">
      <c r="L561661" s="472"/>
      <c r="M561661" s="472"/>
    </row>
    <row r="561662" spans="12:13" x14ac:dyDescent="0.25">
      <c r="L561662" s="472"/>
      <c r="M561662" s="472"/>
    </row>
    <row r="561663" spans="12:13" x14ac:dyDescent="0.25">
      <c r="L561663" s="472"/>
      <c r="M561663" s="472"/>
    </row>
    <row r="561735" spans="12:13" x14ac:dyDescent="0.25">
      <c r="L561735" s="472"/>
      <c r="M561735" s="472"/>
    </row>
    <row r="561736" spans="12:13" x14ac:dyDescent="0.25">
      <c r="L561736" s="472"/>
      <c r="M561736" s="472"/>
    </row>
    <row r="561737" spans="12:13" x14ac:dyDescent="0.25">
      <c r="L561737" s="472"/>
      <c r="M561737" s="472"/>
    </row>
    <row r="561809" spans="12:13" x14ac:dyDescent="0.25">
      <c r="L561809" s="472"/>
      <c r="M561809" s="472"/>
    </row>
    <row r="561810" spans="12:13" x14ac:dyDescent="0.25">
      <c r="L561810" s="472"/>
      <c r="M561810" s="472"/>
    </row>
    <row r="561811" spans="12:13" x14ac:dyDescent="0.25">
      <c r="L561811" s="472"/>
      <c r="M561811" s="472"/>
    </row>
    <row r="561883" spans="12:13" x14ac:dyDescent="0.25">
      <c r="L561883" s="472"/>
      <c r="M561883" s="472"/>
    </row>
    <row r="561884" spans="12:13" x14ac:dyDescent="0.25">
      <c r="L561884" s="472"/>
      <c r="M561884" s="472"/>
    </row>
    <row r="561885" spans="12:13" x14ac:dyDescent="0.25">
      <c r="L561885" s="472"/>
      <c r="M561885" s="472"/>
    </row>
    <row r="561957" spans="12:13" x14ac:dyDescent="0.25">
      <c r="L561957" s="472"/>
      <c r="M561957" s="472"/>
    </row>
    <row r="561958" spans="12:13" x14ac:dyDescent="0.25">
      <c r="L561958" s="472"/>
      <c r="M561958" s="472"/>
    </row>
    <row r="561959" spans="12:13" x14ac:dyDescent="0.25">
      <c r="L561959" s="472"/>
      <c r="M561959" s="472"/>
    </row>
    <row r="562031" spans="12:13" x14ac:dyDescent="0.25">
      <c r="L562031" s="472"/>
      <c r="M562031" s="472"/>
    </row>
    <row r="562032" spans="12:13" x14ac:dyDescent="0.25">
      <c r="L562032" s="472"/>
      <c r="M562032" s="472"/>
    </row>
    <row r="562033" spans="12:13" x14ac:dyDescent="0.25">
      <c r="L562033" s="472"/>
      <c r="M562033" s="472"/>
    </row>
    <row r="562105" spans="12:13" x14ac:dyDescent="0.25">
      <c r="L562105" s="472"/>
      <c r="M562105" s="472"/>
    </row>
    <row r="562106" spans="12:13" x14ac:dyDescent="0.25">
      <c r="L562106" s="472"/>
      <c r="M562106" s="472"/>
    </row>
    <row r="562107" spans="12:13" x14ac:dyDescent="0.25">
      <c r="L562107" s="472"/>
      <c r="M562107" s="472"/>
    </row>
    <row r="562179" spans="12:13" x14ac:dyDescent="0.25">
      <c r="L562179" s="472"/>
      <c r="M562179" s="472"/>
    </row>
    <row r="562180" spans="12:13" x14ac:dyDescent="0.25">
      <c r="L562180" s="472"/>
      <c r="M562180" s="472"/>
    </row>
    <row r="562181" spans="12:13" x14ac:dyDescent="0.25">
      <c r="L562181" s="472"/>
      <c r="M562181" s="472"/>
    </row>
    <row r="562253" spans="12:13" x14ac:dyDescent="0.25">
      <c r="L562253" s="472"/>
      <c r="M562253" s="472"/>
    </row>
    <row r="562254" spans="12:13" x14ac:dyDescent="0.25">
      <c r="L562254" s="472"/>
      <c r="M562254" s="472"/>
    </row>
    <row r="562255" spans="12:13" x14ac:dyDescent="0.25">
      <c r="L562255" s="472"/>
      <c r="M562255" s="472"/>
    </row>
    <row r="562327" spans="12:13" x14ac:dyDescent="0.25">
      <c r="L562327" s="472"/>
      <c r="M562327" s="472"/>
    </row>
    <row r="562328" spans="12:13" x14ac:dyDescent="0.25">
      <c r="L562328" s="472"/>
      <c r="M562328" s="472"/>
    </row>
    <row r="562329" spans="12:13" x14ac:dyDescent="0.25">
      <c r="L562329" s="472"/>
      <c r="M562329" s="472"/>
    </row>
    <row r="562401" spans="12:13" x14ac:dyDescent="0.25">
      <c r="L562401" s="472"/>
      <c r="M562401" s="472"/>
    </row>
    <row r="562402" spans="12:13" x14ac:dyDescent="0.25">
      <c r="L562402" s="472"/>
      <c r="M562402" s="472"/>
    </row>
    <row r="562403" spans="12:13" x14ac:dyDescent="0.25">
      <c r="L562403" s="472"/>
      <c r="M562403" s="472"/>
    </row>
    <row r="562475" spans="12:13" x14ac:dyDescent="0.25">
      <c r="L562475" s="472"/>
      <c r="M562475" s="472"/>
    </row>
    <row r="562476" spans="12:13" x14ac:dyDescent="0.25">
      <c r="L562476" s="472"/>
      <c r="M562476" s="472"/>
    </row>
    <row r="562477" spans="12:13" x14ac:dyDescent="0.25">
      <c r="L562477" s="472"/>
      <c r="M562477" s="472"/>
    </row>
    <row r="562549" spans="12:13" x14ac:dyDescent="0.25">
      <c r="L562549" s="472"/>
      <c r="M562549" s="472"/>
    </row>
    <row r="562550" spans="12:13" x14ac:dyDescent="0.25">
      <c r="L562550" s="472"/>
      <c r="M562550" s="472"/>
    </row>
    <row r="562551" spans="12:13" x14ac:dyDescent="0.25">
      <c r="L562551" s="472"/>
      <c r="M562551" s="472"/>
    </row>
    <row r="562623" spans="12:13" x14ac:dyDescent="0.25">
      <c r="L562623" s="472"/>
      <c r="M562623" s="472"/>
    </row>
    <row r="562624" spans="12:13" x14ac:dyDescent="0.25">
      <c r="L562624" s="472"/>
      <c r="M562624" s="472"/>
    </row>
    <row r="562625" spans="12:13" x14ac:dyDescent="0.25">
      <c r="L562625" s="472"/>
      <c r="M562625" s="472"/>
    </row>
    <row r="562697" spans="12:13" x14ac:dyDescent="0.25">
      <c r="L562697" s="472"/>
      <c r="M562697" s="472"/>
    </row>
    <row r="562698" spans="12:13" x14ac:dyDescent="0.25">
      <c r="L562698" s="472"/>
      <c r="M562698" s="472"/>
    </row>
    <row r="562699" spans="12:13" x14ac:dyDescent="0.25">
      <c r="L562699" s="472"/>
      <c r="M562699" s="472"/>
    </row>
    <row r="562771" spans="12:13" x14ac:dyDescent="0.25">
      <c r="L562771" s="472"/>
      <c r="M562771" s="472"/>
    </row>
    <row r="562772" spans="12:13" x14ac:dyDescent="0.25">
      <c r="L562772" s="472"/>
      <c r="M562772" s="472"/>
    </row>
    <row r="562773" spans="12:13" x14ac:dyDescent="0.25">
      <c r="L562773" s="472"/>
      <c r="M562773" s="472"/>
    </row>
    <row r="562845" spans="12:13" x14ac:dyDescent="0.25">
      <c r="L562845" s="472"/>
      <c r="M562845" s="472"/>
    </row>
    <row r="562846" spans="12:13" x14ac:dyDescent="0.25">
      <c r="L562846" s="472"/>
      <c r="M562846" s="472"/>
    </row>
    <row r="562847" spans="12:13" x14ac:dyDescent="0.25">
      <c r="L562847" s="472"/>
      <c r="M562847" s="472"/>
    </row>
    <row r="562919" spans="12:13" x14ac:dyDescent="0.25">
      <c r="L562919" s="472"/>
      <c r="M562919" s="472"/>
    </row>
    <row r="562920" spans="12:13" x14ac:dyDescent="0.25">
      <c r="L562920" s="472"/>
      <c r="M562920" s="472"/>
    </row>
    <row r="562921" spans="12:13" x14ac:dyDescent="0.25">
      <c r="L562921" s="472"/>
      <c r="M562921" s="472"/>
    </row>
    <row r="562993" spans="12:13" x14ac:dyDescent="0.25">
      <c r="L562993" s="472"/>
      <c r="M562993" s="472"/>
    </row>
    <row r="562994" spans="12:13" x14ac:dyDescent="0.25">
      <c r="L562994" s="472"/>
      <c r="M562994" s="472"/>
    </row>
    <row r="562995" spans="12:13" x14ac:dyDescent="0.25">
      <c r="L562995" s="472"/>
      <c r="M562995" s="472"/>
    </row>
    <row r="563067" spans="12:13" x14ac:dyDescent="0.25">
      <c r="L563067" s="472"/>
      <c r="M563067" s="472"/>
    </row>
    <row r="563068" spans="12:13" x14ac:dyDescent="0.25">
      <c r="L563068" s="472"/>
      <c r="M563068" s="472"/>
    </row>
    <row r="563069" spans="12:13" x14ac:dyDescent="0.25">
      <c r="L563069" s="472"/>
      <c r="M563069" s="472"/>
    </row>
    <row r="563141" spans="12:13" x14ac:dyDescent="0.25">
      <c r="L563141" s="472"/>
      <c r="M563141" s="472"/>
    </row>
    <row r="563142" spans="12:13" x14ac:dyDescent="0.25">
      <c r="L563142" s="472"/>
      <c r="M563142" s="472"/>
    </row>
    <row r="563143" spans="12:13" x14ac:dyDescent="0.25">
      <c r="L563143" s="472"/>
      <c r="M563143" s="472"/>
    </row>
    <row r="563215" spans="12:13" x14ac:dyDescent="0.25">
      <c r="L563215" s="472"/>
      <c r="M563215" s="472"/>
    </row>
    <row r="563216" spans="12:13" x14ac:dyDescent="0.25">
      <c r="L563216" s="472"/>
      <c r="M563216" s="472"/>
    </row>
    <row r="563217" spans="12:13" x14ac:dyDescent="0.25">
      <c r="L563217" s="472"/>
      <c r="M563217" s="472"/>
    </row>
    <row r="563289" spans="12:13" x14ac:dyDescent="0.25">
      <c r="L563289" s="472"/>
      <c r="M563289" s="472"/>
    </row>
    <row r="563290" spans="12:13" x14ac:dyDescent="0.25">
      <c r="L563290" s="472"/>
      <c r="M563290" s="472"/>
    </row>
    <row r="563291" spans="12:13" x14ac:dyDescent="0.25">
      <c r="L563291" s="472"/>
      <c r="M563291" s="472"/>
    </row>
    <row r="563363" spans="12:13" x14ac:dyDescent="0.25">
      <c r="L563363" s="472"/>
      <c r="M563363" s="472"/>
    </row>
    <row r="563364" spans="12:13" x14ac:dyDescent="0.25">
      <c r="L563364" s="472"/>
      <c r="M563364" s="472"/>
    </row>
    <row r="563365" spans="12:13" x14ac:dyDescent="0.25">
      <c r="L563365" s="472"/>
      <c r="M563365" s="472"/>
    </row>
    <row r="563437" spans="12:13" x14ac:dyDescent="0.25">
      <c r="L563437" s="472"/>
      <c r="M563437" s="472"/>
    </row>
    <row r="563438" spans="12:13" x14ac:dyDescent="0.25">
      <c r="L563438" s="472"/>
      <c r="M563438" s="472"/>
    </row>
    <row r="563439" spans="12:13" x14ac:dyDescent="0.25">
      <c r="L563439" s="472"/>
      <c r="M563439" s="472"/>
    </row>
    <row r="563511" spans="12:13" x14ac:dyDescent="0.25">
      <c r="L563511" s="472"/>
      <c r="M563511" s="472"/>
    </row>
    <row r="563512" spans="12:13" x14ac:dyDescent="0.25">
      <c r="L563512" s="472"/>
      <c r="M563512" s="472"/>
    </row>
    <row r="563513" spans="12:13" x14ac:dyDescent="0.25">
      <c r="L563513" s="472"/>
      <c r="M563513" s="472"/>
    </row>
    <row r="563585" spans="12:13" x14ac:dyDescent="0.25">
      <c r="L563585" s="472"/>
      <c r="M563585" s="472"/>
    </row>
    <row r="563586" spans="12:13" x14ac:dyDescent="0.25">
      <c r="L563586" s="472"/>
      <c r="M563586" s="472"/>
    </row>
    <row r="563587" spans="12:13" x14ac:dyDescent="0.25">
      <c r="L563587" s="472"/>
      <c r="M563587" s="472"/>
    </row>
    <row r="563659" spans="12:13" x14ac:dyDescent="0.25">
      <c r="L563659" s="472"/>
      <c r="M563659" s="472"/>
    </row>
    <row r="563660" spans="12:13" x14ac:dyDescent="0.25">
      <c r="L563660" s="472"/>
      <c r="M563660" s="472"/>
    </row>
    <row r="563661" spans="12:13" x14ac:dyDescent="0.25">
      <c r="L563661" s="472"/>
      <c r="M563661" s="472"/>
    </row>
    <row r="563733" spans="12:13" x14ac:dyDescent="0.25">
      <c r="L563733" s="472"/>
      <c r="M563733" s="472"/>
    </row>
    <row r="563734" spans="12:13" x14ac:dyDescent="0.25">
      <c r="L563734" s="472"/>
      <c r="M563734" s="472"/>
    </row>
    <row r="563735" spans="12:13" x14ac:dyDescent="0.25">
      <c r="L563735" s="472"/>
      <c r="M563735" s="472"/>
    </row>
    <row r="563807" spans="12:13" x14ac:dyDescent="0.25">
      <c r="L563807" s="472"/>
      <c r="M563807" s="472"/>
    </row>
    <row r="563808" spans="12:13" x14ac:dyDescent="0.25">
      <c r="L563808" s="472"/>
      <c r="M563808" s="472"/>
    </row>
    <row r="563809" spans="12:13" x14ac:dyDescent="0.25">
      <c r="L563809" s="472"/>
      <c r="M563809" s="472"/>
    </row>
    <row r="563881" spans="12:13" x14ac:dyDescent="0.25">
      <c r="L563881" s="472"/>
      <c r="M563881" s="472"/>
    </row>
    <row r="563882" spans="12:13" x14ac:dyDescent="0.25">
      <c r="L563882" s="472"/>
      <c r="M563882" s="472"/>
    </row>
    <row r="563883" spans="12:13" x14ac:dyDescent="0.25">
      <c r="L563883" s="472"/>
      <c r="M563883" s="472"/>
    </row>
    <row r="563955" spans="12:13" x14ac:dyDescent="0.25">
      <c r="L563955" s="472"/>
      <c r="M563955" s="472"/>
    </row>
    <row r="563956" spans="12:13" x14ac:dyDescent="0.25">
      <c r="L563956" s="472"/>
      <c r="M563956" s="472"/>
    </row>
    <row r="563957" spans="12:13" x14ac:dyDescent="0.25">
      <c r="L563957" s="472"/>
      <c r="M563957" s="472"/>
    </row>
    <row r="564029" spans="12:13" x14ac:dyDescent="0.25">
      <c r="L564029" s="472"/>
      <c r="M564029" s="472"/>
    </row>
    <row r="564030" spans="12:13" x14ac:dyDescent="0.25">
      <c r="L564030" s="472"/>
      <c r="M564030" s="472"/>
    </row>
    <row r="564031" spans="12:13" x14ac:dyDescent="0.25">
      <c r="L564031" s="472"/>
      <c r="M564031" s="472"/>
    </row>
    <row r="564103" spans="12:13" x14ac:dyDescent="0.25">
      <c r="L564103" s="472"/>
      <c r="M564103" s="472"/>
    </row>
    <row r="564104" spans="12:13" x14ac:dyDescent="0.25">
      <c r="L564104" s="472"/>
      <c r="M564104" s="472"/>
    </row>
    <row r="564105" spans="12:13" x14ac:dyDescent="0.25">
      <c r="L564105" s="472"/>
      <c r="M564105" s="472"/>
    </row>
    <row r="564177" spans="12:13" x14ac:dyDescent="0.25">
      <c r="L564177" s="472"/>
      <c r="M564177" s="472"/>
    </row>
    <row r="564178" spans="12:13" x14ac:dyDescent="0.25">
      <c r="L564178" s="472"/>
      <c r="M564178" s="472"/>
    </row>
    <row r="564179" spans="12:13" x14ac:dyDescent="0.25">
      <c r="L564179" s="472"/>
      <c r="M564179" s="472"/>
    </row>
    <row r="564251" spans="12:13" x14ac:dyDescent="0.25">
      <c r="L564251" s="472"/>
      <c r="M564251" s="472"/>
    </row>
    <row r="564252" spans="12:13" x14ac:dyDescent="0.25">
      <c r="L564252" s="472"/>
      <c r="M564252" s="472"/>
    </row>
    <row r="564253" spans="12:13" x14ac:dyDescent="0.25">
      <c r="L564253" s="472"/>
      <c r="M564253" s="472"/>
    </row>
    <row r="564325" spans="12:13" x14ac:dyDescent="0.25">
      <c r="L564325" s="472"/>
      <c r="M564325" s="472"/>
    </row>
    <row r="564326" spans="12:13" x14ac:dyDescent="0.25">
      <c r="L564326" s="472"/>
      <c r="M564326" s="472"/>
    </row>
    <row r="564327" spans="12:13" x14ac:dyDescent="0.25">
      <c r="L564327" s="472"/>
      <c r="M564327" s="472"/>
    </row>
    <row r="564399" spans="12:13" x14ac:dyDescent="0.25">
      <c r="L564399" s="472"/>
      <c r="M564399" s="472"/>
    </row>
    <row r="564400" spans="12:13" x14ac:dyDescent="0.25">
      <c r="L564400" s="472"/>
      <c r="M564400" s="472"/>
    </row>
    <row r="564401" spans="12:13" x14ac:dyDescent="0.25">
      <c r="L564401" s="472"/>
      <c r="M564401" s="472"/>
    </row>
    <row r="564473" spans="12:13" x14ac:dyDescent="0.25">
      <c r="L564473" s="472"/>
      <c r="M564473" s="472"/>
    </row>
    <row r="564474" spans="12:13" x14ac:dyDescent="0.25">
      <c r="L564474" s="472"/>
      <c r="M564474" s="472"/>
    </row>
    <row r="564475" spans="12:13" x14ac:dyDescent="0.25">
      <c r="L564475" s="472"/>
      <c r="M564475" s="472"/>
    </row>
    <row r="564547" spans="12:13" x14ac:dyDescent="0.25">
      <c r="L564547" s="472"/>
      <c r="M564547" s="472"/>
    </row>
    <row r="564548" spans="12:13" x14ac:dyDescent="0.25">
      <c r="L564548" s="472"/>
      <c r="M564548" s="472"/>
    </row>
    <row r="564549" spans="12:13" x14ac:dyDescent="0.25">
      <c r="L564549" s="472"/>
      <c r="M564549" s="472"/>
    </row>
    <row r="564621" spans="12:13" x14ac:dyDescent="0.25">
      <c r="L564621" s="472"/>
      <c r="M564621" s="472"/>
    </row>
    <row r="564622" spans="12:13" x14ac:dyDescent="0.25">
      <c r="L564622" s="472"/>
      <c r="M564622" s="472"/>
    </row>
    <row r="564623" spans="12:13" x14ac:dyDescent="0.25">
      <c r="L564623" s="472"/>
      <c r="M564623" s="472"/>
    </row>
    <row r="564695" spans="12:13" x14ac:dyDescent="0.25">
      <c r="L564695" s="472"/>
      <c r="M564695" s="472"/>
    </row>
    <row r="564696" spans="12:13" x14ac:dyDescent="0.25">
      <c r="L564696" s="472"/>
      <c r="M564696" s="472"/>
    </row>
    <row r="564697" spans="12:13" x14ac:dyDescent="0.25">
      <c r="L564697" s="472"/>
      <c r="M564697" s="472"/>
    </row>
    <row r="564769" spans="12:13" x14ac:dyDescent="0.25">
      <c r="L564769" s="472"/>
      <c r="M564769" s="472"/>
    </row>
    <row r="564770" spans="12:13" x14ac:dyDescent="0.25">
      <c r="L564770" s="472"/>
      <c r="M564770" s="472"/>
    </row>
    <row r="564771" spans="12:13" x14ac:dyDescent="0.25">
      <c r="L564771" s="472"/>
      <c r="M564771" s="472"/>
    </row>
    <row r="564843" spans="12:13" x14ac:dyDescent="0.25">
      <c r="L564843" s="472"/>
      <c r="M564843" s="472"/>
    </row>
    <row r="564844" spans="12:13" x14ac:dyDescent="0.25">
      <c r="L564844" s="472"/>
      <c r="M564844" s="472"/>
    </row>
    <row r="564845" spans="12:13" x14ac:dyDescent="0.25">
      <c r="L564845" s="472"/>
      <c r="M564845" s="472"/>
    </row>
    <row r="564917" spans="12:13" x14ac:dyDescent="0.25">
      <c r="L564917" s="472"/>
      <c r="M564917" s="472"/>
    </row>
    <row r="564918" spans="12:13" x14ac:dyDescent="0.25">
      <c r="L564918" s="472"/>
      <c r="M564918" s="472"/>
    </row>
    <row r="564919" spans="12:13" x14ac:dyDescent="0.25">
      <c r="L564919" s="472"/>
      <c r="M564919" s="472"/>
    </row>
    <row r="564991" spans="12:13" x14ac:dyDescent="0.25">
      <c r="L564991" s="472"/>
      <c r="M564991" s="472"/>
    </row>
    <row r="564992" spans="12:13" x14ac:dyDescent="0.25">
      <c r="L564992" s="472"/>
      <c r="M564992" s="472"/>
    </row>
    <row r="564993" spans="12:13" x14ac:dyDescent="0.25">
      <c r="L564993" s="472"/>
      <c r="M564993" s="472"/>
    </row>
    <row r="565065" spans="12:13" x14ac:dyDescent="0.25">
      <c r="L565065" s="472"/>
      <c r="M565065" s="472"/>
    </row>
    <row r="565066" spans="12:13" x14ac:dyDescent="0.25">
      <c r="L565066" s="472"/>
      <c r="M565066" s="472"/>
    </row>
    <row r="565067" spans="12:13" x14ac:dyDescent="0.25">
      <c r="L565067" s="472"/>
      <c r="M565067" s="472"/>
    </row>
    <row r="565139" spans="12:13" x14ac:dyDescent="0.25">
      <c r="L565139" s="472"/>
      <c r="M565139" s="472"/>
    </row>
    <row r="565140" spans="12:13" x14ac:dyDescent="0.25">
      <c r="L565140" s="472"/>
      <c r="M565140" s="472"/>
    </row>
    <row r="565141" spans="12:13" x14ac:dyDescent="0.25">
      <c r="L565141" s="472"/>
      <c r="M565141" s="472"/>
    </row>
    <row r="565213" spans="12:13" x14ac:dyDescent="0.25">
      <c r="L565213" s="472"/>
      <c r="M565213" s="472"/>
    </row>
    <row r="565214" spans="12:13" x14ac:dyDescent="0.25">
      <c r="L565214" s="472"/>
      <c r="M565214" s="472"/>
    </row>
    <row r="565215" spans="12:13" x14ac:dyDescent="0.25">
      <c r="L565215" s="472"/>
      <c r="M565215" s="472"/>
    </row>
    <row r="565287" spans="12:13" x14ac:dyDescent="0.25">
      <c r="L565287" s="472"/>
      <c r="M565287" s="472"/>
    </row>
    <row r="565288" spans="12:13" x14ac:dyDescent="0.25">
      <c r="L565288" s="472"/>
      <c r="M565288" s="472"/>
    </row>
    <row r="565289" spans="12:13" x14ac:dyDescent="0.25">
      <c r="L565289" s="472"/>
      <c r="M565289" s="472"/>
    </row>
    <row r="565361" spans="12:13" x14ac:dyDescent="0.25">
      <c r="L565361" s="472"/>
      <c r="M565361" s="472"/>
    </row>
    <row r="565362" spans="12:13" x14ac:dyDescent="0.25">
      <c r="L565362" s="472"/>
      <c r="M565362" s="472"/>
    </row>
    <row r="565363" spans="12:13" x14ac:dyDescent="0.25">
      <c r="L565363" s="472"/>
      <c r="M565363" s="472"/>
    </row>
    <row r="565435" spans="12:13" x14ac:dyDescent="0.25">
      <c r="L565435" s="472"/>
      <c r="M565435" s="472"/>
    </row>
    <row r="565436" spans="12:13" x14ac:dyDescent="0.25">
      <c r="L565436" s="472"/>
      <c r="M565436" s="472"/>
    </row>
    <row r="565437" spans="12:13" x14ac:dyDescent="0.25">
      <c r="L565437" s="472"/>
      <c r="M565437" s="472"/>
    </row>
    <row r="565509" spans="12:13" x14ac:dyDescent="0.25">
      <c r="L565509" s="472"/>
      <c r="M565509" s="472"/>
    </row>
    <row r="565510" spans="12:13" x14ac:dyDescent="0.25">
      <c r="L565510" s="472"/>
      <c r="M565510" s="472"/>
    </row>
    <row r="565511" spans="12:13" x14ac:dyDescent="0.25">
      <c r="L565511" s="472"/>
      <c r="M565511" s="472"/>
    </row>
    <row r="565583" spans="12:13" x14ac:dyDescent="0.25">
      <c r="L565583" s="472"/>
      <c r="M565583" s="472"/>
    </row>
    <row r="565584" spans="12:13" x14ac:dyDescent="0.25">
      <c r="L565584" s="472"/>
      <c r="M565584" s="472"/>
    </row>
    <row r="565585" spans="12:13" x14ac:dyDescent="0.25">
      <c r="L565585" s="472"/>
      <c r="M565585" s="472"/>
    </row>
    <row r="565657" spans="12:13" x14ac:dyDescent="0.25">
      <c r="L565657" s="472"/>
      <c r="M565657" s="472"/>
    </row>
    <row r="565658" spans="12:13" x14ac:dyDescent="0.25">
      <c r="L565658" s="472"/>
      <c r="M565658" s="472"/>
    </row>
    <row r="565659" spans="12:13" x14ac:dyDescent="0.25">
      <c r="L565659" s="472"/>
      <c r="M565659" s="472"/>
    </row>
    <row r="565731" spans="12:13" x14ac:dyDescent="0.25">
      <c r="L565731" s="472"/>
      <c r="M565731" s="472"/>
    </row>
    <row r="565732" spans="12:13" x14ac:dyDescent="0.25">
      <c r="L565732" s="472"/>
      <c r="M565732" s="472"/>
    </row>
    <row r="565733" spans="12:13" x14ac:dyDescent="0.25">
      <c r="L565733" s="472"/>
      <c r="M565733" s="472"/>
    </row>
    <row r="565805" spans="12:13" x14ac:dyDescent="0.25">
      <c r="L565805" s="472"/>
      <c r="M565805" s="472"/>
    </row>
    <row r="565806" spans="12:13" x14ac:dyDescent="0.25">
      <c r="L565806" s="472"/>
      <c r="M565806" s="472"/>
    </row>
    <row r="565807" spans="12:13" x14ac:dyDescent="0.25">
      <c r="L565807" s="472"/>
      <c r="M565807" s="472"/>
    </row>
    <row r="565879" spans="12:13" x14ac:dyDescent="0.25">
      <c r="L565879" s="472"/>
      <c r="M565879" s="472"/>
    </row>
    <row r="565880" spans="12:13" x14ac:dyDescent="0.25">
      <c r="L565880" s="472"/>
      <c r="M565880" s="472"/>
    </row>
    <row r="565881" spans="12:13" x14ac:dyDescent="0.25">
      <c r="L565881" s="472"/>
      <c r="M565881" s="472"/>
    </row>
    <row r="565953" spans="12:13" x14ac:dyDescent="0.25">
      <c r="L565953" s="472"/>
      <c r="M565953" s="472"/>
    </row>
    <row r="565954" spans="12:13" x14ac:dyDescent="0.25">
      <c r="L565954" s="472"/>
      <c r="M565954" s="472"/>
    </row>
    <row r="565955" spans="12:13" x14ac:dyDescent="0.25">
      <c r="L565955" s="472"/>
      <c r="M565955" s="472"/>
    </row>
    <row r="566027" spans="12:13" x14ac:dyDescent="0.25">
      <c r="L566027" s="472"/>
      <c r="M566027" s="472"/>
    </row>
    <row r="566028" spans="12:13" x14ac:dyDescent="0.25">
      <c r="L566028" s="472"/>
      <c r="M566028" s="472"/>
    </row>
    <row r="566029" spans="12:13" x14ac:dyDescent="0.25">
      <c r="L566029" s="472"/>
      <c r="M566029" s="472"/>
    </row>
    <row r="566101" spans="12:13" x14ac:dyDescent="0.25">
      <c r="L566101" s="472"/>
      <c r="M566101" s="472"/>
    </row>
    <row r="566102" spans="12:13" x14ac:dyDescent="0.25">
      <c r="L566102" s="472"/>
      <c r="M566102" s="472"/>
    </row>
    <row r="566103" spans="12:13" x14ac:dyDescent="0.25">
      <c r="L566103" s="472"/>
      <c r="M566103" s="472"/>
    </row>
    <row r="566175" spans="12:13" x14ac:dyDescent="0.25">
      <c r="L566175" s="472"/>
      <c r="M566175" s="472"/>
    </row>
    <row r="566176" spans="12:13" x14ac:dyDescent="0.25">
      <c r="L566176" s="472"/>
      <c r="M566176" s="472"/>
    </row>
    <row r="566177" spans="12:13" x14ac:dyDescent="0.25">
      <c r="L566177" s="472"/>
      <c r="M566177" s="472"/>
    </row>
    <row r="566249" spans="12:13" x14ac:dyDescent="0.25">
      <c r="L566249" s="472"/>
      <c r="M566249" s="472"/>
    </row>
    <row r="566250" spans="12:13" x14ac:dyDescent="0.25">
      <c r="L566250" s="472"/>
      <c r="M566250" s="472"/>
    </row>
    <row r="566251" spans="12:13" x14ac:dyDescent="0.25">
      <c r="L566251" s="472"/>
      <c r="M566251" s="472"/>
    </row>
    <row r="566323" spans="12:13" x14ac:dyDescent="0.25">
      <c r="L566323" s="472"/>
      <c r="M566323" s="472"/>
    </row>
    <row r="566324" spans="12:13" x14ac:dyDescent="0.25">
      <c r="L566324" s="472"/>
      <c r="M566324" s="472"/>
    </row>
    <row r="566325" spans="12:13" x14ac:dyDescent="0.25">
      <c r="L566325" s="472"/>
      <c r="M566325" s="472"/>
    </row>
    <row r="566397" spans="12:13" x14ac:dyDescent="0.25">
      <c r="L566397" s="472"/>
      <c r="M566397" s="472"/>
    </row>
    <row r="566398" spans="12:13" x14ac:dyDescent="0.25">
      <c r="L566398" s="472"/>
      <c r="M566398" s="472"/>
    </row>
    <row r="566399" spans="12:13" x14ac:dyDescent="0.25">
      <c r="L566399" s="472"/>
      <c r="M566399" s="472"/>
    </row>
    <row r="566471" spans="12:13" x14ac:dyDescent="0.25">
      <c r="L566471" s="472"/>
      <c r="M566471" s="472"/>
    </row>
    <row r="566472" spans="12:13" x14ac:dyDescent="0.25">
      <c r="L566472" s="472"/>
      <c r="M566472" s="472"/>
    </row>
    <row r="566473" spans="12:13" x14ac:dyDescent="0.25">
      <c r="L566473" s="472"/>
      <c r="M566473" s="472"/>
    </row>
    <row r="566545" spans="12:13" x14ac:dyDescent="0.25">
      <c r="L566545" s="472"/>
      <c r="M566545" s="472"/>
    </row>
    <row r="566546" spans="12:13" x14ac:dyDescent="0.25">
      <c r="L566546" s="472"/>
      <c r="M566546" s="472"/>
    </row>
    <row r="566547" spans="12:13" x14ac:dyDescent="0.25">
      <c r="L566547" s="472"/>
      <c r="M566547" s="472"/>
    </row>
    <row r="566619" spans="12:13" x14ac:dyDescent="0.25">
      <c r="L566619" s="472"/>
      <c r="M566619" s="472"/>
    </row>
    <row r="566620" spans="12:13" x14ac:dyDescent="0.25">
      <c r="L566620" s="472"/>
      <c r="M566620" s="472"/>
    </row>
    <row r="566621" spans="12:13" x14ac:dyDescent="0.25">
      <c r="L566621" s="472"/>
      <c r="M566621" s="472"/>
    </row>
    <row r="566693" spans="12:13" x14ac:dyDescent="0.25">
      <c r="L566693" s="472"/>
      <c r="M566693" s="472"/>
    </row>
    <row r="566694" spans="12:13" x14ac:dyDescent="0.25">
      <c r="L566694" s="472"/>
      <c r="M566694" s="472"/>
    </row>
    <row r="566695" spans="12:13" x14ac:dyDescent="0.25">
      <c r="L566695" s="472"/>
      <c r="M566695" s="472"/>
    </row>
    <row r="566767" spans="12:13" x14ac:dyDescent="0.25">
      <c r="L566767" s="472"/>
      <c r="M566767" s="472"/>
    </row>
    <row r="566768" spans="12:13" x14ac:dyDescent="0.25">
      <c r="L566768" s="472"/>
      <c r="M566768" s="472"/>
    </row>
    <row r="566769" spans="12:13" x14ac:dyDescent="0.25">
      <c r="L566769" s="472"/>
      <c r="M566769" s="472"/>
    </row>
    <row r="566841" spans="12:13" x14ac:dyDescent="0.25">
      <c r="L566841" s="472"/>
      <c r="M566841" s="472"/>
    </row>
    <row r="566842" spans="12:13" x14ac:dyDescent="0.25">
      <c r="L566842" s="472"/>
      <c r="M566842" s="472"/>
    </row>
    <row r="566843" spans="12:13" x14ac:dyDescent="0.25">
      <c r="L566843" s="472"/>
      <c r="M566843" s="472"/>
    </row>
    <row r="566915" spans="12:13" x14ac:dyDescent="0.25">
      <c r="L566915" s="472"/>
      <c r="M566915" s="472"/>
    </row>
    <row r="566916" spans="12:13" x14ac:dyDescent="0.25">
      <c r="L566916" s="472"/>
      <c r="M566916" s="472"/>
    </row>
    <row r="566917" spans="12:13" x14ac:dyDescent="0.25">
      <c r="L566917" s="472"/>
      <c r="M566917" s="472"/>
    </row>
    <row r="566989" spans="12:13" x14ac:dyDescent="0.25">
      <c r="L566989" s="472"/>
      <c r="M566989" s="472"/>
    </row>
    <row r="566990" spans="12:13" x14ac:dyDescent="0.25">
      <c r="L566990" s="472"/>
      <c r="M566990" s="472"/>
    </row>
    <row r="566991" spans="12:13" x14ac:dyDescent="0.25">
      <c r="L566991" s="472"/>
      <c r="M566991" s="472"/>
    </row>
    <row r="567063" spans="12:13" x14ac:dyDescent="0.25">
      <c r="L567063" s="472"/>
      <c r="M567063" s="472"/>
    </row>
    <row r="567064" spans="12:13" x14ac:dyDescent="0.25">
      <c r="L567064" s="472"/>
      <c r="M567064" s="472"/>
    </row>
    <row r="567065" spans="12:13" x14ac:dyDescent="0.25">
      <c r="L567065" s="472"/>
      <c r="M567065" s="472"/>
    </row>
    <row r="567137" spans="12:13" x14ac:dyDescent="0.25">
      <c r="L567137" s="472"/>
      <c r="M567137" s="472"/>
    </row>
    <row r="567138" spans="12:13" x14ac:dyDescent="0.25">
      <c r="L567138" s="472"/>
      <c r="M567138" s="472"/>
    </row>
    <row r="567139" spans="12:13" x14ac:dyDescent="0.25">
      <c r="L567139" s="472"/>
      <c r="M567139" s="472"/>
    </row>
    <row r="567211" spans="12:13" x14ac:dyDescent="0.25">
      <c r="L567211" s="472"/>
      <c r="M567211" s="472"/>
    </row>
    <row r="567212" spans="12:13" x14ac:dyDescent="0.25">
      <c r="L567212" s="472"/>
      <c r="M567212" s="472"/>
    </row>
    <row r="567213" spans="12:13" x14ac:dyDescent="0.25">
      <c r="L567213" s="472"/>
      <c r="M567213" s="472"/>
    </row>
    <row r="567285" spans="12:13" x14ac:dyDescent="0.25">
      <c r="L567285" s="472"/>
      <c r="M567285" s="472"/>
    </row>
    <row r="567286" spans="12:13" x14ac:dyDescent="0.25">
      <c r="L567286" s="472"/>
      <c r="M567286" s="472"/>
    </row>
    <row r="567287" spans="12:13" x14ac:dyDescent="0.25">
      <c r="L567287" s="472"/>
      <c r="M567287" s="472"/>
    </row>
    <row r="567359" spans="12:13" x14ac:dyDescent="0.25">
      <c r="L567359" s="472"/>
      <c r="M567359" s="472"/>
    </row>
    <row r="567360" spans="12:13" x14ac:dyDescent="0.25">
      <c r="L567360" s="472"/>
      <c r="M567360" s="472"/>
    </row>
    <row r="567361" spans="12:13" x14ac:dyDescent="0.25">
      <c r="L567361" s="472"/>
      <c r="M567361" s="472"/>
    </row>
    <row r="567433" spans="12:13" x14ac:dyDescent="0.25">
      <c r="L567433" s="472"/>
      <c r="M567433" s="472"/>
    </row>
    <row r="567434" spans="12:13" x14ac:dyDescent="0.25">
      <c r="L567434" s="472"/>
      <c r="M567434" s="472"/>
    </row>
    <row r="567435" spans="12:13" x14ac:dyDescent="0.25">
      <c r="L567435" s="472"/>
      <c r="M567435" s="472"/>
    </row>
    <row r="567507" spans="12:13" x14ac:dyDescent="0.25">
      <c r="L567507" s="472"/>
      <c r="M567507" s="472"/>
    </row>
    <row r="567508" spans="12:13" x14ac:dyDescent="0.25">
      <c r="L567508" s="472"/>
      <c r="M567508" s="472"/>
    </row>
    <row r="567509" spans="12:13" x14ac:dyDescent="0.25">
      <c r="L567509" s="472"/>
      <c r="M567509" s="472"/>
    </row>
    <row r="567581" spans="12:13" x14ac:dyDescent="0.25">
      <c r="L567581" s="472"/>
      <c r="M567581" s="472"/>
    </row>
    <row r="567582" spans="12:13" x14ac:dyDescent="0.25">
      <c r="L567582" s="472"/>
      <c r="M567582" s="472"/>
    </row>
    <row r="567583" spans="12:13" x14ac:dyDescent="0.25">
      <c r="L567583" s="472"/>
      <c r="M567583" s="472"/>
    </row>
    <row r="567655" spans="12:13" x14ac:dyDescent="0.25">
      <c r="L567655" s="472"/>
      <c r="M567655" s="472"/>
    </row>
    <row r="567656" spans="12:13" x14ac:dyDescent="0.25">
      <c r="L567656" s="472"/>
      <c r="M567656" s="472"/>
    </row>
    <row r="567657" spans="12:13" x14ac:dyDescent="0.25">
      <c r="L567657" s="472"/>
      <c r="M567657" s="472"/>
    </row>
    <row r="567729" spans="12:13" x14ac:dyDescent="0.25">
      <c r="L567729" s="472"/>
      <c r="M567729" s="472"/>
    </row>
    <row r="567730" spans="12:13" x14ac:dyDescent="0.25">
      <c r="L567730" s="472"/>
      <c r="M567730" s="472"/>
    </row>
    <row r="567731" spans="12:13" x14ac:dyDescent="0.25">
      <c r="L567731" s="472"/>
      <c r="M567731" s="472"/>
    </row>
    <row r="567803" spans="12:13" x14ac:dyDescent="0.25">
      <c r="L567803" s="472"/>
      <c r="M567803" s="472"/>
    </row>
    <row r="567804" spans="12:13" x14ac:dyDescent="0.25">
      <c r="L567804" s="472"/>
      <c r="M567804" s="472"/>
    </row>
    <row r="567805" spans="12:13" x14ac:dyDescent="0.25">
      <c r="L567805" s="472"/>
      <c r="M567805" s="472"/>
    </row>
    <row r="567877" spans="12:13" x14ac:dyDescent="0.25">
      <c r="L567877" s="472"/>
      <c r="M567877" s="472"/>
    </row>
    <row r="567878" spans="12:13" x14ac:dyDescent="0.25">
      <c r="L567878" s="472"/>
      <c r="M567878" s="472"/>
    </row>
    <row r="567879" spans="12:13" x14ac:dyDescent="0.25">
      <c r="L567879" s="472"/>
      <c r="M567879" s="472"/>
    </row>
    <row r="567951" spans="12:13" x14ac:dyDescent="0.25">
      <c r="L567951" s="472"/>
      <c r="M567951" s="472"/>
    </row>
    <row r="567952" spans="12:13" x14ac:dyDescent="0.25">
      <c r="L567952" s="472"/>
      <c r="M567952" s="472"/>
    </row>
    <row r="567953" spans="12:13" x14ac:dyDescent="0.25">
      <c r="L567953" s="472"/>
      <c r="M567953" s="472"/>
    </row>
    <row r="568025" spans="12:13" x14ac:dyDescent="0.25">
      <c r="L568025" s="472"/>
      <c r="M568025" s="472"/>
    </row>
    <row r="568026" spans="12:13" x14ac:dyDescent="0.25">
      <c r="L568026" s="472"/>
      <c r="M568026" s="472"/>
    </row>
    <row r="568027" spans="12:13" x14ac:dyDescent="0.25">
      <c r="L568027" s="472"/>
      <c r="M568027" s="472"/>
    </row>
    <row r="568099" spans="12:13" x14ac:dyDescent="0.25">
      <c r="L568099" s="472"/>
      <c r="M568099" s="472"/>
    </row>
    <row r="568100" spans="12:13" x14ac:dyDescent="0.25">
      <c r="L568100" s="472"/>
      <c r="M568100" s="472"/>
    </row>
    <row r="568101" spans="12:13" x14ac:dyDescent="0.25">
      <c r="L568101" s="472"/>
      <c r="M568101" s="472"/>
    </row>
    <row r="568173" spans="12:13" x14ac:dyDescent="0.25">
      <c r="L568173" s="472"/>
      <c r="M568173" s="472"/>
    </row>
    <row r="568174" spans="12:13" x14ac:dyDescent="0.25">
      <c r="L568174" s="472"/>
      <c r="M568174" s="472"/>
    </row>
    <row r="568175" spans="12:13" x14ac:dyDescent="0.25">
      <c r="L568175" s="472"/>
      <c r="M568175" s="472"/>
    </row>
    <row r="568247" spans="12:13" x14ac:dyDescent="0.25">
      <c r="L568247" s="472"/>
      <c r="M568247" s="472"/>
    </row>
    <row r="568248" spans="12:13" x14ac:dyDescent="0.25">
      <c r="L568248" s="472"/>
      <c r="M568248" s="472"/>
    </row>
    <row r="568249" spans="12:13" x14ac:dyDescent="0.25">
      <c r="L568249" s="472"/>
      <c r="M568249" s="472"/>
    </row>
    <row r="568321" spans="12:13" x14ac:dyDescent="0.25">
      <c r="L568321" s="472"/>
      <c r="M568321" s="472"/>
    </row>
    <row r="568322" spans="12:13" x14ac:dyDescent="0.25">
      <c r="L568322" s="472"/>
      <c r="M568322" s="472"/>
    </row>
    <row r="568323" spans="12:13" x14ac:dyDescent="0.25">
      <c r="L568323" s="472"/>
      <c r="M568323" s="472"/>
    </row>
    <row r="568395" spans="12:13" x14ac:dyDescent="0.25">
      <c r="L568395" s="472"/>
      <c r="M568395" s="472"/>
    </row>
    <row r="568396" spans="12:13" x14ac:dyDescent="0.25">
      <c r="L568396" s="472"/>
      <c r="M568396" s="472"/>
    </row>
    <row r="568397" spans="12:13" x14ac:dyDescent="0.25">
      <c r="L568397" s="472"/>
      <c r="M568397" s="472"/>
    </row>
    <row r="568469" spans="12:13" x14ac:dyDescent="0.25">
      <c r="L568469" s="472"/>
      <c r="M568469" s="472"/>
    </row>
    <row r="568470" spans="12:13" x14ac:dyDescent="0.25">
      <c r="L568470" s="472"/>
      <c r="M568470" s="472"/>
    </row>
    <row r="568471" spans="12:13" x14ac:dyDescent="0.25">
      <c r="L568471" s="472"/>
      <c r="M568471" s="472"/>
    </row>
    <row r="568543" spans="12:13" x14ac:dyDescent="0.25">
      <c r="L568543" s="472"/>
      <c r="M568543" s="472"/>
    </row>
    <row r="568544" spans="12:13" x14ac:dyDescent="0.25">
      <c r="L568544" s="472"/>
      <c r="M568544" s="472"/>
    </row>
    <row r="568545" spans="12:13" x14ac:dyDescent="0.25">
      <c r="L568545" s="472"/>
      <c r="M568545" s="472"/>
    </row>
    <row r="568617" spans="12:13" x14ac:dyDescent="0.25">
      <c r="L568617" s="472"/>
      <c r="M568617" s="472"/>
    </row>
    <row r="568618" spans="12:13" x14ac:dyDescent="0.25">
      <c r="L568618" s="472"/>
      <c r="M568618" s="472"/>
    </row>
    <row r="568619" spans="12:13" x14ac:dyDescent="0.25">
      <c r="L568619" s="472"/>
      <c r="M568619" s="472"/>
    </row>
    <row r="568691" spans="12:13" x14ac:dyDescent="0.25">
      <c r="L568691" s="472"/>
      <c r="M568691" s="472"/>
    </row>
    <row r="568692" spans="12:13" x14ac:dyDescent="0.25">
      <c r="L568692" s="472"/>
      <c r="M568692" s="472"/>
    </row>
    <row r="568693" spans="12:13" x14ac:dyDescent="0.25">
      <c r="L568693" s="472"/>
      <c r="M568693" s="472"/>
    </row>
    <row r="568765" spans="12:13" x14ac:dyDescent="0.25">
      <c r="L568765" s="472"/>
      <c r="M568765" s="472"/>
    </row>
    <row r="568766" spans="12:13" x14ac:dyDescent="0.25">
      <c r="L568766" s="472"/>
      <c r="M568766" s="472"/>
    </row>
    <row r="568767" spans="12:13" x14ac:dyDescent="0.25">
      <c r="L568767" s="472"/>
      <c r="M568767" s="472"/>
    </row>
    <row r="568839" spans="12:13" x14ac:dyDescent="0.25">
      <c r="L568839" s="472"/>
      <c r="M568839" s="472"/>
    </row>
    <row r="568840" spans="12:13" x14ac:dyDescent="0.25">
      <c r="L568840" s="472"/>
      <c r="M568840" s="472"/>
    </row>
    <row r="568841" spans="12:13" x14ac:dyDescent="0.25">
      <c r="L568841" s="472"/>
      <c r="M568841" s="472"/>
    </row>
    <row r="568913" spans="12:13" x14ac:dyDescent="0.25">
      <c r="L568913" s="472"/>
      <c r="M568913" s="472"/>
    </row>
    <row r="568914" spans="12:13" x14ac:dyDescent="0.25">
      <c r="L568914" s="472"/>
      <c r="M568914" s="472"/>
    </row>
    <row r="568915" spans="12:13" x14ac:dyDescent="0.25">
      <c r="L568915" s="472"/>
      <c r="M568915" s="472"/>
    </row>
    <row r="568987" spans="12:13" x14ac:dyDescent="0.25">
      <c r="L568987" s="472"/>
      <c r="M568987" s="472"/>
    </row>
    <row r="568988" spans="12:13" x14ac:dyDescent="0.25">
      <c r="L568988" s="472"/>
      <c r="M568988" s="472"/>
    </row>
    <row r="568989" spans="12:13" x14ac:dyDescent="0.25">
      <c r="L568989" s="472"/>
      <c r="M568989" s="472"/>
    </row>
    <row r="569061" spans="12:13" x14ac:dyDescent="0.25">
      <c r="L569061" s="472"/>
      <c r="M569061" s="472"/>
    </row>
    <row r="569062" spans="12:13" x14ac:dyDescent="0.25">
      <c r="L569062" s="472"/>
      <c r="M569062" s="472"/>
    </row>
    <row r="569063" spans="12:13" x14ac:dyDescent="0.25">
      <c r="L569063" s="472"/>
      <c r="M569063" s="472"/>
    </row>
    <row r="569135" spans="12:13" x14ac:dyDescent="0.25">
      <c r="L569135" s="472"/>
      <c r="M569135" s="472"/>
    </row>
    <row r="569136" spans="12:13" x14ac:dyDescent="0.25">
      <c r="L569136" s="472"/>
      <c r="M569136" s="472"/>
    </row>
    <row r="569137" spans="12:13" x14ac:dyDescent="0.25">
      <c r="L569137" s="472"/>
      <c r="M569137" s="472"/>
    </row>
    <row r="569209" spans="12:13" x14ac:dyDescent="0.25">
      <c r="L569209" s="472"/>
      <c r="M569209" s="472"/>
    </row>
    <row r="569210" spans="12:13" x14ac:dyDescent="0.25">
      <c r="L569210" s="472"/>
      <c r="M569210" s="472"/>
    </row>
    <row r="569211" spans="12:13" x14ac:dyDescent="0.25">
      <c r="L569211" s="472"/>
      <c r="M569211" s="472"/>
    </row>
    <row r="569283" spans="12:13" x14ac:dyDescent="0.25">
      <c r="L569283" s="472"/>
      <c r="M569283" s="472"/>
    </row>
    <row r="569284" spans="12:13" x14ac:dyDescent="0.25">
      <c r="L569284" s="472"/>
      <c r="M569284" s="472"/>
    </row>
    <row r="569285" spans="12:13" x14ac:dyDescent="0.25">
      <c r="L569285" s="472"/>
      <c r="M569285" s="472"/>
    </row>
    <row r="569357" spans="12:13" x14ac:dyDescent="0.25">
      <c r="L569357" s="472"/>
      <c r="M569357" s="472"/>
    </row>
    <row r="569358" spans="12:13" x14ac:dyDescent="0.25">
      <c r="L569358" s="472"/>
      <c r="M569358" s="472"/>
    </row>
    <row r="569359" spans="12:13" x14ac:dyDescent="0.25">
      <c r="L569359" s="472"/>
      <c r="M569359" s="472"/>
    </row>
    <row r="569431" spans="12:13" x14ac:dyDescent="0.25">
      <c r="L569431" s="472"/>
      <c r="M569431" s="472"/>
    </row>
    <row r="569432" spans="12:13" x14ac:dyDescent="0.25">
      <c r="L569432" s="472"/>
      <c r="M569432" s="472"/>
    </row>
    <row r="569433" spans="12:13" x14ac:dyDescent="0.25">
      <c r="L569433" s="472"/>
      <c r="M569433" s="472"/>
    </row>
    <row r="569505" spans="12:13" x14ac:dyDescent="0.25">
      <c r="L569505" s="472"/>
      <c r="M569505" s="472"/>
    </row>
    <row r="569506" spans="12:13" x14ac:dyDescent="0.25">
      <c r="L569506" s="472"/>
      <c r="M569506" s="472"/>
    </row>
    <row r="569507" spans="12:13" x14ac:dyDescent="0.25">
      <c r="L569507" s="472"/>
      <c r="M569507" s="472"/>
    </row>
    <row r="569579" spans="12:13" x14ac:dyDescent="0.25">
      <c r="L569579" s="472"/>
      <c r="M569579" s="472"/>
    </row>
    <row r="569580" spans="12:13" x14ac:dyDescent="0.25">
      <c r="L569580" s="472"/>
      <c r="M569580" s="472"/>
    </row>
    <row r="569581" spans="12:13" x14ac:dyDescent="0.25">
      <c r="L569581" s="472"/>
      <c r="M569581" s="472"/>
    </row>
    <row r="569653" spans="12:13" x14ac:dyDescent="0.25">
      <c r="L569653" s="472"/>
      <c r="M569653" s="472"/>
    </row>
    <row r="569654" spans="12:13" x14ac:dyDescent="0.25">
      <c r="L569654" s="472"/>
      <c r="M569654" s="472"/>
    </row>
    <row r="569655" spans="12:13" x14ac:dyDescent="0.25">
      <c r="L569655" s="472"/>
      <c r="M569655" s="472"/>
    </row>
    <row r="569727" spans="12:13" x14ac:dyDescent="0.25">
      <c r="L569727" s="472"/>
      <c r="M569727" s="472"/>
    </row>
    <row r="569728" spans="12:13" x14ac:dyDescent="0.25">
      <c r="L569728" s="472"/>
      <c r="M569728" s="472"/>
    </row>
    <row r="569729" spans="12:13" x14ac:dyDescent="0.25">
      <c r="L569729" s="472"/>
      <c r="M569729" s="472"/>
    </row>
    <row r="569801" spans="12:13" x14ac:dyDescent="0.25">
      <c r="L569801" s="472"/>
      <c r="M569801" s="472"/>
    </row>
    <row r="569802" spans="12:13" x14ac:dyDescent="0.25">
      <c r="L569802" s="472"/>
      <c r="M569802" s="472"/>
    </row>
    <row r="569803" spans="12:13" x14ac:dyDescent="0.25">
      <c r="L569803" s="472"/>
      <c r="M569803" s="472"/>
    </row>
    <row r="569875" spans="12:13" x14ac:dyDescent="0.25">
      <c r="L569875" s="472"/>
      <c r="M569875" s="472"/>
    </row>
    <row r="569876" spans="12:13" x14ac:dyDescent="0.25">
      <c r="L569876" s="472"/>
      <c r="M569876" s="472"/>
    </row>
    <row r="569877" spans="12:13" x14ac:dyDescent="0.25">
      <c r="L569877" s="472"/>
      <c r="M569877" s="472"/>
    </row>
    <row r="569949" spans="12:13" x14ac:dyDescent="0.25">
      <c r="L569949" s="472"/>
      <c r="M569949" s="472"/>
    </row>
    <row r="569950" spans="12:13" x14ac:dyDescent="0.25">
      <c r="L569950" s="472"/>
      <c r="M569950" s="472"/>
    </row>
    <row r="569951" spans="12:13" x14ac:dyDescent="0.25">
      <c r="L569951" s="472"/>
      <c r="M569951" s="472"/>
    </row>
    <row r="570023" spans="12:13" x14ac:dyDescent="0.25">
      <c r="L570023" s="472"/>
      <c r="M570023" s="472"/>
    </row>
    <row r="570024" spans="12:13" x14ac:dyDescent="0.25">
      <c r="L570024" s="472"/>
      <c r="M570024" s="472"/>
    </row>
    <row r="570025" spans="12:13" x14ac:dyDescent="0.25">
      <c r="L570025" s="472"/>
      <c r="M570025" s="472"/>
    </row>
    <row r="570097" spans="12:13" x14ac:dyDescent="0.25">
      <c r="L570097" s="472"/>
      <c r="M570097" s="472"/>
    </row>
    <row r="570098" spans="12:13" x14ac:dyDescent="0.25">
      <c r="L570098" s="472"/>
      <c r="M570098" s="472"/>
    </row>
    <row r="570099" spans="12:13" x14ac:dyDescent="0.25">
      <c r="L570099" s="472"/>
      <c r="M570099" s="472"/>
    </row>
    <row r="570171" spans="12:13" x14ac:dyDescent="0.25">
      <c r="L570171" s="472"/>
      <c r="M570171" s="472"/>
    </row>
    <row r="570172" spans="12:13" x14ac:dyDescent="0.25">
      <c r="L570172" s="472"/>
      <c r="M570172" s="472"/>
    </row>
    <row r="570173" spans="12:13" x14ac:dyDescent="0.25">
      <c r="L570173" s="472"/>
      <c r="M570173" s="472"/>
    </row>
    <row r="570245" spans="12:13" x14ac:dyDescent="0.25">
      <c r="L570245" s="472"/>
      <c r="M570245" s="472"/>
    </row>
    <row r="570246" spans="12:13" x14ac:dyDescent="0.25">
      <c r="L570246" s="472"/>
      <c r="M570246" s="472"/>
    </row>
    <row r="570247" spans="12:13" x14ac:dyDescent="0.25">
      <c r="L570247" s="472"/>
      <c r="M570247" s="472"/>
    </row>
    <row r="570319" spans="12:13" x14ac:dyDescent="0.25">
      <c r="L570319" s="472"/>
      <c r="M570319" s="472"/>
    </row>
    <row r="570320" spans="12:13" x14ac:dyDescent="0.25">
      <c r="L570320" s="472"/>
      <c r="M570320" s="472"/>
    </row>
    <row r="570321" spans="12:13" x14ac:dyDescent="0.25">
      <c r="L570321" s="472"/>
      <c r="M570321" s="472"/>
    </row>
    <row r="570393" spans="12:13" x14ac:dyDescent="0.25">
      <c r="L570393" s="472"/>
      <c r="M570393" s="472"/>
    </row>
    <row r="570394" spans="12:13" x14ac:dyDescent="0.25">
      <c r="L570394" s="472"/>
      <c r="M570394" s="472"/>
    </row>
    <row r="570395" spans="12:13" x14ac:dyDescent="0.25">
      <c r="L570395" s="472"/>
      <c r="M570395" s="472"/>
    </row>
    <row r="570467" spans="12:13" x14ac:dyDescent="0.25">
      <c r="L570467" s="472"/>
      <c r="M570467" s="472"/>
    </row>
    <row r="570468" spans="12:13" x14ac:dyDescent="0.25">
      <c r="L570468" s="472"/>
      <c r="M570468" s="472"/>
    </row>
    <row r="570469" spans="12:13" x14ac:dyDescent="0.25">
      <c r="L570469" s="472"/>
      <c r="M570469" s="472"/>
    </row>
    <row r="570541" spans="12:13" x14ac:dyDescent="0.25">
      <c r="L570541" s="472"/>
      <c r="M570541" s="472"/>
    </row>
    <row r="570542" spans="12:13" x14ac:dyDescent="0.25">
      <c r="L570542" s="472"/>
      <c r="M570542" s="472"/>
    </row>
    <row r="570543" spans="12:13" x14ac:dyDescent="0.25">
      <c r="L570543" s="472"/>
      <c r="M570543" s="472"/>
    </row>
    <row r="570615" spans="12:13" x14ac:dyDescent="0.25">
      <c r="L570615" s="472"/>
      <c r="M570615" s="472"/>
    </row>
    <row r="570616" spans="12:13" x14ac:dyDescent="0.25">
      <c r="L570616" s="472"/>
      <c r="M570616" s="472"/>
    </row>
    <row r="570617" spans="12:13" x14ac:dyDescent="0.25">
      <c r="L570617" s="472"/>
      <c r="M570617" s="472"/>
    </row>
    <row r="570689" spans="12:13" x14ac:dyDescent="0.25">
      <c r="L570689" s="472"/>
      <c r="M570689" s="472"/>
    </row>
    <row r="570690" spans="12:13" x14ac:dyDescent="0.25">
      <c r="L570690" s="472"/>
      <c r="M570690" s="472"/>
    </row>
    <row r="570691" spans="12:13" x14ac:dyDescent="0.25">
      <c r="L570691" s="472"/>
      <c r="M570691" s="472"/>
    </row>
    <row r="570763" spans="12:13" x14ac:dyDescent="0.25">
      <c r="L570763" s="472"/>
      <c r="M570763" s="472"/>
    </row>
    <row r="570764" spans="12:13" x14ac:dyDescent="0.25">
      <c r="L570764" s="472"/>
      <c r="M570764" s="472"/>
    </row>
    <row r="570765" spans="12:13" x14ac:dyDescent="0.25">
      <c r="L570765" s="472"/>
      <c r="M570765" s="472"/>
    </row>
    <row r="570837" spans="12:13" x14ac:dyDescent="0.25">
      <c r="L570837" s="472"/>
      <c r="M570837" s="472"/>
    </row>
    <row r="570838" spans="12:13" x14ac:dyDescent="0.25">
      <c r="L570838" s="472"/>
      <c r="M570838" s="472"/>
    </row>
    <row r="570839" spans="12:13" x14ac:dyDescent="0.25">
      <c r="L570839" s="472"/>
      <c r="M570839" s="472"/>
    </row>
    <row r="570911" spans="12:13" x14ac:dyDescent="0.25">
      <c r="L570911" s="472"/>
      <c r="M570911" s="472"/>
    </row>
    <row r="570912" spans="12:13" x14ac:dyDescent="0.25">
      <c r="L570912" s="472"/>
      <c r="M570912" s="472"/>
    </row>
    <row r="570913" spans="12:13" x14ac:dyDescent="0.25">
      <c r="L570913" s="472"/>
      <c r="M570913" s="472"/>
    </row>
    <row r="570985" spans="12:13" x14ac:dyDescent="0.25">
      <c r="L570985" s="472"/>
      <c r="M570985" s="472"/>
    </row>
    <row r="570986" spans="12:13" x14ac:dyDescent="0.25">
      <c r="L570986" s="472"/>
      <c r="M570986" s="472"/>
    </row>
    <row r="570987" spans="12:13" x14ac:dyDescent="0.25">
      <c r="L570987" s="472"/>
      <c r="M570987" s="472"/>
    </row>
    <row r="571059" spans="12:13" x14ac:dyDescent="0.25">
      <c r="L571059" s="472"/>
      <c r="M571059" s="472"/>
    </row>
    <row r="571060" spans="12:13" x14ac:dyDescent="0.25">
      <c r="L571060" s="472"/>
      <c r="M571060" s="472"/>
    </row>
    <row r="571061" spans="12:13" x14ac:dyDescent="0.25">
      <c r="L571061" s="472"/>
      <c r="M571061" s="472"/>
    </row>
    <row r="571133" spans="12:13" x14ac:dyDescent="0.25">
      <c r="L571133" s="472"/>
      <c r="M571133" s="472"/>
    </row>
    <row r="571134" spans="12:13" x14ac:dyDescent="0.25">
      <c r="L571134" s="472"/>
      <c r="M571134" s="472"/>
    </row>
    <row r="571135" spans="12:13" x14ac:dyDescent="0.25">
      <c r="L571135" s="472"/>
      <c r="M571135" s="472"/>
    </row>
    <row r="571207" spans="12:13" x14ac:dyDescent="0.25">
      <c r="L571207" s="472"/>
      <c r="M571207" s="472"/>
    </row>
    <row r="571208" spans="12:13" x14ac:dyDescent="0.25">
      <c r="L571208" s="472"/>
      <c r="M571208" s="472"/>
    </row>
    <row r="571209" spans="12:13" x14ac:dyDescent="0.25">
      <c r="L571209" s="472"/>
      <c r="M571209" s="472"/>
    </row>
    <row r="571281" spans="12:13" x14ac:dyDescent="0.25">
      <c r="L571281" s="472"/>
      <c r="M571281" s="472"/>
    </row>
    <row r="571282" spans="12:13" x14ac:dyDescent="0.25">
      <c r="L571282" s="472"/>
      <c r="M571282" s="472"/>
    </row>
    <row r="571283" spans="12:13" x14ac:dyDescent="0.25">
      <c r="L571283" s="472"/>
      <c r="M571283" s="472"/>
    </row>
    <row r="571355" spans="12:13" x14ac:dyDescent="0.25">
      <c r="L571355" s="472"/>
      <c r="M571355" s="472"/>
    </row>
    <row r="571356" spans="12:13" x14ac:dyDescent="0.25">
      <c r="L571356" s="472"/>
      <c r="M571356" s="472"/>
    </row>
    <row r="571357" spans="12:13" x14ac:dyDescent="0.25">
      <c r="L571357" s="472"/>
      <c r="M571357" s="472"/>
    </row>
    <row r="571429" spans="12:13" x14ac:dyDescent="0.25">
      <c r="L571429" s="472"/>
      <c r="M571429" s="472"/>
    </row>
    <row r="571430" spans="12:13" x14ac:dyDescent="0.25">
      <c r="L571430" s="472"/>
      <c r="M571430" s="472"/>
    </row>
    <row r="571431" spans="12:13" x14ac:dyDescent="0.25">
      <c r="L571431" s="472"/>
      <c r="M571431" s="472"/>
    </row>
    <row r="571503" spans="12:13" x14ac:dyDescent="0.25">
      <c r="L571503" s="472"/>
      <c r="M571503" s="472"/>
    </row>
    <row r="571504" spans="12:13" x14ac:dyDescent="0.25">
      <c r="L571504" s="472"/>
      <c r="M571504" s="472"/>
    </row>
    <row r="571505" spans="12:13" x14ac:dyDescent="0.25">
      <c r="L571505" s="472"/>
      <c r="M571505" s="472"/>
    </row>
    <row r="571577" spans="12:13" x14ac:dyDescent="0.25">
      <c r="L571577" s="472"/>
      <c r="M571577" s="472"/>
    </row>
    <row r="571578" spans="12:13" x14ac:dyDescent="0.25">
      <c r="L571578" s="472"/>
      <c r="M571578" s="472"/>
    </row>
    <row r="571579" spans="12:13" x14ac:dyDescent="0.25">
      <c r="L571579" s="472"/>
      <c r="M571579" s="472"/>
    </row>
    <row r="571651" spans="12:13" x14ac:dyDescent="0.25">
      <c r="L571651" s="472"/>
      <c r="M571651" s="472"/>
    </row>
    <row r="571652" spans="12:13" x14ac:dyDescent="0.25">
      <c r="L571652" s="472"/>
      <c r="M571652" s="472"/>
    </row>
    <row r="571653" spans="12:13" x14ac:dyDescent="0.25">
      <c r="L571653" s="472"/>
      <c r="M571653" s="472"/>
    </row>
    <row r="571725" spans="12:13" x14ac:dyDescent="0.25">
      <c r="L571725" s="472"/>
      <c r="M571725" s="472"/>
    </row>
    <row r="571726" spans="12:13" x14ac:dyDescent="0.25">
      <c r="L571726" s="472"/>
      <c r="M571726" s="472"/>
    </row>
    <row r="571727" spans="12:13" x14ac:dyDescent="0.25">
      <c r="L571727" s="472"/>
      <c r="M571727" s="472"/>
    </row>
    <row r="571799" spans="12:13" x14ac:dyDescent="0.25">
      <c r="L571799" s="472"/>
      <c r="M571799" s="472"/>
    </row>
    <row r="571800" spans="12:13" x14ac:dyDescent="0.25">
      <c r="L571800" s="472"/>
      <c r="M571800" s="472"/>
    </row>
    <row r="571801" spans="12:13" x14ac:dyDescent="0.25">
      <c r="L571801" s="472"/>
      <c r="M571801" s="472"/>
    </row>
    <row r="571873" spans="12:13" x14ac:dyDescent="0.25">
      <c r="L571873" s="472"/>
      <c r="M571873" s="472"/>
    </row>
    <row r="571874" spans="12:13" x14ac:dyDescent="0.25">
      <c r="L571874" s="472"/>
      <c r="M571874" s="472"/>
    </row>
    <row r="571875" spans="12:13" x14ac:dyDescent="0.25">
      <c r="L571875" s="472"/>
      <c r="M571875" s="472"/>
    </row>
    <row r="571947" spans="12:13" x14ac:dyDescent="0.25">
      <c r="L571947" s="472"/>
      <c r="M571947" s="472"/>
    </row>
    <row r="571948" spans="12:13" x14ac:dyDescent="0.25">
      <c r="L571948" s="472"/>
      <c r="M571948" s="472"/>
    </row>
    <row r="571949" spans="12:13" x14ac:dyDescent="0.25">
      <c r="L571949" s="472"/>
      <c r="M571949" s="472"/>
    </row>
    <row r="572021" spans="12:13" x14ac:dyDescent="0.25">
      <c r="L572021" s="472"/>
      <c r="M572021" s="472"/>
    </row>
    <row r="572022" spans="12:13" x14ac:dyDescent="0.25">
      <c r="L572022" s="472"/>
      <c r="M572022" s="472"/>
    </row>
    <row r="572023" spans="12:13" x14ac:dyDescent="0.25">
      <c r="L572023" s="472"/>
      <c r="M572023" s="472"/>
    </row>
    <row r="572095" spans="12:13" x14ac:dyDescent="0.25">
      <c r="L572095" s="472"/>
      <c r="M572095" s="472"/>
    </row>
    <row r="572096" spans="12:13" x14ac:dyDescent="0.25">
      <c r="L572096" s="472"/>
      <c r="M572096" s="472"/>
    </row>
    <row r="572097" spans="12:13" x14ac:dyDescent="0.25">
      <c r="L572097" s="472"/>
      <c r="M572097" s="472"/>
    </row>
    <row r="572169" spans="12:13" x14ac:dyDescent="0.25">
      <c r="L572169" s="472"/>
      <c r="M572169" s="472"/>
    </row>
    <row r="572170" spans="12:13" x14ac:dyDescent="0.25">
      <c r="L572170" s="472"/>
      <c r="M572170" s="472"/>
    </row>
    <row r="572171" spans="12:13" x14ac:dyDescent="0.25">
      <c r="L572171" s="472"/>
      <c r="M572171" s="472"/>
    </row>
    <row r="572243" spans="12:13" x14ac:dyDescent="0.25">
      <c r="L572243" s="472"/>
      <c r="M572243" s="472"/>
    </row>
    <row r="572244" spans="12:13" x14ac:dyDescent="0.25">
      <c r="L572244" s="472"/>
      <c r="M572244" s="472"/>
    </row>
    <row r="572245" spans="12:13" x14ac:dyDescent="0.25">
      <c r="L572245" s="472"/>
      <c r="M572245" s="472"/>
    </row>
    <row r="572317" spans="12:13" x14ac:dyDescent="0.25">
      <c r="L572317" s="472"/>
      <c r="M572317" s="472"/>
    </row>
    <row r="572318" spans="12:13" x14ac:dyDescent="0.25">
      <c r="L572318" s="472"/>
      <c r="M572318" s="472"/>
    </row>
    <row r="572319" spans="12:13" x14ac:dyDescent="0.25">
      <c r="L572319" s="472"/>
      <c r="M572319" s="472"/>
    </row>
    <row r="572391" spans="12:13" x14ac:dyDescent="0.25">
      <c r="L572391" s="472"/>
      <c r="M572391" s="472"/>
    </row>
    <row r="572392" spans="12:13" x14ac:dyDescent="0.25">
      <c r="L572392" s="472"/>
      <c r="M572392" s="472"/>
    </row>
    <row r="572393" spans="12:13" x14ac:dyDescent="0.25">
      <c r="L572393" s="472"/>
      <c r="M572393" s="472"/>
    </row>
    <row r="572465" spans="12:13" x14ac:dyDescent="0.25">
      <c r="L572465" s="472"/>
      <c r="M572465" s="472"/>
    </row>
    <row r="572466" spans="12:13" x14ac:dyDescent="0.25">
      <c r="L572466" s="472"/>
      <c r="M572466" s="472"/>
    </row>
    <row r="572467" spans="12:13" x14ac:dyDescent="0.25">
      <c r="L572467" s="472"/>
      <c r="M572467" s="472"/>
    </row>
    <row r="572539" spans="12:13" x14ac:dyDescent="0.25">
      <c r="L572539" s="472"/>
      <c r="M572539" s="472"/>
    </row>
    <row r="572540" spans="12:13" x14ac:dyDescent="0.25">
      <c r="L572540" s="472"/>
      <c r="M572540" s="472"/>
    </row>
    <row r="572541" spans="12:13" x14ac:dyDescent="0.25">
      <c r="L572541" s="472"/>
      <c r="M572541" s="472"/>
    </row>
    <row r="572613" spans="12:13" x14ac:dyDescent="0.25">
      <c r="L572613" s="472"/>
      <c r="M572613" s="472"/>
    </row>
    <row r="572614" spans="12:13" x14ac:dyDescent="0.25">
      <c r="L572614" s="472"/>
      <c r="M572614" s="472"/>
    </row>
    <row r="572615" spans="12:13" x14ac:dyDescent="0.25">
      <c r="L572615" s="472"/>
      <c r="M572615" s="472"/>
    </row>
    <row r="572687" spans="12:13" x14ac:dyDescent="0.25">
      <c r="L572687" s="472"/>
      <c r="M572687" s="472"/>
    </row>
    <row r="572688" spans="12:13" x14ac:dyDescent="0.25">
      <c r="L572688" s="472"/>
      <c r="M572688" s="472"/>
    </row>
    <row r="572689" spans="12:13" x14ac:dyDescent="0.25">
      <c r="L572689" s="472"/>
      <c r="M572689" s="472"/>
    </row>
    <row r="572761" spans="12:13" x14ac:dyDescent="0.25">
      <c r="L572761" s="472"/>
      <c r="M572761" s="472"/>
    </row>
    <row r="572762" spans="12:13" x14ac:dyDescent="0.25">
      <c r="L572762" s="472"/>
      <c r="M572762" s="472"/>
    </row>
    <row r="572763" spans="12:13" x14ac:dyDescent="0.25">
      <c r="L572763" s="472"/>
      <c r="M572763" s="472"/>
    </row>
    <row r="572835" spans="12:13" x14ac:dyDescent="0.25">
      <c r="L572835" s="472"/>
      <c r="M572835" s="472"/>
    </row>
    <row r="572836" spans="12:13" x14ac:dyDescent="0.25">
      <c r="L572836" s="472"/>
      <c r="M572836" s="472"/>
    </row>
    <row r="572837" spans="12:13" x14ac:dyDescent="0.25">
      <c r="L572837" s="472"/>
      <c r="M572837" s="472"/>
    </row>
    <row r="572909" spans="12:13" x14ac:dyDescent="0.25">
      <c r="L572909" s="472"/>
      <c r="M572909" s="472"/>
    </row>
    <row r="572910" spans="12:13" x14ac:dyDescent="0.25">
      <c r="L572910" s="472"/>
      <c r="M572910" s="472"/>
    </row>
    <row r="572911" spans="12:13" x14ac:dyDescent="0.25">
      <c r="L572911" s="472"/>
      <c r="M572911" s="472"/>
    </row>
    <row r="572983" spans="12:13" x14ac:dyDescent="0.25">
      <c r="L572983" s="472"/>
      <c r="M572983" s="472"/>
    </row>
    <row r="572984" spans="12:13" x14ac:dyDescent="0.25">
      <c r="L572984" s="472"/>
      <c r="M572984" s="472"/>
    </row>
    <row r="572985" spans="12:13" x14ac:dyDescent="0.25">
      <c r="L572985" s="472"/>
      <c r="M572985" s="472"/>
    </row>
    <row r="573057" spans="12:13" x14ac:dyDescent="0.25">
      <c r="L573057" s="472"/>
      <c r="M573057" s="472"/>
    </row>
    <row r="573058" spans="12:13" x14ac:dyDescent="0.25">
      <c r="L573058" s="472"/>
      <c r="M573058" s="472"/>
    </row>
    <row r="573059" spans="12:13" x14ac:dyDescent="0.25">
      <c r="L573059" s="472"/>
      <c r="M573059" s="472"/>
    </row>
    <row r="573131" spans="12:13" x14ac:dyDescent="0.25">
      <c r="L573131" s="472"/>
      <c r="M573131" s="472"/>
    </row>
    <row r="573132" spans="12:13" x14ac:dyDescent="0.25">
      <c r="L573132" s="472"/>
      <c r="M573132" s="472"/>
    </row>
    <row r="573133" spans="12:13" x14ac:dyDescent="0.25">
      <c r="L573133" s="472"/>
      <c r="M573133" s="472"/>
    </row>
    <row r="573205" spans="12:13" x14ac:dyDescent="0.25">
      <c r="L573205" s="472"/>
      <c r="M573205" s="472"/>
    </row>
    <row r="573206" spans="12:13" x14ac:dyDescent="0.25">
      <c r="L573206" s="472"/>
      <c r="M573206" s="472"/>
    </row>
    <row r="573207" spans="12:13" x14ac:dyDescent="0.25">
      <c r="L573207" s="472"/>
      <c r="M573207" s="472"/>
    </row>
    <row r="573279" spans="12:13" x14ac:dyDescent="0.25">
      <c r="L573279" s="472"/>
      <c r="M573279" s="472"/>
    </row>
    <row r="573280" spans="12:13" x14ac:dyDescent="0.25">
      <c r="L573280" s="472"/>
      <c r="M573280" s="472"/>
    </row>
    <row r="573281" spans="12:13" x14ac:dyDescent="0.25">
      <c r="L573281" s="472"/>
      <c r="M573281" s="472"/>
    </row>
    <row r="573353" spans="12:13" x14ac:dyDescent="0.25">
      <c r="L573353" s="472"/>
      <c r="M573353" s="472"/>
    </row>
    <row r="573354" spans="12:13" x14ac:dyDescent="0.25">
      <c r="L573354" s="472"/>
      <c r="M573354" s="472"/>
    </row>
    <row r="573355" spans="12:13" x14ac:dyDescent="0.25">
      <c r="L573355" s="472"/>
      <c r="M573355" s="472"/>
    </row>
    <row r="573427" spans="12:13" x14ac:dyDescent="0.25">
      <c r="L573427" s="472"/>
      <c r="M573427" s="472"/>
    </row>
    <row r="573428" spans="12:13" x14ac:dyDescent="0.25">
      <c r="L573428" s="472"/>
      <c r="M573428" s="472"/>
    </row>
    <row r="573429" spans="12:13" x14ac:dyDescent="0.25">
      <c r="L573429" s="472"/>
      <c r="M573429" s="472"/>
    </row>
    <row r="573501" spans="12:13" x14ac:dyDescent="0.25">
      <c r="L573501" s="472"/>
      <c r="M573501" s="472"/>
    </row>
    <row r="573502" spans="12:13" x14ac:dyDescent="0.25">
      <c r="L573502" s="472"/>
      <c r="M573502" s="472"/>
    </row>
    <row r="573503" spans="12:13" x14ac:dyDescent="0.25">
      <c r="L573503" s="472"/>
      <c r="M573503" s="472"/>
    </row>
    <row r="573575" spans="12:13" x14ac:dyDescent="0.25">
      <c r="L573575" s="472"/>
      <c r="M573575" s="472"/>
    </row>
    <row r="573576" spans="12:13" x14ac:dyDescent="0.25">
      <c r="L573576" s="472"/>
      <c r="M573576" s="472"/>
    </row>
    <row r="573577" spans="12:13" x14ac:dyDescent="0.25">
      <c r="L573577" s="472"/>
      <c r="M573577" s="472"/>
    </row>
    <row r="573649" spans="12:13" x14ac:dyDescent="0.25">
      <c r="L573649" s="472"/>
      <c r="M573649" s="472"/>
    </row>
    <row r="573650" spans="12:13" x14ac:dyDescent="0.25">
      <c r="L573650" s="472"/>
      <c r="M573650" s="472"/>
    </row>
    <row r="573651" spans="12:13" x14ac:dyDescent="0.25">
      <c r="L573651" s="472"/>
      <c r="M573651" s="472"/>
    </row>
    <row r="573723" spans="12:13" x14ac:dyDescent="0.25">
      <c r="L573723" s="472"/>
      <c r="M573723" s="472"/>
    </row>
    <row r="573724" spans="12:13" x14ac:dyDescent="0.25">
      <c r="L573724" s="472"/>
      <c r="M573724" s="472"/>
    </row>
    <row r="573725" spans="12:13" x14ac:dyDescent="0.25">
      <c r="L573725" s="472"/>
      <c r="M573725" s="472"/>
    </row>
    <row r="573797" spans="12:13" x14ac:dyDescent="0.25">
      <c r="L573797" s="472"/>
      <c r="M573797" s="472"/>
    </row>
    <row r="573798" spans="12:13" x14ac:dyDescent="0.25">
      <c r="L573798" s="472"/>
      <c r="M573798" s="472"/>
    </row>
    <row r="573799" spans="12:13" x14ac:dyDescent="0.25">
      <c r="L573799" s="472"/>
      <c r="M573799" s="472"/>
    </row>
    <row r="573871" spans="12:13" x14ac:dyDescent="0.25">
      <c r="L573871" s="472"/>
      <c r="M573871" s="472"/>
    </row>
    <row r="573872" spans="12:13" x14ac:dyDescent="0.25">
      <c r="L573872" s="472"/>
      <c r="M573872" s="472"/>
    </row>
    <row r="573873" spans="12:13" x14ac:dyDescent="0.25">
      <c r="L573873" s="472"/>
      <c r="M573873" s="472"/>
    </row>
    <row r="573945" spans="12:13" x14ac:dyDescent="0.25">
      <c r="L573945" s="472"/>
      <c r="M573945" s="472"/>
    </row>
    <row r="573946" spans="12:13" x14ac:dyDescent="0.25">
      <c r="L573946" s="472"/>
      <c r="M573946" s="472"/>
    </row>
    <row r="573947" spans="12:13" x14ac:dyDescent="0.25">
      <c r="L573947" s="472"/>
      <c r="M573947" s="472"/>
    </row>
    <row r="574019" spans="12:13" x14ac:dyDescent="0.25">
      <c r="L574019" s="472"/>
      <c r="M574019" s="472"/>
    </row>
    <row r="574020" spans="12:13" x14ac:dyDescent="0.25">
      <c r="L574020" s="472"/>
      <c r="M574020" s="472"/>
    </row>
    <row r="574021" spans="12:13" x14ac:dyDescent="0.25">
      <c r="L574021" s="472"/>
      <c r="M574021" s="472"/>
    </row>
    <row r="574093" spans="12:13" x14ac:dyDescent="0.25">
      <c r="L574093" s="472"/>
      <c r="M574093" s="472"/>
    </row>
    <row r="574094" spans="12:13" x14ac:dyDescent="0.25">
      <c r="L574094" s="472"/>
      <c r="M574094" s="472"/>
    </row>
    <row r="574095" spans="12:13" x14ac:dyDescent="0.25">
      <c r="L574095" s="472"/>
      <c r="M574095" s="472"/>
    </row>
    <row r="574167" spans="12:13" x14ac:dyDescent="0.25">
      <c r="L574167" s="472"/>
      <c r="M574167" s="472"/>
    </row>
    <row r="574168" spans="12:13" x14ac:dyDescent="0.25">
      <c r="L574168" s="472"/>
      <c r="M574168" s="472"/>
    </row>
    <row r="574169" spans="12:13" x14ac:dyDescent="0.25">
      <c r="L574169" s="472"/>
      <c r="M574169" s="472"/>
    </row>
    <row r="574241" spans="12:13" x14ac:dyDescent="0.25">
      <c r="L574241" s="472"/>
      <c r="M574241" s="472"/>
    </row>
    <row r="574242" spans="12:13" x14ac:dyDescent="0.25">
      <c r="L574242" s="472"/>
      <c r="M574242" s="472"/>
    </row>
    <row r="574243" spans="12:13" x14ac:dyDescent="0.25">
      <c r="L574243" s="472"/>
      <c r="M574243" s="472"/>
    </row>
    <row r="574315" spans="12:13" x14ac:dyDescent="0.25">
      <c r="L574315" s="472"/>
      <c r="M574315" s="472"/>
    </row>
    <row r="574316" spans="12:13" x14ac:dyDescent="0.25">
      <c r="L574316" s="472"/>
      <c r="M574316" s="472"/>
    </row>
    <row r="574317" spans="12:13" x14ac:dyDescent="0.25">
      <c r="L574317" s="472"/>
      <c r="M574317" s="472"/>
    </row>
    <row r="574389" spans="12:13" x14ac:dyDescent="0.25">
      <c r="L574389" s="472"/>
      <c r="M574389" s="472"/>
    </row>
    <row r="574390" spans="12:13" x14ac:dyDescent="0.25">
      <c r="L574390" s="472"/>
      <c r="M574390" s="472"/>
    </row>
    <row r="574391" spans="12:13" x14ac:dyDescent="0.25">
      <c r="L574391" s="472"/>
      <c r="M574391" s="472"/>
    </row>
    <row r="574463" spans="12:13" x14ac:dyDescent="0.25">
      <c r="L574463" s="472"/>
      <c r="M574463" s="472"/>
    </row>
    <row r="574464" spans="12:13" x14ac:dyDescent="0.25">
      <c r="L574464" s="472"/>
      <c r="M574464" s="472"/>
    </row>
    <row r="574465" spans="12:13" x14ac:dyDescent="0.25">
      <c r="L574465" s="472"/>
      <c r="M574465" s="472"/>
    </row>
    <row r="574537" spans="12:13" x14ac:dyDescent="0.25">
      <c r="L574537" s="472"/>
      <c r="M574537" s="472"/>
    </row>
    <row r="574538" spans="12:13" x14ac:dyDescent="0.25">
      <c r="L574538" s="472"/>
      <c r="M574538" s="472"/>
    </row>
    <row r="574539" spans="12:13" x14ac:dyDescent="0.25">
      <c r="L574539" s="472"/>
      <c r="M574539" s="472"/>
    </row>
    <row r="574611" spans="12:13" x14ac:dyDescent="0.25">
      <c r="L574611" s="472"/>
      <c r="M574611" s="472"/>
    </row>
    <row r="574612" spans="12:13" x14ac:dyDescent="0.25">
      <c r="L574612" s="472"/>
      <c r="M574612" s="472"/>
    </row>
    <row r="574613" spans="12:13" x14ac:dyDescent="0.25">
      <c r="L574613" s="472"/>
      <c r="M574613" s="472"/>
    </row>
    <row r="574685" spans="12:13" x14ac:dyDescent="0.25">
      <c r="L574685" s="472"/>
      <c r="M574685" s="472"/>
    </row>
    <row r="574686" spans="12:13" x14ac:dyDescent="0.25">
      <c r="L574686" s="472"/>
      <c r="M574686" s="472"/>
    </row>
    <row r="574687" spans="12:13" x14ac:dyDescent="0.25">
      <c r="L574687" s="472"/>
      <c r="M574687" s="472"/>
    </row>
    <row r="574759" spans="12:13" x14ac:dyDescent="0.25">
      <c r="L574759" s="472"/>
      <c r="M574759" s="472"/>
    </row>
    <row r="574760" spans="12:13" x14ac:dyDescent="0.25">
      <c r="L574760" s="472"/>
      <c r="M574760" s="472"/>
    </row>
    <row r="574761" spans="12:13" x14ac:dyDescent="0.25">
      <c r="L574761" s="472"/>
      <c r="M574761" s="472"/>
    </row>
    <row r="574833" spans="12:13" x14ac:dyDescent="0.25">
      <c r="L574833" s="472"/>
      <c r="M574833" s="472"/>
    </row>
    <row r="574834" spans="12:13" x14ac:dyDescent="0.25">
      <c r="L574834" s="472"/>
      <c r="M574834" s="472"/>
    </row>
    <row r="574835" spans="12:13" x14ac:dyDescent="0.25">
      <c r="L574835" s="472"/>
      <c r="M574835" s="472"/>
    </row>
    <row r="574907" spans="12:13" x14ac:dyDescent="0.25">
      <c r="L574907" s="472"/>
      <c r="M574907" s="472"/>
    </row>
    <row r="574908" spans="12:13" x14ac:dyDescent="0.25">
      <c r="L574908" s="472"/>
      <c r="M574908" s="472"/>
    </row>
    <row r="574909" spans="12:13" x14ac:dyDescent="0.25">
      <c r="L574909" s="472"/>
      <c r="M574909" s="472"/>
    </row>
    <row r="574981" spans="12:13" x14ac:dyDescent="0.25">
      <c r="L574981" s="472"/>
      <c r="M574981" s="472"/>
    </row>
    <row r="574982" spans="12:13" x14ac:dyDescent="0.25">
      <c r="L574982" s="472"/>
      <c r="M574982" s="472"/>
    </row>
    <row r="574983" spans="12:13" x14ac:dyDescent="0.25">
      <c r="L574983" s="472"/>
      <c r="M574983" s="472"/>
    </row>
    <row r="575055" spans="12:13" x14ac:dyDescent="0.25">
      <c r="L575055" s="472"/>
      <c r="M575055" s="472"/>
    </row>
    <row r="575056" spans="12:13" x14ac:dyDescent="0.25">
      <c r="L575056" s="472"/>
      <c r="M575056" s="472"/>
    </row>
    <row r="575057" spans="12:13" x14ac:dyDescent="0.25">
      <c r="L575057" s="472"/>
      <c r="M575057" s="472"/>
    </row>
    <row r="575129" spans="12:13" x14ac:dyDescent="0.25">
      <c r="L575129" s="472"/>
      <c r="M575129" s="472"/>
    </row>
    <row r="575130" spans="12:13" x14ac:dyDescent="0.25">
      <c r="L575130" s="472"/>
      <c r="M575130" s="472"/>
    </row>
    <row r="575131" spans="12:13" x14ac:dyDescent="0.25">
      <c r="L575131" s="472"/>
      <c r="M575131" s="472"/>
    </row>
    <row r="575203" spans="12:13" x14ac:dyDescent="0.25">
      <c r="L575203" s="472"/>
      <c r="M575203" s="472"/>
    </row>
    <row r="575204" spans="12:13" x14ac:dyDescent="0.25">
      <c r="L575204" s="472"/>
      <c r="M575204" s="472"/>
    </row>
    <row r="575205" spans="12:13" x14ac:dyDescent="0.25">
      <c r="L575205" s="472"/>
      <c r="M575205" s="472"/>
    </row>
    <row r="575277" spans="12:13" x14ac:dyDescent="0.25">
      <c r="L575277" s="472"/>
      <c r="M575277" s="472"/>
    </row>
    <row r="575278" spans="12:13" x14ac:dyDescent="0.25">
      <c r="L575278" s="472"/>
      <c r="M575278" s="472"/>
    </row>
    <row r="575279" spans="12:13" x14ac:dyDescent="0.25">
      <c r="L575279" s="472"/>
      <c r="M575279" s="472"/>
    </row>
    <row r="575351" spans="12:13" x14ac:dyDescent="0.25">
      <c r="L575351" s="472"/>
      <c r="M575351" s="472"/>
    </row>
    <row r="575352" spans="12:13" x14ac:dyDescent="0.25">
      <c r="L575352" s="472"/>
      <c r="M575352" s="472"/>
    </row>
    <row r="575353" spans="12:13" x14ac:dyDescent="0.25">
      <c r="L575353" s="472"/>
      <c r="M575353" s="472"/>
    </row>
    <row r="575425" spans="12:13" x14ac:dyDescent="0.25">
      <c r="L575425" s="472"/>
      <c r="M575425" s="472"/>
    </row>
    <row r="575426" spans="12:13" x14ac:dyDescent="0.25">
      <c r="L575426" s="472"/>
      <c r="M575426" s="472"/>
    </row>
    <row r="575427" spans="12:13" x14ac:dyDescent="0.25">
      <c r="L575427" s="472"/>
      <c r="M575427" s="472"/>
    </row>
    <row r="575499" spans="12:13" x14ac:dyDescent="0.25">
      <c r="L575499" s="472"/>
      <c r="M575499" s="472"/>
    </row>
    <row r="575500" spans="12:13" x14ac:dyDescent="0.25">
      <c r="L575500" s="472"/>
      <c r="M575500" s="472"/>
    </row>
    <row r="575501" spans="12:13" x14ac:dyDescent="0.25">
      <c r="L575501" s="472"/>
      <c r="M575501" s="472"/>
    </row>
    <row r="575573" spans="12:13" x14ac:dyDescent="0.25">
      <c r="L575573" s="472"/>
      <c r="M575573" s="472"/>
    </row>
    <row r="575574" spans="12:13" x14ac:dyDescent="0.25">
      <c r="L575574" s="472"/>
      <c r="M575574" s="472"/>
    </row>
    <row r="575575" spans="12:13" x14ac:dyDescent="0.25">
      <c r="L575575" s="472"/>
      <c r="M575575" s="472"/>
    </row>
    <row r="575647" spans="12:13" x14ac:dyDescent="0.25">
      <c r="L575647" s="472"/>
      <c r="M575647" s="472"/>
    </row>
    <row r="575648" spans="12:13" x14ac:dyDescent="0.25">
      <c r="L575648" s="472"/>
      <c r="M575648" s="472"/>
    </row>
    <row r="575649" spans="12:13" x14ac:dyDescent="0.25">
      <c r="L575649" s="472"/>
      <c r="M575649" s="472"/>
    </row>
    <row r="575721" spans="12:13" x14ac:dyDescent="0.25">
      <c r="L575721" s="472"/>
      <c r="M575721" s="472"/>
    </row>
    <row r="575722" spans="12:13" x14ac:dyDescent="0.25">
      <c r="L575722" s="472"/>
      <c r="M575722" s="472"/>
    </row>
    <row r="575723" spans="12:13" x14ac:dyDescent="0.25">
      <c r="L575723" s="472"/>
      <c r="M575723" s="472"/>
    </row>
    <row r="575795" spans="12:13" x14ac:dyDescent="0.25">
      <c r="L575795" s="472"/>
      <c r="M575795" s="472"/>
    </row>
    <row r="575796" spans="12:13" x14ac:dyDescent="0.25">
      <c r="L575796" s="472"/>
      <c r="M575796" s="472"/>
    </row>
    <row r="575797" spans="12:13" x14ac:dyDescent="0.25">
      <c r="L575797" s="472"/>
      <c r="M575797" s="472"/>
    </row>
    <row r="575869" spans="12:13" x14ac:dyDescent="0.25">
      <c r="L575869" s="472"/>
      <c r="M575869" s="472"/>
    </row>
    <row r="575870" spans="12:13" x14ac:dyDescent="0.25">
      <c r="L575870" s="472"/>
      <c r="M575870" s="472"/>
    </row>
    <row r="575871" spans="12:13" x14ac:dyDescent="0.25">
      <c r="L575871" s="472"/>
      <c r="M575871" s="472"/>
    </row>
    <row r="575943" spans="12:13" x14ac:dyDescent="0.25">
      <c r="L575943" s="472"/>
      <c r="M575943" s="472"/>
    </row>
    <row r="575944" spans="12:13" x14ac:dyDescent="0.25">
      <c r="L575944" s="472"/>
      <c r="M575944" s="472"/>
    </row>
    <row r="575945" spans="12:13" x14ac:dyDescent="0.25">
      <c r="L575945" s="472"/>
      <c r="M575945" s="472"/>
    </row>
    <row r="576017" spans="12:13" x14ac:dyDescent="0.25">
      <c r="L576017" s="472"/>
      <c r="M576017" s="472"/>
    </row>
    <row r="576018" spans="12:13" x14ac:dyDescent="0.25">
      <c r="L576018" s="472"/>
      <c r="M576018" s="472"/>
    </row>
    <row r="576019" spans="12:13" x14ac:dyDescent="0.25">
      <c r="L576019" s="472"/>
      <c r="M576019" s="472"/>
    </row>
    <row r="576091" spans="12:13" x14ac:dyDescent="0.25">
      <c r="L576091" s="472"/>
      <c r="M576091" s="472"/>
    </row>
    <row r="576092" spans="12:13" x14ac:dyDescent="0.25">
      <c r="L576092" s="472"/>
      <c r="M576092" s="472"/>
    </row>
    <row r="576093" spans="12:13" x14ac:dyDescent="0.25">
      <c r="L576093" s="472"/>
      <c r="M576093" s="472"/>
    </row>
    <row r="576165" spans="12:13" x14ac:dyDescent="0.25">
      <c r="L576165" s="472"/>
      <c r="M576165" s="472"/>
    </row>
    <row r="576166" spans="12:13" x14ac:dyDescent="0.25">
      <c r="L576166" s="472"/>
      <c r="M576166" s="472"/>
    </row>
    <row r="576167" spans="12:13" x14ac:dyDescent="0.25">
      <c r="L576167" s="472"/>
      <c r="M576167" s="472"/>
    </row>
    <row r="576239" spans="12:13" x14ac:dyDescent="0.25">
      <c r="L576239" s="472"/>
      <c r="M576239" s="472"/>
    </row>
    <row r="576240" spans="12:13" x14ac:dyDescent="0.25">
      <c r="L576240" s="472"/>
      <c r="M576240" s="472"/>
    </row>
    <row r="576241" spans="12:13" x14ac:dyDescent="0.25">
      <c r="L576241" s="472"/>
      <c r="M576241" s="472"/>
    </row>
    <row r="576313" spans="12:13" x14ac:dyDescent="0.25">
      <c r="L576313" s="472"/>
      <c r="M576313" s="472"/>
    </row>
    <row r="576314" spans="12:13" x14ac:dyDescent="0.25">
      <c r="L576314" s="472"/>
      <c r="M576314" s="472"/>
    </row>
    <row r="576315" spans="12:13" x14ac:dyDescent="0.25">
      <c r="L576315" s="472"/>
      <c r="M576315" s="472"/>
    </row>
    <row r="576387" spans="12:13" x14ac:dyDescent="0.25">
      <c r="L576387" s="472"/>
      <c r="M576387" s="472"/>
    </row>
    <row r="576388" spans="12:13" x14ac:dyDescent="0.25">
      <c r="L576388" s="472"/>
      <c r="M576388" s="472"/>
    </row>
    <row r="576389" spans="12:13" x14ac:dyDescent="0.25">
      <c r="L576389" s="472"/>
      <c r="M576389" s="472"/>
    </row>
    <row r="576461" spans="12:13" x14ac:dyDescent="0.25">
      <c r="L576461" s="472"/>
      <c r="M576461" s="472"/>
    </row>
    <row r="576462" spans="12:13" x14ac:dyDescent="0.25">
      <c r="L576462" s="472"/>
      <c r="M576462" s="472"/>
    </row>
    <row r="576463" spans="12:13" x14ac:dyDescent="0.25">
      <c r="L576463" s="472"/>
      <c r="M576463" s="472"/>
    </row>
    <row r="576535" spans="12:13" x14ac:dyDescent="0.25">
      <c r="L576535" s="472"/>
      <c r="M576535" s="472"/>
    </row>
    <row r="576536" spans="12:13" x14ac:dyDescent="0.25">
      <c r="L576536" s="472"/>
      <c r="M576536" s="472"/>
    </row>
    <row r="576537" spans="12:13" x14ac:dyDescent="0.25">
      <c r="L576537" s="472"/>
      <c r="M576537" s="472"/>
    </row>
    <row r="576609" spans="12:13" x14ac:dyDescent="0.25">
      <c r="L576609" s="472"/>
      <c r="M576609" s="472"/>
    </row>
    <row r="576610" spans="12:13" x14ac:dyDescent="0.25">
      <c r="L576610" s="472"/>
      <c r="M576610" s="472"/>
    </row>
    <row r="576611" spans="12:13" x14ac:dyDescent="0.25">
      <c r="L576611" s="472"/>
      <c r="M576611" s="472"/>
    </row>
    <row r="576683" spans="12:13" x14ac:dyDescent="0.25">
      <c r="L576683" s="472"/>
      <c r="M576683" s="472"/>
    </row>
    <row r="576684" spans="12:13" x14ac:dyDescent="0.25">
      <c r="L576684" s="472"/>
      <c r="M576684" s="472"/>
    </row>
    <row r="576685" spans="12:13" x14ac:dyDescent="0.25">
      <c r="L576685" s="472"/>
      <c r="M576685" s="472"/>
    </row>
    <row r="576757" spans="12:13" x14ac:dyDescent="0.25">
      <c r="L576757" s="472"/>
      <c r="M576757" s="472"/>
    </row>
    <row r="576758" spans="12:13" x14ac:dyDescent="0.25">
      <c r="L576758" s="472"/>
      <c r="M576758" s="472"/>
    </row>
    <row r="576759" spans="12:13" x14ac:dyDescent="0.25">
      <c r="L576759" s="472"/>
      <c r="M576759" s="472"/>
    </row>
    <row r="576831" spans="12:13" x14ac:dyDescent="0.25">
      <c r="L576831" s="472"/>
      <c r="M576831" s="472"/>
    </row>
    <row r="576832" spans="12:13" x14ac:dyDescent="0.25">
      <c r="L576832" s="472"/>
      <c r="M576832" s="472"/>
    </row>
    <row r="576833" spans="12:13" x14ac:dyDescent="0.25">
      <c r="L576833" s="472"/>
      <c r="M576833" s="472"/>
    </row>
    <row r="576905" spans="12:13" x14ac:dyDescent="0.25">
      <c r="L576905" s="472"/>
      <c r="M576905" s="472"/>
    </row>
    <row r="576906" spans="12:13" x14ac:dyDescent="0.25">
      <c r="L576906" s="472"/>
      <c r="M576906" s="472"/>
    </row>
    <row r="576907" spans="12:13" x14ac:dyDescent="0.25">
      <c r="L576907" s="472"/>
      <c r="M576907" s="472"/>
    </row>
    <row r="576979" spans="12:13" x14ac:dyDescent="0.25">
      <c r="L576979" s="472"/>
      <c r="M576979" s="472"/>
    </row>
    <row r="576980" spans="12:13" x14ac:dyDescent="0.25">
      <c r="L576980" s="472"/>
      <c r="M576980" s="472"/>
    </row>
    <row r="576981" spans="12:13" x14ac:dyDescent="0.25">
      <c r="L576981" s="472"/>
      <c r="M576981" s="472"/>
    </row>
    <row r="577053" spans="12:13" x14ac:dyDescent="0.25">
      <c r="L577053" s="472"/>
      <c r="M577053" s="472"/>
    </row>
    <row r="577054" spans="12:13" x14ac:dyDescent="0.25">
      <c r="L577054" s="472"/>
      <c r="M577054" s="472"/>
    </row>
    <row r="577055" spans="12:13" x14ac:dyDescent="0.25">
      <c r="L577055" s="472"/>
      <c r="M577055" s="472"/>
    </row>
    <row r="577127" spans="12:13" x14ac:dyDescent="0.25">
      <c r="L577127" s="472"/>
      <c r="M577127" s="472"/>
    </row>
    <row r="577128" spans="12:13" x14ac:dyDescent="0.25">
      <c r="L577128" s="472"/>
      <c r="M577128" s="472"/>
    </row>
    <row r="577129" spans="12:13" x14ac:dyDescent="0.25">
      <c r="L577129" s="472"/>
      <c r="M577129" s="472"/>
    </row>
    <row r="577201" spans="12:13" x14ac:dyDescent="0.25">
      <c r="L577201" s="472"/>
      <c r="M577201" s="472"/>
    </row>
    <row r="577202" spans="12:13" x14ac:dyDescent="0.25">
      <c r="L577202" s="472"/>
      <c r="M577202" s="472"/>
    </row>
    <row r="577203" spans="12:13" x14ac:dyDescent="0.25">
      <c r="L577203" s="472"/>
      <c r="M577203" s="472"/>
    </row>
    <row r="577275" spans="12:13" x14ac:dyDescent="0.25">
      <c r="L577275" s="472"/>
      <c r="M577275" s="472"/>
    </row>
    <row r="577276" spans="12:13" x14ac:dyDescent="0.25">
      <c r="L577276" s="472"/>
      <c r="M577276" s="472"/>
    </row>
    <row r="577277" spans="12:13" x14ac:dyDescent="0.25">
      <c r="L577277" s="472"/>
      <c r="M577277" s="472"/>
    </row>
    <row r="577349" spans="12:13" x14ac:dyDescent="0.25">
      <c r="L577349" s="472"/>
      <c r="M577349" s="472"/>
    </row>
    <row r="577350" spans="12:13" x14ac:dyDescent="0.25">
      <c r="L577350" s="472"/>
      <c r="M577350" s="472"/>
    </row>
    <row r="577351" spans="12:13" x14ac:dyDescent="0.25">
      <c r="L577351" s="472"/>
      <c r="M577351" s="472"/>
    </row>
    <row r="577423" spans="12:13" x14ac:dyDescent="0.25">
      <c r="L577423" s="472"/>
      <c r="M577423" s="472"/>
    </row>
    <row r="577424" spans="12:13" x14ac:dyDescent="0.25">
      <c r="L577424" s="472"/>
      <c r="M577424" s="472"/>
    </row>
    <row r="577425" spans="12:13" x14ac:dyDescent="0.25">
      <c r="L577425" s="472"/>
      <c r="M577425" s="472"/>
    </row>
    <row r="577497" spans="12:13" x14ac:dyDescent="0.25">
      <c r="L577497" s="472"/>
      <c r="M577497" s="472"/>
    </row>
    <row r="577498" spans="12:13" x14ac:dyDescent="0.25">
      <c r="L577498" s="472"/>
      <c r="M577498" s="472"/>
    </row>
    <row r="577499" spans="12:13" x14ac:dyDescent="0.25">
      <c r="L577499" s="472"/>
      <c r="M577499" s="472"/>
    </row>
    <row r="577571" spans="12:13" x14ac:dyDescent="0.25">
      <c r="L577571" s="472"/>
      <c r="M577571" s="472"/>
    </row>
    <row r="577572" spans="12:13" x14ac:dyDescent="0.25">
      <c r="L577572" s="472"/>
      <c r="M577572" s="472"/>
    </row>
    <row r="577573" spans="12:13" x14ac:dyDescent="0.25">
      <c r="L577573" s="472"/>
      <c r="M577573" s="472"/>
    </row>
    <row r="577645" spans="12:13" x14ac:dyDescent="0.25">
      <c r="L577645" s="472"/>
      <c r="M577645" s="472"/>
    </row>
    <row r="577646" spans="12:13" x14ac:dyDescent="0.25">
      <c r="L577646" s="472"/>
      <c r="M577646" s="472"/>
    </row>
    <row r="577647" spans="12:13" x14ac:dyDescent="0.25">
      <c r="L577647" s="472"/>
      <c r="M577647" s="472"/>
    </row>
    <row r="577719" spans="12:13" x14ac:dyDescent="0.25">
      <c r="L577719" s="472"/>
      <c r="M577719" s="472"/>
    </row>
    <row r="577720" spans="12:13" x14ac:dyDescent="0.25">
      <c r="L577720" s="472"/>
      <c r="M577720" s="472"/>
    </row>
    <row r="577721" spans="12:13" x14ac:dyDescent="0.25">
      <c r="L577721" s="472"/>
      <c r="M577721" s="472"/>
    </row>
    <row r="577793" spans="12:13" x14ac:dyDescent="0.25">
      <c r="L577793" s="472"/>
      <c r="M577793" s="472"/>
    </row>
    <row r="577794" spans="12:13" x14ac:dyDescent="0.25">
      <c r="L577794" s="472"/>
      <c r="M577794" s="472"/>
    </row>
    <row r="577795" spans="12:13" x14ac:dyDescent="0.25">
      <c r="L577795" s="472"/>
      <c r="M577795" s="472"/>
    </row>
    <row r="577867" spans="12:13" x14ac:dyDescent="0.25">
      <c r="L577867" s="472"/>
      <c r="M577867" s="472"/>
    </row>
    <row r="577868" spans="12:13" x14ac:dyDescent="0.25">
      <c r="L577868" s="472"/>
      <c r="M577868" s="472"/>
    </row>
    <row r="577869" spans="12:13" x14ac:dyDescent="0.25">
      <c r="L577869" s="472"/>
      <c r="M577869" s="472"/>
    </row>
    <row r="577941" spans="12:13" x14ac:dyDescent="0.25">
      <c r="L577941" s="472"/>
      <c r="M577941" s="472"/>
    </row>
    <row r="577942" spans="12:13" x14ac:dyDescent="0.25">
      <c r="L577942" s="472"/>
      <c r="M577942" s="472"/>
    </row>
    <row r="577943" spans="12:13" x14ac:dyDescent="0.25">
      <c r="L577943" s="472"/>
      <c r="M577943" s="472"/>
    </row>
    <row r="578015" spans="12:13" x14ac:dyDescent="0.25">
      <c r="L578015" s="472"/>
      <c r="M578015" s="472"/>
    </row>
    <row r="578016" spans="12:13" x14ac:dyDescent="0.25">
      <c r="L578016" s="472"/>
      <c r="M578016" s="472"/>
    </row>
    <row r="578017" spans="12:13" x14ac:dyDescent="0.25">
      <c r="L578017" s="472"/>
      <c r="M578017" s="472"/>
    </row>
    <row r="578089" spans="12:13" x14ac:dyDescent="0.25">
      <c r="L578089" s="472"/>
      <c r="M578089" s="472"/>
    </row>
    <row r="578090" spans="12:13" x14ac:dyDescent="0.25">
      <c r="L578090" s="472"/>
      <c r="M578090" s="472"/>
    </row>
    <row r="578091" spans="12:13" x14ac:dyDescent="0.25">
      <c r="L578091" s="472"/>
      <c r="M578091" s="472"/>
    </row>
    <row r="578163" spans="12:13" x14ac:dyDescent="0.25">
      <c r="L578163" s="472"/>
      <c r="M578163" s="472"/>
    </row>
    <row r="578164" spans="12:13" x14ac:dyDescent="0.25">
      <c r="L578164" s="472"/>
      <c r="M578164" s="472"/>
    </row>
    <row r="578165" spans="12:13" x14ac:dyDescent="0.25">
      <c r="L578165" s="472"/>
      <c r="M578165" s="472"/>
    </row>
    <row r="578237" spans="12:13" x14ac:dyDescent="0.25">
      <c r="L578237" s="472"/>
      <c r="M578237" s="472"/>
    </row>
    <row r="578238" spans="12:13" x14ac:dyDescent="0.25">
      <c r="L578238" s="472"/>
      <c r="M578238" s="472"/>
    </row>
    <row r="578239" spans="12:13" x14ac:dyDescent="0.25">
      <c r="L578239" s="472"/>
      <c r="M578239" s="472"/>
    </row>
    <row r="578311" spans="12:13" x14ac:dyDescent="0.25">
      <c r="L578311" s="472"/>
      <c r="M578311" s="472"/>
    </row>
    <row r="578312" spans="12:13" x14ac:dyDescent="0.25">
      <c r="L578312" s="472"/>
      <c r="M578312" s="472"/>
    </row>
    <row r="578313" spans="12:13" x14ac:dyDescent="0.25">
      <c r="L578313" s="472"/>
      <c r="M578313" s="472"/>
    </row>
    <row r="578385" spans="12:13" x14ac:dyDescent="0.25">
      <c r="L578385" s="472"/>
      <c r="M578385" s="472"/>
    </row>
    <row r="578386" spans="12:13" x14ac:dyDescent="0.25">
      <c r="L578386" s="472"/>
      <c r="M578386" s="472"/>
    </row>
    <row r="578387" spans="12:13" x14ac:dyDescent="0.25">
      <c r="L578387" s="472"/>
      <c r="M578387" s="472"/>
    </row>
    <row r="578459" spans="12:13" x14ac:dyDescent="0.25">
      <c r="L578459" s="472"/>
      <c r="M578459" s="472"/>
    </row>
    <row r="578460" spans="12:13" x14ac:dyDescent="0.25">
      <c r="L578460" s="472"/>
      <c r="M578460" s="472"/>
    </row>
    <row r="578461" spans="12:13" x14ac:dyDescent="0.25">
      <c r="L578461" s="472"/>
      <c r="M578461" s="472"/>
    </row>
    <row r="578533" spans="12:13" x14ac:dyDescent="0.25">
      <c r="L578533" s="472"/>
      <c r="M578533" s="472"/>
    </row>
    <row r="578534" spans="12:13" x14ac:dyDescent="0.25">
      <c r="L578534" s="472"/>
      <c r="M578534" s="472"/>
    </row>
    <row r="578535" spans="12:13" x14ac:dyDescent="0.25">
      <c r="L578535" s="472"/>
      <c r="M578535" s="472"/>
    </row>
    <row r="578607" spans="12:13" x14ac:dyDescent="0.25">
      <c r="L578607" s="472"/>
      <c r="M578607" s="472"/>
    </row>
    <row r="578608" spans="12:13" x14ac:dyDescent="0.25">
      <c r="L578608" s="472"/>
      <c r="M578608" s="472"/>
    </row>
    <row r="578609" spans="12:13" x14ac:dyDescent="0.25">
      <c r="L578609" s="472"/>
      <c r="M578609" s="472"/>
    </row>
    <row r="578681" spans="12:13" x14ac:dyDescent="0.25">
      <c r="L578681" s="472"/>
      <c r="M578681" s="472"/>
    </row>
    <row r="578682" spans="12:13" x14ac:dyDescent="0.25">
      <c r="L578682" s="472"/>
      <c r="M578682" s="472"/>
    </row>
    <row r="578683" spans="12:13" x14ac:dyDescent="0.25">
      <c r="L578683" s="472"/>
      <c r="M578683" s="472"/>
    </row>
    <row r="578755" spans="12:13" x14ac:dyDescent="0.25">
      <c r="L578755" s="472"/>
      <c r="M578755" s="472"/>
    </row>
    <row r="578756" spans="12:13" x14ac:dyDescent="0.25">
      <c r="L578756" s="472"/>
      <c r="M578756" s="472"/>
    </row>
    <row r="578757" spans="12:13" x14ac:dyDescent="0.25">
      <c r="L578757" s="472"/>
      <c r="M578757" s="472"/>
    </row>
    <row r="578829" spans="12:13" x14ac:dyDescent="0.25">
      <c r="L578829" s="472"/>
      <c r="M578829" s="472"/>
    </row>
    <row r="578830" spans="12:13" x14ac:dyDescent="0.25">
      <c r="L578830" s="472"/>
      <c r="M578830" s="472"/>
    </row>
    <row r="578831" spans="12:13" x14ac:dyDescent="0.25">
      <c r="L578831" s="472"/>
      <c r="M578831" s="472"/>
    </row>
    <row r="578903" spans="12:13" x14ac:dyDescent="0.25">
      <c r="L578903" s="472"/>
      <c r="M578903" s="472"/>
    </row>
    <row r="578904" spans="12:13" x14ac:dyDescent="0.25">
      <c r="L578904" s="472"/>
      <c r="M578904" s="472"/>
    </row>
    <row r="578905" spans="12:13" x14ac:dyDescent="0.25">
      <c r="L578905" s="472"/>
      <c r="M578905" s="472"/>
    </row>
    <row r="578977" spans="12:13" x14ac:dyDescent="0.25">
      <c r="L578977" s="472"/>
      <c r="M578977" s="472"/>
    </row>
    <row r="578978" spans="12:13" x14ac:dyDescent="0.25">
      <c r="L578978" s="472"/>
      <c r="M578978" s="472"/>
    </row>
    <row r="578979" spans="12:13" x14ac:dyDescent="0.25">
      <c r="L578979" s="472"/>
      <c r="M578979" s="472"/>
    </row>
    <row r="579051" spans="12:13" x14ac:dyDescent="0.25">
      <c r="L579051" s="472"/>
      <c r="M579051" s="472"/>
    </row>
    <row r="579052" spans="12:13" x14ac:dyDescent="0.25">
      <c r="L579052" s="472"/>
      <c r="M579052" s="472"/>
    </row>
    <row r="579053" spans="12:13" x14ac:dyDescent="0.25">
      <c r="L579053" s="472"/>
      <c r="M579053" s="472"/>
    </row>
    <row r="579125" spans="12:13" x14ac:dyDescent="0.25">
      <c r="L579125" s="472"/>
      <c r="M579125" s="472"/>
    </row>
    <row r="579126" spans="12:13" x14ac:dyDescent="0.25">
      <c r="L579126" s="472"/>
      <c r="M579126" s="472"/>
    </row>
    <row r="579127" spans="12:13" x14ac:dyDescent="0.25">
      <c r="L579127" s="472"/>
      <c r="M579127" s="472"/>
    </row>
    <row r="579199" spans="12:13" x14ac:dyDescent="0.25">
      <c r="L579199" s="472"/>
      <c r="M579199" s="472"/>
    </row>
    <row r="579200" spans="12:13" x14ac:dyDescent="0.25">
      <c r="L579200" s="472"/>
      <c r="M579200" s="472"/>
    </row>
    <row r="579201" spans="12:13" x14ac:dyDescent="0.25">
      <c r="L579201" s="472"/>
      <c r="M579201" s="472"/>
    </row>
    <row r="579273" spans="12:13" x14ac:dyDescent="0.25">
      <c r="L579273" s="472"/>
      <c r="M579273" s="472"/>
    </row>
    <row r="579274" spans="12:13" x14ac:dyDescent="0.25">
      <c r="L579274" s="472"/>
      <c r="M579274" s="472"/>
    </row>
    <row r="579275" spans="12:13" x14ac:dyDescent="0.25">
      <c r="L579275" s="472"/>
      <c r="M579275" s="472"/>
    </row>
    <row r="579347" spans="12:13" x14ac:dyDescent="0.25">
      <c r="L579347" s="472"/>
      <c r="M579347" s="472"/>
    </row>
    <row r="579348" spans="12:13" x14ac:dyDescent="0.25">
      <c r="L579348" s="472"/>
      <c r="M579348" s="472"/>
    </row>
    <row r="579349" spans="12:13" x14ac:dyDescent="0.25">
      <c r="L579349" s="472"/>
      <c r="M579349" s="472"/>
    </row>
    <row r="579421" spans="12:13" x14ac:dyDescent="0.25">
      <c r="L579421" s="472"/>
      <c r="M579421" s="472"/>
    </row>
    <row r="579422" spans="12:13" x14ac:dyDescent="0.25">
      <c r="L579422" s="472"/>
      <c r="M579422" s="472"/>
    </row>
    <row r="579423" spans="12:13" x14ac:dyDescent="0.25">
      <c r="L579423" s="472"/>
      <c r="M579423" s="472"/>
    </row>
    <row r="579495" spans="12:13" x14ac:dyDescent="0.25">
      <c r="L579495" s="472"/>
      <c r="M579495" s="472"/>
    </row>
    <row r="579496" spans="12:13" x14ac:dyDescent="0.25">
      <c r="L579496" s="472"/>
      <c r="M579496" s="472"/>
    </row>
    <row r="579497" spans="12:13" x14ac:dyDescent="0.25">
      <c r="L579497" s="472"/>
      <c r="M579497" s="472"/>
    </row>
    <row r="579569" spans="12:13" x14ac:dyDescent="0.25">
      <c r="L579569" s="472"/>
      <c r="M579569" s="472"/>
    </row>
    <row r="579570" spans="12:13" x14ac:dyDescent="0.25">
      <c r="L579570" s="472"/>
      <c r="M579570" s="472"/>
    </row>
    <row r="579571" spans="12:13" x14ac:dyDescent="0.25">
      <c r="L579571" s="472"/>
      <c r="M579571" s="472"/>
    </row>
    <row r="579643" spans="12:13" x14ac:dyDescent="0.25">
      <c r="L579643" s="472"/>
      <c r="M579643" s="472"/>
    </row>
    <row r="579644" spans="12:13" x14ac:dyDescent="0.25">
      <c r="L579644" s="472"/>
      <c r="M579644" s="472"/>
    </row>
    <row r="579645" spans="12:13" x14ac:dyDescent="0.25">
      <c r="L579645" s="472"/>
      <c r="M579645" s="472"/>
    </row>
    <row r="579717" spans="12:13" x14ac:dyDescent="0.25">
      <c r="L579717" s="472"/>
      <c r="M579717" s="472"/>
    </row>
    <row r="579718" spans="12:13" x14ac:dyDescent="0.25">
      <c r="L579718" s="472"/>
      <c r="M579718" s="472"/>
    </row>
    <row r="579719" spans="12:13" x14ac:dyDescent="0.25">
      <c r="L579719" s="472"/>
      <c r="M579719" s="472"/>
    </row>
    <row r="579791" spans="12:13" x14ac:dyDescent="0.25">
      <c r="L579791" s="472"/>
      <c r="M579791" s="472"/>
    </row>
    <row r="579792" spans="12:13" x14ac:dyDescent="0.25">
      <c r="L579792" s="472"/>
      <c r="M579792" s="472"/>
    </row>
    <row r="579793" spans="12:13" x14ac:dyDescent="0.25">
      <c r="L579793" s="472"/>
      <c r="M579793" s="472"/>
    </row>
    <row r="579865" spans="12:13" x14ac:dyDescent="0.25">
      <c r="L579865" s="472"/>
      <c r="M579865" s="472"/>
    </row>
    <row r="579866" spans="12:13" x14ac:dyDescent="0.25">
      <c r="L579866" s="472"/>
      <c r="M579866" s="472"/>
    </row>
    <row r="579867" spans="12:13" x14ac:dyDescent="0.25">
      <c r="L579867" s="472"/>
      <c r="M579867" s="472"/>
    </row>
    <row r="579939" spans="12:13" x14ac:dyDescent="0.25">
      <c r="L579939" s="472"/>
      <c r="M579939" s="472"/>
    </row>
    <row r="579940" spans="12:13" x14ac:dyDescent="0.25">
      <c r="L579940" s="472"/>
      <c r="M579940" s="472"/>
    </row>
    <row r="579941" spans="12:13" x14ac:dyDescent="0.25">
      <c r="L579941" s="472"/>
      <c r="M579941" s="472"/>
    </row>
    <row r="580013" spans="12:13" x14ac:dyDescent="0.25">
      <c r="L580013" s="472"/>
      <c r="M580013" s="472"/>
    </row>
    <row r="580014" spans="12:13" x14ac:dyDescent="0.25">
      <c r="L580014" s="472"/>
      <c r="M580014" s="472"/>
    </row>
    <row r="580015" spans="12:13" x14ac:dyDescent="0.25">
      <c r="L580015" s="472"/>
      <c r="M580015" s="472"/>
    </row>
    <row r="580087" spans="12:13" x14ac:dyDescent="0.25">
      <c r="L580087" s="472"/>
      <c r="M580087" s="472"/>
    </row>
    <row r="580088" spans="12:13" x14ac:dyDescent="0.25">
      <c r="L580088" s="472"/>
      <c r="M580088" s="472"/>
    </row>
    <row r="580089" spans="12:13" x14ac:dyDescent="0.25">
      <c r="L580089" s="472"/>
      <c r="M580089" s="472"/>
    </row>
    <row r="580161" spans="12:13" x14ac:dyDescent="0.25">
      <c r="L580161" s="472"/>
      <c r="M580161" s="472"/>
    </row>
    <row r="580162" spans="12:13" x14ac:dyDescent="0.25">
      <c r="L580162" s="472"/>
      <c r="M580162" s="472"/>
    </row>
    <row r="580163" spans="12:13" x14ac:dyDescent="0.25">
      <c r="L580163" s="472"/>
      <c r="M580163" s="472"/>
    </row>
    <row r="580235" spans="12:13" x14ac:dyDescent="0.25">
      <c r="L580235" s="472"/>
      <c r="M580235" s="472"/>
    </row>
    <row r="580236" spans="12:13" x14ac:dyDescent="0.25">
      <c r="L580236" s="472"/>
      <c r="M580236" s="472"/>
    </row>
    <row r="580237" spans="12:13" x14ac:dyDescent="0.25">
      <c r="L580237" s="472"/>
      <c r="M580237" s="472"/>
    </row>
    <row r="580309" spans="12:13" x14ac:dyDescent="0.25">
      <c r="L580309" s="472"/>
      <c r="M580309" s="472"/>
    </row>
    <row r="580310" spans="12:13" x14ac:dyDescent="0.25">
      <c r="L580310" s="472"/>
      <c r="M580310" s="472"/>
    </row>
    <row r="580311" spans="12:13" x14ac:dyDescent="0.25">
      <c r="L580311" s="472"/>
      <c r="M580311" s="472"/>
    </row>
    <row r="580383" spans="12:13" x14ac:dyDescent="0.25">
      <c r="L580383" s="472"/>
      <c r="M580383" s="472"/>
    </row>
    <row r="580384" spans="12:13" x14ac:dyDescent="0.25">
      <c r="L580384" s="472"/>
      <c r="M580384" s="472"/>
    </row>
    <row r="580385" spans="12:13" x14ac:dyDescent="0.25">
      <c r="L580385" s="472"/>
      <c r="M580385" s="472"/>
    </row>
    <row r="580457" spans="12:13" x14ac:dyDescent="0.25">
      <c r="L580457" s="472"/>
      <c r="M580457" s="472"/>
    </row>
    <row r="580458" spans="12:13" x14ac:dyDescent="0.25">
      <c r="L580458" s="472"/>
      <c r="M580458" s="472"/>
    </row>
    <row r="580459" spans="12:13" x14ac:dyDescent="0.25">
      <c r="L580459" s="472"/>
      <c r="M580459" s="472"/>
    </row>
    <row r="580531" spans="12:13" x14ac:dyDescent="0.25">
      <c r="L580531" s="472"/>
      <c r="M580531" s="472"/>
    </row>
    <row r="580532" spans="12:13" x14ac:dyDescent="0.25">
      <c r="L580532" s="472"/>
      <c r="M580532" s="472"/>
    </row>
    <row r="580533" spans="12:13" x14ac:dyDescent="0.25">
      <c r="L580533" s="472"/>
      <c r="M580533" s="472"/>
    </row>
    <row r="580605" spans="12:13" x14ac:dyDescent="0.25">
      <c r="L580605" s="472"/>
      <c r="M580605" s="472"/>
    </row>
    <row r="580606" spans="12:13" x14ac:dyDescent="0.25">
      <c r="L580606" s="472"/>
      <c r="M580606" s="472"/>
    </row>
    <row r="580607" spans="12:13" x14ac:dyDescent="0.25">
      <c r="L580607" s="472"/>
      <c r="M580607" s="472"/>
    </row>
    <row r="580679" spans="12:13" x14ac:dyDescent="0.25">
      <c r="L580679" s="472"/>
      <c r="M580679" s="472"/>
    </row>
    <row r="580680" spans="12:13" x14ac:dyDescent="0.25">
      <c r="L580680" s="472"/>
      <c r="M580680" s="472"/>
    </row>
    <row r="580681" spans="12:13" x14ac:dyDescent="0.25">
      <c r="L580681" s="472"/>
      <c r="M580681" s="472"/>
    </row>
    <row r="580753" spans="12:13" x14ac:dyDescent="0.25">
      <c r="L580753" s="472"/>
      <c r="M580753" s="472"/>
    </row>
    <row r="580754" spans="12:13" x14ac:dyDescent="0.25">
      <c r="L580754" s="472"/>
      <c r="M580754" s="472"/>
    </row>
    <row r="580755" spans="12:13" x14ac:dyDescent="0.25">
      <c r="L580755" s="472"/>
      <c r="M580755" s="472"/>
    </row>
    <row r="580827" spans="12:13" x14ac:dyDescent="0.25">
      <c r="L580827" s="472"/>
      <c r="M580827" s="472"/>
    </row>
    <row r="580828" spans="12:13" x14ac:dyDescent="0.25">
      <c r="L580828" s="472"/>
      <c r="M580828" s="472"/>
    </row>
    <row r="580829" spans="12:13" x14ac:dyDescent="0.25">
      <c r="L580829" s="472"/>
      <c r="M580829" s="472"/>
    </row>
    <row r="580901" spans="12:13" x14ac:dyDescent="0.25">
      <c r="L580901" s="472"/>
      <c r="M580901" s="472"/>
    </row>
    <row r="580902" spans="12:13" x14ac:dyDescent="0.25">
      <c r="L580902" s="472"/>
      <c r="M580902" s="472"/>
    </row>
    <row r="580903" spans="12:13" x14ac:dyDescent="0.25">
      <c r="L580903" s="472"/>
      <c r="M580903" s="472"/>
    </row>
    <row r="580975" spans="12:13" x14ac:dyDescent="0.25">
      <c r="L580975" s="472"/>
      <c r="M580975" s="472"/>
    </row>
    <row r="580976" spans="12:13" x14ac:dyDescent="0.25">
      <c r="L580976" s="472"/>
      <c r="M580976" s="472"/>
    </row>
    <row r="580977" spans="12:13" x14ac:dyDescent="0.25">
      <c r="L580977" s="472"/>
      <c r="M580977" s="472"/>
    </row>
    <row r="581049" spans="12:13" x14ac:dyDescent="0.25">
      <c r="L581049" s="472"/>
      <c r="M581049" s="472"/>
    </row>
    <row r="581050" spans="12:13" x14ac:dyDescent="0.25">
      <c r="L581050" s="472"/>
      <c r="M581050" s="472"/>
    </row>
    <row r="581051" spans="12:13" x14ac:dyDescent="0.25">
      <c r="L581051" s="472"/>
      <c r="M581051" s="472"/>
    </row>
    <row r="581123" spans="12:13" x14ac:dyDescent="0.25">
      <c r="L581123" s="472"/>
      <c r="M581123" s="472"/>
    </row>
    <row r="581124" spans="12:13" x14ac:dyDescent="0.25">
      <c r="L581124" s="472"/>
      <c r="M581124" s="472"/>
    </row>
    <row r="581125" spans="12:13" x14ac:dyDescent="0.25">
      <c r="L581125" s="472"/>
      <c r="M581125" s="472"/>
    </row>
    <row r="581197" spans="12:13" x14ac:dyDescent="0.25">
      <c r="L581197" s="472"/>
      <c r="M581197" s="472"/>
    </row>
    <row r="581198" spans="12:13" x14ac:dyDescent="0.25">
      <c r="L581198" s="472"/>
      <c r="M581198" s="472"/>
    </row>
    <row r="581199" spans="12:13" x14ac:dyDescent="0.25">
      <c r="L581199" s="472"/>
      <c r="M581199" s="472"/>
    </row>
    <row r="581271" spans="12:13" x14ac:dyDescent="0.25">
      <c r="L581271" s="472"/>
      <c r="M581271" s="472"/>
    </row>
    <row r="581272" spans="12:13" x14ac:dyDescent="0.25">
      <c r="L581272" s="472"/>
      <c r="M581272" s="472"/>
    </row>
    <row r="581273" spans="12:13" x14ac:dyDescent="0.25">
      <c r="L581273" s="472"/>
      <c r="M581273" s="472"/>
    </row>
    <row r="581345" spans="12:13" x14ac:dyDescent="0.25">
      <c r="L581345" s="472"/>
      <c r="M581345" s="472"/>
    </row>
    <row r="581346" spans="12:13" x14ac:dyDescent="0.25">
      <c r="L581346" s="472"/>
      <c r="M581346" s="472"/>
    </row>
    <row r="581347" spans="12:13" x14ac:dyDescent="0.25">
      <c r="L581347" s="472"/>
      <c r="M581347" s="472"/>
    </row>
    <row r="581419" spans="12:13" x14ac:dyDescent="0.25">
      <c r="L581419" s="472"/>
      <c r="M581419" s="472"/>
    </row>
    <row r="581420" spans="12:13" x14ac:dyDescent="0.25">
      <c r="L581420" s="472"/>
      <c r="M581420" s="472"/>
    </row>
    <row r="581421" spans="12:13" x14ac:dyDescent="0.25">
      <c r="L581421" s="472"/>
      <c r="M581421" s="472"/>
    </row>
    <row r="581493" spans="12:13" x14ac:dyDescent="0.25">
      <c r="L581493" s="472"/>
      <c r="M581493" s="472"/>
    </row>
    <row r="581494" spans="12:13" x14ac:dyDescent="0.25">
      <c r="L581494" s="472"/>
      <c r="M581494" s="472"/>
    </row>
    <row r="581495" spans="12:13" x14ac:dyDescent="0.25">
      <c r="L581495" s="472"/>
      <c r="M581495" s="472"/>
    </row>
    <row r="581567" spans="12:13" x14ac:dyDescent="0.25">
      <c r="L581567" s="472"/>
      <c r="M581567" s="472"/>
    </row>
    <row r="581568" spans="12:13" x14ac:dyDescent="0.25">
      <c r="L581568" s="472"/>
      <c r="M581568" s="472"/>
    </row>
    <row r="581569" spans="12:13" x14ac:dyDescent="0.25">
      <c r="L581569" s="472"/>
      <c r="M581569" s="472"/>
    </row>
    <row r="581641" spans="12:13" x14ac:dyDescent="0.25">
      <c r="L581641" s="472"/>
      <c r="M581641" s="472"/>
    </row>
    <row r="581642" spans="12:13" x14ac:dyDescent="0.25">
      <c r="L581642" s="472"/>
      <c r="M581642" s="472"/>
    </row>
    <row r="581643" spans="12:13" x14ac:dyDescent="0.25">
      <c r="L581643" s="472"/>
      <c r="M581643" s="472"/>
    </row>
    <row r="581715" spans="12:13" x14ac:dyDescent="0.25">
      <c r="L581715" s="472"/>
      <c r="M581715" s="472"/>
    </row>
    <row r="581716" spans="12:13" x14ac:dyDescent="0.25">
      <c r="L581716" s="472"/>
      <c r="M581716" s="472"/>
    </row>
    <row r="581717" spans="12:13" x14ac:dyDescent="0.25">
      <c r="L581717" s="472"/>
      <c r="M581717" s="472"/>
    </row>
    <row r="581789" spans="12:13" x14ac:dyDescent="0.25">
      <c r="L581789" s="472"/>
      <c r="M581789" s="472"/>
    </row>
    <row r="581790" spans="12:13" x14ac:dyDescent="0.25">
      <c r="L581790" s="472"/>
      <c r="M581790" s="472"/>
    </row>
    <row r="581791" spans="12:13" x14ac:dyDescent="0.25">
      <c r="L581791" s="472"/>
      <c r="M581791" s="472"/>
    </row>
    <row r="581863" spans="12:13" x14ac:dyDescent="0.25">
      <c r="L581863" s="472"/>
      <c r="M581863" s="472"/>
    </row>
    <row r="581864" spans="12:13" x14ac:dyDescent="0.25">
      <c r="L581864" s="472"/>
      <c r="M581864" s="472"/>
    </row>
    <row r="581865" spans="12:13" x14ac:dyDescent="0.25">
      <c r="L581865" s="472"/>
      <c r="M581865" s="472"/>
    </row>
    <row r="581937" spans="12:13" x14ac:dyDescent="0.25">
      <c r="L581937" s="472"/>
      <c r="M581937" s="472"/>
    </row>
    <row r="581938" spans="12:13" x14ac:dyDescent="0.25">
      <c r="L581938" s="472"/>
      <c r="M581938" s="472"/>
    </row>
    <row r="581939" spans="12:13" x14ac:dyDescent="0.25">
      <c r="L581939" s="472"/>
      <c r="M581939" s="472"/>
    </row>
    <row r="582011" spans="12:13" x14ac:dyDescent="0.25">
      <c r="L582011" s="472"/>
      <c r="M582011" s="472"/>
    </row>
    <row r="582012" spans="12:13" x14ac:dyDescent="0.25">
      <c r="L582012" s="472"/>
      <c r="M582012" s="472"/>
    </row>
    <row r="582013" spans="12:13" x14ac:dyDescent="0.25">
      <c r="L582013" s="472"/>
      <c r="M582013" s="472"/>
    </row>
    <row r="582085" spans="12:13" x14ac:dyDescent="0.25">
      <c r="L582085" s="472"/>
      <c r="M582085" s="472"/>
    </row>
    <row r="582086" spans="12:13" x14ac:dyDescent="0.25">
      <c r="L582086" s="472"/>
      <c r="M582086" s="472"/>
    </row>
    <row r="582087" spans="12:13" x14ac:dyDescent="0.25">
      <c r="L582087" s="472"/>
      <c r="M582087" s="472"/>
    </row>
    <row r="582159" spans="12:13" x14ac:dyDescent="0.25">
      <c r="L582159" s="472"/>
      <c r="M582159" s="472"/>
    </row>
    <row r="582160" spans="12:13" x14ac:dyDescent="0.25">
      <c r="L582160" s="472"/>
      <c r="M582160" s="472"/>
    </row>
    <row r="582161" spans="12:13" x14ac:dyDescent="0.25">
      <c r="L582161" s="472"/>
      <c r="M582161" s="472"/>
    </row>
    <row r="582233" spans="12:13" x14ac:dyDescent="0.25">
      <c r="L582233" s="472"/>
      <c r="M582233" s="472"/>
    </row>
    <row r="582234" spans="12:13" x14ac:dyDescent="0.25">
      <c r="L582234" s="472"/>
      <c r="M582234" s="472"/>
    </row>
    <row r="582235" spans="12:13" x14ac:dyDescent="0.25">
      <c r="L582235" s="472"/>
      <c r="M582235" s="472"/>
    </row>
    <row r="582307" spans="12:13" x14ac:dyDescent="0.25">
      <c r="L582307" s="472"/>
      <c r="M582307" s="472"/>
    </row>
    <row r="582308" spans="12:13" x14ac:dyDescent="0.25">
      <c r="L582308" s="472"/>
      <c r="M582308" s="472"/>
    </row>
    <row r="582309" spans="12:13" x14ac:dyDescent="0.25">
      <c r="L582309" s="472"/>
      <c r="M582309" s="472"/>
    </row>
    <row r="582381" spans="12:13" x14ac:dyDescent="0.25">
      <c r="L582381" s="472"/>
      <c r="M582381" s="472"/>
    </row>
    <row r="582382" spans="12:13" x14ac:dyDescent="0.25">
      <c r="L582382" s="472"/>
      <c r="M582382" s="472"/>
    </row>
    <row r="582383" spans="12:13" x14ac:dyDescent="0.25">
      <c r="L582383" s="472"/>
      <c r="M582383" s="472"/>
    </row>
    <row r="582455" spans="12:13" x14ac:dyDescent="0.25">
      <c r="L582455" s="472"/>
      <c r="M582455" s="472"/>
    </row>
    <row r="582456" spans="12:13" x14ac:dyDescent="0.25">
      <c r="L582456" s="472"/>
      <c r="M582456" s="472"/>
    </row>
    <row r="582457" spans="12:13" x14ac:dyDescent="0.25">
      <c r="L582457" s="472"/>
      <c r="M582457" s="472"/>
    </row>
    <row r="582529" spans="12:13" x14ac:dyDescent="0.25">
      <c r="L582529" s="472"/>
      <c r="M582529" s="472"/>
    </row>
    <row r="582530" spans="12:13" x14ac:dyDescent="0.25">
      <c r="L582530" s="472"/>
      <c r="M582530" s="472"/>
    </row>
    <row r="582531" spans="12:13" x14ac:dyDescent="0.25">
      <c r="L582531" s="472"/>
      <c r="M582531" s="472"/>
    </row>
    <row r="582603" spans="12:13" x14ac:dyDescent="0.25">
      <c r="L582603" s="472"/>
      <c r="M582603" s="472"/>
    </row>
    <row r="582604" spans="12:13" x14ac:dyDescent="0.25">
      <c r="L582604" s="472"/>
      <c r="M582604" s="472"/>
    </row>
    <row r="582605" spans="12:13" x14ac:dyDescent="0.25">
      <c r="L582605" s="472"/>
      <c r="M582605" s="472"/>
    </row>
    <row r="582677" spans="12:13" x14ac:dyDescent="0.25">
      <c r="L582677" s="472"/>
      <c r="M582677" s="472"/>
    </row>
    <row r="582678" spans="12:13" x14ac:dyDescent="0.25">
      <c r="L582678" s="472"/>
      <c r="M582678" s="472"/>
    </row>
    <row r="582679" spans="12:13" x14ac:dyDescent="0.25">
      <c r="L582679" s="472"/>
      <c r="M582679" s="472"/>
    </row>
    <row r="582751" spans="12:13" x14ac:dyDescent="0.25">
      <c r="L582751" s="472"/>
      <c r="M582751" s="472"/>
    </row>
    <row r="582752" spans="12:13" x14ac:dyDescent="0.25">
      <c r="L582752" s="472"/>
      <c r="M582752" s="472"/>
    </row>
    <row r="582753" spans="12:13" x14ac:dyDescent="0.25">
      <c r="L582753" s="472"/>
      <c r="M582753" s="472"/>
    </row>
    <row r="582825" spans="12:13" x14ac:dyDescent="0.25">
      <c r="L582825" s="472"/>
      <c r="M582825" s="472"/>
    </row>
    <row r="582826" spans="12:13" x14ac:dyDescent="0.25">
      <c r="L582826" s="472"/>
      <c r="M582826" s="472"/>
    </row>
    <row r="582827" spans="12:13" x14ac:dyDescent="0.25">
      <c r="L582827" s="472"/>
      <c r="M582827" s="472"/>
    </row>
    <row r="582899" spans="12:13" x14ac:dyDescent="0.25">
      <c r="L582899" s="472"/>
      <c r="M582899" s="472"/>
    </row>
    <row r="582900" spans="12:13" x14ac:dyDescent="0.25">
      <c r="L582900" s="472"/>
      <c r="M582900" s="472"/>
    </row>
    <row r="582901" spans="12:13" x14ac:dyDescent="0.25">
      <c r="L582901" s="472"/>
      <c r="M582901" s="472"/>
    </row>
    <row r="582973" spans="12:13" x14ac:dyDescent="0.25">
      <c r="L582973" s="472"/>
      <c r="M582973" s="472"/>
    </row>
    <row r="582974" spans="12:13" x14ac:dyDescent="0.25">
      <c r="L582974" s="472"/>
      <c r="M582974" s="472"/>
    </row>
    <row r="582975" spans="12:13" x14ac:dyDescent="0.25">
      <c r="L582975" s="472"/>
      <c r="M582975" s="472"/>
    </row>
    <row r="583047" spans="12:13" x14ac:dyDescent="0.25">
      <c r="L583047" s="472"/>
      <c r="M583047" s="472"/>
    </row>
    <row r="583048" spans="12:13" x14ac:dyDescent="0.25">
      <c r="L583048" s="472"/>
      <c r="M583048" s="472"/>
    </row>
    <row r="583049" spans="12:13" x14ac:dyDescent="0.25">
      <c r="L583049" s="472"/>
      <c r="M583049" s="472"/>
    </row>
    <row r="583121" spans="12:13" x14ac:dyDescent="0.25">
      <c r="L583121" s="472"/>
      <c r="M583121" s="472"/>
    </row>
    <row r="583122" spans="12:13" x14ac:dyDescent="0.25">
      <c r="L583122" s="472"/>
      <c r="M583122" s="472"/>
    </row>
    <row r="583123" spans="12:13" x14ac:dyDescent="0.25">
      <c r="L583123" s="472"/>
      <c r="M583123" s="472"/>
    </row>
    <row r="583195" spans="12:13" x14ac:dyDescent="0.25">
      <c r="L583195" s="472"/>
      <c r="M583195" s="472"/>
    </row>
    <row r="583196" spans="12:13" x14ac:dyDescent="0.25">
      <c r="L583196" s="472"/>
      <c r="M583196" s="472"/>
    </row>
    <row r="583197" spans="12:13" x14ac:dyDescent="0.25">
      <c r="L583197" s="472"/>
      <c r="M583197" s="472"/>
    </row>
    <row r="583269" spans="12:13" x14ac:dyDescent="0.25">
      <c r="L583269" s="472"/>
      <c r="M583269" s="472"/>
    </row>
    <row r="583270" spans="12:13" x14ac:dyDescent="0.25">
      <c r="L583270" s="472"/>
      <c r="M583270" s="472"/>
    </row>
    <row r="583271" spans="12:13" x14ac:dyDescent="0.25">
      <c r="L583271" s="472"/>
      <c r="M583271" s="472"/>
    </row>
    <row r="583343" spans="12:13" x14ac:dyDescent="0.25">
      <c r="L583343" s="472"/>
      <c r="M583343" s="472"/>
    </row>
    <row r="583344" spans="12:13" x14ac:dyDescent="0.25">
      <c r="L583344" s="472"/>
      <c r="M583344" s="472"/>
    </row>
    <row r="583345" spans="12:13" x14ac:dyDescent="0.25">
      <c r="L583345" s="472"/>
      <c r="M583345" s="472"/>
    </row>
    <row r="583417" spans="12:13" x14ac:dyDescent="0.25">
      <c r="L583417" s="472"/>
      <c r="M583417" s="472"/>
    </row>
    <row r="583418" spans="12:13" x14ac:dyDescent="0.25">
      <c r="L583418" s="472"/>
      <c r="M583418" s="472"/>
    </row>
    <row r="583419" spans="12:13" x14ac:dyDescent="0.25">
      <c r="L583419" s="472"/>
      <c r="M583419" s="472"/>
    </row>
    <row r="583491" spans="12:13" x14ac:dyDescent="0.25">
      <c r="L583491" s="472"/>
      <c r="M583491" s="472"/>
    </row>
    <row r="583492" spans="12:13" x14ac:dyDescent="0.25">
      <c r="L583492" s="472"/>
      <c r="M583492" s="472"/>
    </row>
    <row r="583493" spans="12:13" x14ac:dyDescent="0.25">
      <c r="L583493" s="472"/>
      <c r="M583493" s="472"/>
    </row>
    <row r="583565" spans="12:13" x14ac:dyDescent="0.25">
      <c r="L583565" s="472"/>
      <c r="M583565" s="472"/>
    </row>
    <row r="583566" spans="12:13" x14ac:dyDescent="0.25">
      <c r="L583566" s="472"/>
      <c r="M583566" s="472"/>
    </row>
    <row r="583567" spans="12:13" x14ac:dyDescent="0.25">
      <c r="L583567" s="472"/>
      <c r="M583567" s="472"/>
    </row>
    <row r="583639" spans="12:13" x14ac:dyDescent="0.25">
      <c r="L583639" s="472"/>
      <c r="M583639" s="472"/>
    </row>
    <row r="583640" spans="12:13" x14ac:dyDescent="0.25">
      <c r="L583640" s="472"/>
      <c r="M583640" s="472"/>
    </row>
    <row r="583641" spans="12:13" x14ac:dyDescent="0.25">
      <c r="L583641" s="472"/>
      <c r="M583641" s="472"/>
    </row>
    <row r="583713" spans="12:13" x14ac:dyDescent="0.25">
      <c r="L583713" s="472"/>
      <c r="M583713" s="472"/>
    </row>
    <row r="583714" spans="12:13" x14ac:dyDescent="0.25">
      <c r="L583714" s="472"/>
      <c r="M583714" s="472"/>
    </row>
    <row r="583715" spans="12:13" x14ac:dyDescent="0.25">
      <c r="L583715" s="472"/>
      <c r="M583715" s="472"/>
    </row>
    <row r="583787" spans="12:13" x14ac:dyDescent="0.25">
      <c r="L583787" s="472"/>
      <c r="M583787" s="472"/>
    </row>
    <row r="583788" spans="12:13" x14ac:dyDescent="0.25">
      <c r="L583788" s="472"/>
      <c r="M583788" s="472"/>
    </row>
    <row r="583789" spans="12:13" x14ac:dyDescent="0.25">
      <c r="L583789" s="472"/>
      <c r="M583789" s="472"/>
    </row>
    <row r="583861" spans="12:13" x14ac:dyDescent="0.25">
      <c r="L583861" s="472"/>
      <c r="M583861" s="472"/>
    </row>
    <row r="583862" spans="12:13" x14ac:dyDescent="0.25">
      <c r="L583862" s="472"/>
      <c r="M583862" s="472"/>
    </row>
    <row r="583863" spans="12:13" x14ac:dyDescent="0.25">
      <c r="L583863" s="472"/>
      <c r="M583863" s="472"/>
    </row>
    <row r="583935" spans="12:13" x14ac:dyDescent="0.25">
      <c r="L583935" s="472"/>
      <c r="M583935" s="472"/>
    </row>
    <row r="583936" spans="12:13" x14ac:dyDescent="0.25">
      <c r="L583936" s="472"/>
      <c r="M583936" s="472"/>
    </row>
    <row r="583937" spans="12:13" x14ac:dyDescent="0.25">
      <c r="L583937" s="472"/>
      <c r="M583937" s="472"/>
    </row>
    <row r="584009" spans="12:13" x14ac:dyDescent="0.25">
      <c r="L584009" s="472"/>
      <c r="M584009" s="472"/>
    </row>
    <row r="584010" spans="12:13" x14ac:dyDescent="0.25">
      <c r="L584010" s="472"/>
      <c r="M584010" s="472"/>
    </row>
    <row r="584011" spans="12:13" x14ac:dyDescent="0.25">
      <c r="L584011" s="472"/>
      <c r="M584011" s="472"/>
    </row>
    <row r="584083" spans="12:13" x14ac:dyDescent="0.25">
      <c r="L584083" s="472"/>
      <c r="M584083" s="472"/>
    </row>
    <row r="584084" spans="12:13" x14ac:dyDescent="0.25">
      <c r="L584084" s="472"/>
      <c r="M584084" s="472"/>
    </row>
    <row r="584085" spans="12:13" x14ac:dyDescent="0.25">
      <c r="L584085" s="472"/>
      <c r="M584085" s="472"/>
    </row>
    <row r="584157" spans="12:13" x14ac:dyDescent="0.25">
      <c r="L584157" s="472"/>
      <c r="M584157" s="472"/>
    </row>
    <row r="584158" spans="12:13" x14ac:dyDescent="0.25">
      <c r="L584158" s="472"/>
      <c r="M584158" s="472"/>
    </row>
    <row r="584159" spans="12:13" x14ac:dyDescent="0.25">
      <c r="L584159" s="472"/>
      <c r="M584159" s="472"/>
    </row>
    <row r="584231" spans="12:13" x14ac:dyDescent="0.25">
      <c r="L584231" s="472"/>
      <c r="M584231" s="472"/>
    </row>
    <row r="584232" spans="12:13" x14ac:dyDescent="0.25">
      <c r="L584232" s="472"/>
      <c r="M584232" s="472"/>
    </row>
    <row r="584233" spans="12:13" x14ac:dyDescent="0.25">
      <c r="L584233" s="472"/>
      <c r="M584233" s="472"/>
    </row>
    <row r="584305" spans="12:13" x14ac:dyDescent="0.25">
      <c r="L584305" s="472"/>
      <c r="M584305" s="472"/>
    </row>
    <row r="584306" spans="12:13" x14ac:dyDescent="0.25">
      <c r="L584306" s="472"/>
      <c r="M584306" s="472"/>
    </row>
    <row r="584307" spans="12:13" x14ac:dyDescent="0.25">
      <c r="L584307" s="472"/>
      <c r="M584307" s="472"/>
    </row>
    <row r="584379" spans="12:13" x14ac:dyDescent="0.25">
      <c r="L584379" s="472"/>
      <c r="M584379" s="472"/>
    </row>
    <row r="584380" spans="12:13" x14ac:dyDescent="0.25">
      <c r="L584380" s="472"/>
      <c r="M584380" s="472"/>
    </row>
    <row r="584381" spans="12:13" x14ac:dyDescent="0.25">
      <c r="L584381" s="472"/>
      <c r="M584381" s="472"/>
    </row>
    <row r="584453" spans="12:13" x14ac:dyDescent="0.25">
      <c r="L584453" s="472"/>
      <c r="M584453" s="472"/>
    </row>
    <row r="584454" spans="12:13" x14ac:dyDescent="0.25">
      <c r="L584454" s="472"/>
      <c r="M584454" s="472"/>
    </row>
    <row r="584455" spans="12:13" x14ac:dyDescent="0.25">
      <c r="L584455" s="472"/>
      <c r="M584455" s="472"/>
    </row>
    <row r="584527" spans="12:13" x14ac:dyDescent="0.25">
      <c r="L584527" s="472"/>
      <c r="M584527" s="472"/>
    </row>
    <row r="584528" spans="12:13" x14ac:dyDescent="0.25">
      <c r="L584528" s="472"/>
      <c r="M584528" s="472"/>
    </row>
    <row r="584529" spans="12:13" x14ac:dyDescent="0.25">
      <c r="L584529" s="472"/>
      <c r="M584529" s="472"/>
    </row>
    <row r="584601" spans="12:13" x14ac:dyDescent="0.25">
      <c r="L584601" s="472"/>
      <c r="M584601" s="472"/>
    </row>
    <row r="584602" spans="12:13" x14ac:dyDescent="0.25">
      <c r="L584602" s="472"/>
      <c r="M584602" s="472"/>
    </row>
    <row r="584603" spans="12:13" x14ac:dyDescent="0.25">
      <c r="L584603" s="472"/>
      <c r="M584603" s="472"/>
    </row>
    <row r="584675" spans="12:13" x14ac:dyDescent="0.25">
      <c r="L584675" s="472"/>
      <c r="M584675" s="472"/>
    </row>
    <row r="584676" spans="12:13" x14ac:dyDescent="0.25">
      <c r="L584676" s="472"/>
      <c r="M584676" s="472"/>
    </row>
    <row r="584677" spans="12:13" x14ac:dyDescent="0.25">
      <c r="L584677" s="472"/>
      <c r="M584677" s="472"/>
    </row>
    <row r="584749" spans="12:13" x14ac:dyDescent="0.25">
      <c r="L584749" s="472"/>
      <c r="M584749" s="472"/>
    </row>
    <row r="584750" spans="12:13" x14ac:dyDescent="0.25">
      <c r="L584750" s="472"/>
      <c r="M584750" s="472"/>
    </row>
    <row r="584751" spans="12:13" x14ac:dyDescent="0.25">
      <c r="L584751" s="472"/>
      <c r="M584751" s="472"/>
    </row>
    <row r="584823" spans="12:13" x14ac:dyDescent="0.25">
      <c r="L584823" s="472"/>
      <c r="M584823" s="472"/>
    </row>
    <row r="584824" spans="12:13" x14ac:dyDescent="0.25">
      <c r="L584824" s="472"/>
      <c r="M584824" s="472"/>
    </row>
    <row r="584825" spans="12:13" x14ac:dyDescent="0.25">
      <c r="L584825" s="472"/>
      <c r="M584825" s="472"/>
    </row>
    <row r="584897" spans="12:13" x14ac:dyDescent="0.25">
      <c r="L584897" s="472"/>
      <c r="M584897" s="472"/>
    </row>
    <row r="584898" spans="12:13" x14ac:dyDescent="0.25">
      <c r="L584898" s="472"/>
      <c r="M584898" s="472"/>
    </row>
    <row r="584899" spans="12:13" x14ac:dyDescent="0.25">
      <c r="L584899" s="472"/>
      <c r="M584899" s="472"/>
    </row>
    <row r="584971" spans="12:13" x14ac:dyDescent="0.25">
      <c r="L584971" s="472"/>
      <c r="M584971" s="472"/>
    </row>
    <row r="584972" spans="12:13" x14ac:dyDescent="0.25">
      <c r="L584972" s="472"/>
      <c r="M584972" s="472"/>
    </row>
    <row r="584973" spans="12:13" x14ac:dyDescent="0.25">
      <c r="L584973" s="472"/>
      <c r="M584973" s="472"/>
    </row>
    <row r="585045" spans="12:13" x14ac:dyDescent="0.25">
      <c r="L585045" s="472"/>
      <c r="M585045" s="472"/>
    </row>
    <row r="585046" spans="12:13" x14ac:dyDescent="0.25">
      <c r="L585046" s="472"/>
      <c r="M585046" s="472"/>
    </row>
    <row r="585047" spans="12:13" x14ac:dyDescent="0.25">
      <c r="L585047" s="472"/>
      <c r="M585047" s="472"/>
    </row>
    <row r="585119" spans="12:13" x14ac:dyDescent="0.25">
      <c r="L585119" s="472"/>
      <c r="M585119" s="472"/>
    </row>
    <row r="585120" spans="12:13" x14ac:dyDescent="0.25">
      <c r="L585120" s="472"/>
      <c r="M585120" s="472"/>
    </row>
    <row r="585121" spans="12:13" x14ac:dyDescent="0.25">
      <c r="L585121" s="472"/>
      <c r="M585121" s="472"/>
    </row>
    <row r="585193" spans="12:13" x14ac:dyDescent="0.25">
      <c r="L585193" s="472"/>
      <c r="M585193" s="472"/>
    </row>
    <row r="585194" spans="12:13" x14ac:dyDescent="0.25">
      <c r="L585194" s="472"/>
      <c r="M585194" s="472"/>
    </row>
    <row r="585195" spans="12:13" x14ac:dyDescent="0.25">
      <c r="L585195" s="472"/>
      <c r="M585195" s="472"/>
    </row>
    <row r="585267" spans="12:13" x14ac:dyDescent="0.25">
      <c r="L585267" s="472"/>
      <c r="M585267" s="472"/>
    </row>
    <row r="585268" spans="12:13" x14ac:dyDescent="0.25">
      <c r="L585268" s="472"/>
      <c r="M585268" s="472"/>
    </row>
    <row r="585269" spans="12:13" x14ac:dyDescent="0.25">
      <c r="L585269" s="472"/>
      <c r="M585269" s="472"/>
    </row>
    <row r="585341" spans="12:13" x14ac:dyDescent="0.25">
      <c r="L585341" s="472"/>
      <c r="M585341" s="472"/>
    </row>
    <row r="585342" spans="12:13" x14ac:dyDescent="0.25">
      <c r="L585342" s="472"/>
      <c r="M585342" s="472"/>
    </row>
    <row r="585343" spans="12:13" x14ac:dyDescent="0.25">
      <c r="L585343" s="472"/>
      <c r="M585343" s="472"/>
    </row>
    <row r="585415" spans="12:13" x14ac:dyDescent="0.25">
      <c r="L585415" s="472"/>
      <c r="M585415" s="472"/>
    </row>
    <row r="585416" spans="12:13" x14ac:dyDescent="0.25">
      <c r="L585416" s="472"/>
      <c r="M585416" s="472"/>
    </row>
    <row r="585417" spans="12:13" x14ac:dyDescent="0.25">
      <c r="L585417" s="472"/>
      <c r="M585417" s="472"/>
    </row>
    <row r="585489" spans="12:13" x14ac:dyDescent="0.25">
      <c r="L585489" s="472"/>
      <c r="M585489" s="472"/>
    </row>
    <row r="585490" spans="12:13" x14ac:dyDescent="0.25">
      <c r="L585490" s="472"/>
      <c r="M585490" s="472"/>
    </row>
    <row r="585491" spans="12:13" x14ac:dyDescent="0.25">
      <c r="L585491" s="472"/>
      <c r="M585491" s="472"/>
    </row>
    <row r="585563" spans="12:13" x14ac:dyDescent="0.25">
      <c r="L585563" s="472"/>
      <c r="M585563" s="472"/>
    </row>
    <row r="585564" spans="12:13" x14ac:dyDescent="0.25">
      <c r="L585564" s="472"/>
      <c r="M585564" s="472"/>
    </row>
    <row r="585565" spans="12:13" x14ac:dyDescent="0.25">
      <c r="L585565" s="472"/>
      <c r="M585565" s="472"/>
    </row>
    <row r="585637" spans="12:13" x14ac:dyDescent="0.25">
      <c r="L585637" s="472"/>
      <c r="M585637" s="472"/>
    </row>
    <row r="585638" spans="12:13" x14ac:dyDescent="0.25">
      <c r="L585638" s="472"/>
      <c r="M585638" s="472"/>
    </row>
    <row r="585639" spans="12:13" x14ac:dyDescent="0.25">
      <c r="L585639" s="472"/>
      <c r="M585639" s="472"/>
    </row>
    <row r="585711" spans="12:13" x14ac:dyDescent="0.25">
      <c r="L585711" s="472"/>
      <c r="M585711" s="472"/>
    </row>
    <row r="585712" spans="12:13" x14ac:dyDescent="0.25">
      <c r="L585712" s="472"/>
      <c r="M585712" s="472"/>
    </row>
    <row r="585713" spans="12:13" x14ac:dyDescent="0.25">
      <c r="L585713" s="472"/>
      <c r="M585713" s="472"/>
    </row>
    <row r="585785" spans="12:13" x14ac:dyDescent="0.25">
      <c r="L585785" s="472"/>
      <c r="M585785" s="472"/>
    </row>
    <row r="585786" spans="12:13" x14ac:dyDescent="0.25">
      <c r="L585786" s="472"/>
      <c r="M585786" s="472"/>
    </row>
    <row r="585787" spans="12:13" x14ac:dyDescent="0.25">
      <c r="L585787" s="472"/>
      <c r="M585787" s="472"/>
    </row>
    <row r="585859" spans="12:13" x14ac:dyDescent="0.25">
      <c r="L585859" s="472"/>
      <c r="M585859" s="472"/>
    </row>
    <row r="585860" spans="12:13" x14ac:dyDescent="0.25">
      <c r="L585860" s="472"/>
      <c r="M585860" s="472"/>
    </row>
    <row r="585861" spans="12:13" x14ac:dyDescent="0.25">
      <c r="L585861" s="472"/>
      <c r="M585861" s="472"/>
    </row>
    <row r="585933" spans="12:13" x14ac:dyDescent="0.25">
      <c r="L585933" s="472"/>
      <c r="M585933" s="472"/>
    </row>
    <row r="585934" spans="12:13" x14ac:dyDescent="0.25">
      <c r="L585934" s="472"/>
      <c r="M585934" s="472"/>
    </row>
    <row r="585935" spans="12:13" x14ac:dyDescent="0.25">
      <c r="L585935" s="472"/>
      <c r="M585935" s="472"/>
    </row>
    <row r="586007" spans="12:13" x14ac:dyDescent="0.25">
      <c r="L586007" s="472"/>
      <c r="M586007" s="472"/>
    </row>
    <row r="586008" spans="12:13" x14ac:dyDescent="0.25">
      <c r="L586008" s="472"/>
      <c r="M586008" s="472"/>
    </row>
    <row r="586009" spans="12:13" x14ac:dyDescent="0.25">
      <c r="L586009" s="472"/>
      <c r="M586009" s="472"/>
    </row>
    <row r="586081" spans="12:13" x14ac:dyDescent="0.25">
      <c r="L586081" s="472"/>
      <c r="M586081" s="472"/>
    </row>
    <row r="586082" spans="12:13" x14ac:dyDescent="0.25">
      <c r="L586082" s="472"/>
      <c r="M586082" s="472"/>
    </row>
    <row r="586083" spans="12:13" x14ac:dyDescent="0.25">
      <c r="L586083" s="472"/>
      <c r="M586083" s="472"/>
    </row>
    <row r="586155" spans="12:13" x14ac:dyDescent="0.25">
      <c r="L586155" s="472"/>
      <c r="M586155" s="472"/>
    </row>
    <row r="586156" spans="12:13" x14ac:dyDescent="0.25">
      <c r="L586156" s="472"/>
      <c r="M586156" s="472"/>
    </row>
    <row r="586157" spans="12:13" x14ac:dyDescent="0.25">
      <c r="L586157" s="472"/>
      <c r="M586157" s="472"/>
    </row>
    <row r="586229" spans="12:13" x14ac:dyDescent="0.25">
      <c r="L586229" s="472"/>
      <c r="M586229" s="472"/>
    </row>
    <row r="586230" spans="12:13" x14ac:dyDescent="0.25">
      <c r="L586230" s="472"/>
      <c r="M586230" s="472"/>
    </row>
    <row r="586231" spans="12:13" x14ac:dyDescent="0.25">
      <c r="L586231" s="472"/>
      <c r="M586231" s="472"/>
    </row>
    <row r="586303" spans="12:13" x14ac:dyDescent="0.25">
      <c r="L586303" s="472"/>
      <c r="M586303" s="472"/>
    </row>
    <row r="586304" spans="12:13" x14ac:dyDescent="0.25">
      <c r="L586304" s="472"/>
      <c r="M586304" s="472"/>
    </row>
    <row r="586305" spans="12:13" x14ac:dyDescent="0.25">
      <c r="L586305" s="472"/>
      <c r="M586305" s="472"/>
    </row>
    <row r="586377" spans="12:13" x14ac:dyDescent="0.25">
      <c r="L586377" s="472"/>
      <c r="M586377" s="472"/>
    </row>
    <row r="586378" spans="12:13" x14ac:dyDescent="0.25">
      <c r="L586378" s="472"/>
      <c r="M586378" s="472"/>
    </row>
    <row r="586379" spans="12:13" x14ac:dyDescent="0.25">
      <c r="L586379" s="472"/>
      <c r="M586379" s="472"/>
    </row>
    <row r="586451" spans="12:13" x14ac:dyDescent="0.25">
      <c r="L586451" s="472"/>
      <c r="M586451" s="472"/>
    </row>
    <row r="586452" spans="12:13" x14ac:dyDescent="0.25">
      <c r="L586452" s="472"/>
      <c r="M586452" s="472"/>
    </row>
    <row r="586453" spans="12:13" x14ac:dyDescent="0.25">
      <c r="L586453" s="472"/>
      <c r="M586453" s="472"/>
    </row>
    <row r="586525" spans="12:13" x14ac:dyDescent="0.25">
      <c r="L586525" s="472"/>
      <c r="M586525" s="472"/>
    </row>
    <row r="586526" spans="12:13" x14ac:dyDescent="0.25">
      <c r="L586526" s="472"/>
      <c r="M586526" s="472"/>
    </row>
    <row r="586527" spans="12:13" x14ac:dyDescent="0.25">
      <c r="L586527" s="472"/>
      <c r="M586527" s="472"/>
    </row>
    <row r="586599" spans="12:13" x14ac:dyDescent="0.25">
      <c r="L586599" s="472"/>
      <c r="M586599" s="472"/>
    </row>
    <row r="586600" spans="12:13" x14ac:dyDescent="0.25">
      <c r="L586600" s="472"/>
      <c r="M586600" s="472"/>
    </row>
    <row r="586601" spans="12:13" x14ac:dyDescent="0.25">
      <c r="L586601" s="472"/>
      <c r="M586601" s="472"/>
    </row>
    <row r="586673" spans="12:13" x14ac:dyDescent="0.25">
      <c r="L586673" s="472"/>
      <c r="M586673" s="472"/>
    </row>
    <row r="586674" spans="12:13" x14ac:dyDescent="0.25">
      <c r="L586674" s="472"/>
      <c r="M586674" s="472"/>
    </row>
    <row r="586675" spans="12:13" x14ac:dyDescent="0.25">
      <c r="L586675" s="472"/>
      <c r="M586675" s="472"/>
    </row>
    <row r="586747" spans="12:13" x14ac:dyDescent="0.25">
      <c r="L586747" s="472"/>
      <c r="M586747" s="472"/>
    </row>
    <row r="586748" spans="12:13" x14ac:dyDescent="0.25">
      <c r="L586748" s="472"/>
      <c r="M586748" s="472"/>
    </row>
    <row r="586749" spans="12:13" x14ac:dyDescent="0.25">
      <c r="L586749" s="472"/>
      <c r="M586749" s="472"/>
    </row>
    <row r="586821" spans="12:13" x14ac:dyDescent="0.25">
      <c r="L586821" s="472"/>
      <c r="M586821" s="472"/>
    </row>
    <row r="586822" spans="12:13" x14ac:dyDescent="0.25">
      <c r="L586822" s="472"/>
      <c r="M586822" s="472"/>
    </row>
    <row r="586823" spans="12:13" x14ac:dyDescent="0.25">
      <c r="L586823" s="472"/>
      <c r="M586823" s="472"/>
    </row>
    <row r="586895" spans="12:13" x14ac:dyDescent="0.25">
      <c r="L586895" s="472"/>
      <c r="M586895" s="472"/>
    </row>
    <row r="586896" spans="12:13" x14ac:dyDescent="0.25">
      <c r="L586896" s="472"/>
      <c r="M586896" s="472"/>
    </row>
    <row r="586897" spans="12:13" x14ac:dyDescent="0.25">
      <c r="L586897" s="472"/>
      <c r="M586897" s="472"/>
    </row>
    <row r="586969" spans="12:13" x14ac:dyDescent="0.25">
      <c r="L586969" s="472"/>
      <c r="M586969" s="472"/>
    </row>
    <row r="586970" spans="12:13" x14ac:dyDescent="0.25">
      <c r="L586970" s="472"/>
      <c r="M586970" s="472"/>
    </row>
    <row r="586971" spans="12:13" x14ac:dyDescent="0.25">
      <c r="L586971" s="472"/>
      <c r="M586971" s="472"/>
    </row>
    <row r="587043" spans="12:13" x14ac:dyDescent="0.25">
      <c r="L587043" s="472"/>
      <c r="M587043" s="472"/>
    </row>
    <row r="587044" spans="12:13" x14ac:dyDescent="0.25">
      <c r="L587044" s="472"/>
      <c r="M587044" s="472"/>
    </row>
    <row r="587045" spans="12:13" x14ac:dyDescent="0.25">
      <c r="L587045" s="472"/>
      <c r="M587045" s="472"/>
    </row>
    <row r="587117" spans="12:13" x14ac:dyDescent="0.25">
      <c r="L587117" s="472"/>
      <c r="M587117" s="472"/>
    </row>
    <row r="587118" spans="12:13" x14ac:dyDescent="0.25">
      <c r="L587118" s="472"/>
      <c r="M587118" s="472"/>
    </row>
    <row r="587119" spans="12:13" x14ac:dyDescent="0.25">
      <c r="L587119" s="472"/>
      <c r="M587119" s="472"/>
    </row>
    <row r="587191" spans="12:13" x14ac:dyDescent="0.25">
      <c r="L587191" s="472"/>
      <c r="M587191" s="472"/>
    </row>
    <row r="587192" spans="12:13" x14ac:dyDescent="0.25">
      <c r="L587192" s="472"/>
      <c r="M587192" s="472"/>
    </row>
    <row r="587193" spans="12:13" x14ac:dyDescent="0.25">
      <c r="L587193" s="472"/>
      <c r="M587193" s="472"/>
    </row>
    <row r="587265" spans="12:13" x14ac:dyDescent="0.25">
      <c r="L587265" s="472"/>
      <c r="M587265" s="472"/>
    </row>
    <row r="587266" spans="12:13" x14ac:dyDescent="0.25">
      <c r="L587266" s="472"/>
      <c r="M587266" s="472"/>
    </row>
    <row r="587267" spans="12:13" x14ac:dyDescent="0.25">
      <c r="L587267" s="472"/>
      <c r="M587267" s="472"/>
    </row>
    <row r="587339" spans="12:13" x14ac:dyDescent="0.25">
      <c r="L587339" s="472"/>
      <c r="M587339" s="472"/>
    </row>
    <row r="587340" spans="12:13" x14ac:dyDescent="0.25">
      <c r="L587340" s="472"/>
      <c r="M587340" s="472"/>
    </row>
    <row r="587341" spans="12:13" x14ac:dyDescent="0.25">
      <c r="L587341" s="472"/>
      <c r="M587341" s="472"/>
    </row>
    <row r="587413" spans="12:13" x14ac:dyDescent="0.25">
      <c r="L587413" s="472"/>
      <c r="M587413" s="472"/>
    </row>
    <row r="587414" spans="12:13" x14ac:dyDescent="0.25">
      <c r="L587414" s="472"/>
      <c r="M587414" s="472"/>
    </row>
    <row r="587415" spans="12:13" x14ac:dyDescent="0.25">
      <c r="L587415" s="472"/>
      <c r="M587415" s="472"/>
    </row>
    <row r="587487" spans="12:13" x14ac:dyDescent="0.25">
      <c r="L587487" s="472"/>
      <c r="M587487" s="472"/>
    </row>
    <row r="587488" spans="12:13" x14ac:dyDescent="0.25">
      <c r="L587488" s="472"/>
      <c r="M587488" s="472"/>
    </row>
    <row r="587489" spans="12:13" x14ac:dyDescent="0.25">
      <c r="L587489" s="472"/>
      <c r="M587489" s="472"/>
    </row>
    <row r="587561" spans="12:13" x14ac:dyDescent="0.25">
      <c r="L587561" s="472"/>
      <c r="M587561" s="472"/>
    </row>
    <row r="587562" spans="12:13" x14ac:dyDescent="0.25">
      <c r="L587562" s="472"/>
      <c r="M587562" s="472"/>
    </row>
    <row r="587563" spans="12:13" x14ac:dyDescent="0.25">
      <c r="L587563" s="472"/>
      <c r="M587563" s="472"/>
    </row>
    <row r="587635" spans="12:13" x14ac:dyDescent="0.25">
      <c r="L587635" s="472"/>
      <c r="M587635" s="472"/>
    </row>
    <row r="587636" spans="12:13" x14ac:dyDescent="0.25">
      <c r="L587636" s="472"/>
      <c r="M587636" s="472"/>
    </row>
    <row r="587637" spans="12:13" x14ac:dyDescent="0.25">
      <c r="L587637" s="472"/>
      <c r="M587637" s="472"/>
    </row>
    <row r="587709" spans="12:13" x14ac:dyDescent="0.25">
      <c r="L587709" s="472"/>
      <c r="M587709" s="472"/>
    </row>
    <row r="587710" spans="12:13" x14ac:dyDescent="0.25">
      <c r="L587710" s="472"/>
      <c r="M587710" s="472"/>
    </row>
    <row r="587711" spans="12:13" x14ac:dyDescent="0.25">
      <c r="L587711" s="472"/>
      <c r="M587711" s="472"/>
    </row>
    <row r="587783" spans="12:13" x14ac:dyDescent="0.25">
      <c r="L587783" s="472"/>
      <c r="M587783" s="472"/>
    </row>
    <row r="587784" spans="12:13" x14ac:dyDescent="0.25">
      <c r="L587784" s="472"/>
      <c r="M587784" s="472"/>
    </row>
    <row r="587785" spans="12:13" x14ac:dyDescent="0.25">
      <c r="L587785" s="472"/>
      <c r="M587785" s="472"/>
    </row>
    <row r="587857" spans="12:13" x14ac:dyDescent="0.25">
      <c r="L587857" s="472"/>
      <c r="M587857" s="472"/>
    </row>
    <row r="587858" spans="12:13" x14ac:dyDescent="0.25">
      <c r="L587858" s="472"/>
      <c r="M587858" s="472"/>
    </row>
    <row r="587859" spans="12:13" x14ac:dyDescent="0.25">
      <c r="L587859" s="472"/>
      <c r="M587859" s="472"/>
    </row>
    <row r="587931" spans="12:13" x14ac:dyDescent="0.25">
      <c r="L587931" s="472"/>
      <c r="M587931" s="472"/>
    </row>
    <row r="587932" spans="12:13" x14ac:dyDescent="0.25">
      <c r="L587932" s="472"/>
      <c r="M587932" s="472"/>
    </row>
    <row r="587933" spans="12:13" x14ac:dyDescent="0.25">
      <c r="L587933" s="472"/>
      <c r="M587933" s="472"/>
    </row>
    <row r="588005" spans="12:13" x14ac:dyDescent="0.25">
      <c r="L588005" s="472"/>
      <c r="M588005" s="472"/>
    </row>
    <row r="588006" spans="12:13" x14ac:dyDescent="0.25">
      <c r="L588006" s="472"/>
      <c r="M588006" s="472"/>
    </row>
    <row r="588007" spans="12:13" x14ac:dyDescent="0.25">
      <c r="L588007" s="472"/>
      <c r="M588007" s="472"/>
    </row>
    <row r="588079" spans="12:13" x14ac:dyDescent="0.25">
      <c r="L588079" s="472"/>
      <c r="M588079" s="472"/>
    </row>
    <row r="588080" spans="12:13" x14ac:dyDescent="0.25">
      <c r="L588080" s="472"/>
      <c r="M588080" s="472"/>
    </row>
    <row r="588081" spans="12:13" x14ac:dyDescent="0.25">
      <c r="L588081" s="472"/>
      <c r="M588081" s="472"/>
    </row>
    <row r="588153" spans="12:13" x14ac:dyDescent="0.25">
      <c r="L588153" s="472"/>
      <c r="M588153" s="472"/>
    </row>
    <row r="588154" spans="12:13" x14ac:dyDescent="0.25">
      <c r="L588154" s="472"/>
      <c r="M588154" s="472"/>
    </row>
    <row r="588155" spans="12:13" x14ac:dyDescent="0.25">
      <c r="L588155" s="472"/>
      <c r="M588155" s="472"/>
    </row>
    <row r="588227" spans="12:13" x14ac:dyDescent="0.25">
      <c r="L588227" s="472"/>
      <c r="M588227" s="472"/>
    </row>
    <row r="588228" spans="12:13" x14ac:dyDescent="0.25">
      <c r="L588228" s="472"/>
      <c r="M588228" s="472"/>
    </row>
    <row r="588229" spans="12:13" x14ac:dyDescent="0.25">
      <c r="L588229" s="472"/>
      <c r="M588229" s="472"/>
    </row>
    <row r="588301" spans="12:13" x14ac:dyDescent="0.25">
      <c r="L588301" s="472"/>
      <c r="M588301" s="472"/>
    </row>
    <row r="588302" spans="12:13" x14ac:dyDescent="0.25">
      <c r="L588302" s="472"/>
      <c r="M588302" s="472"/>
    </row>
    <row r="588303" spans="12:13" x14ac:dyDescent="0.25">
      <c r="L588303" s="472"/>
      <c r="M588303" s="472"/>
    </row>
    <row r="588375" spans="12:13" x14ac:dyDescent="0.25">
      <c r="L588375" s="472"/>
      <c r="M588375" s="472"/>
    </row>
    <row r="588376" spans="12:13" x14ac:dyDescent="0.25">
      <c r="L588376" s="472"/>
      <c r="M588376" s="472"/>
    </row>
    <row r="588377" spans="12:13" x14ac:dyDescent="0.25">
      <c r="L588377" s="472"/>
      <c r="M588377" s="472"/>
    </row>
    <row r="588449" spans="12:13" x14ac:dyDescent="0.25">
      <c r="L588449" s="472"/>
      <c r="M588449" s="472"/>
    </row>
    <row r="588450" spans="12:13" x14ac:dyDescent="0.25">
      <c r="L588450" s="472"/>
      <c r="M588450" s="472"/>
    </row>
    <row r="588451" spans="12:13" x14ac:dyDescent="0.25">
      <c r="L588451" s="472"/>
      <c r="M588451" s="472"/>
    </row>
    <row r="588523" spans="12:13" x14ac:dyDescent="0.25">
      <c r="L588523" s="472"/>
      <c r="M588523" s="472"/>
    </row>
    <row r="588524" spans="12:13" x14ac:dyDescent="0.25">
      <c r="L588524" s="472"/>
      <c r="M588524" s="472"/>
    </row>
    <row r="588525" spans="12:13" x14ac:dyDescent="0.25">
      <c r="L588525" s="472"/>
      <c r="M588525" s="472"/>
    </row>
    <row r="588597" spans="12:13" x14ac:dyDescent="0.25">
      <c r="L588597" s="472"/>
      <c r="M588597" s="472"/>
    </row>
    <row r="588598" spans="12:13" x14ac:dyDescent="0.25">
      <c r="L588598" s="472"/>
      <c r="M588598" s="472"/>
    </row>
    <row r="588599" spans="12:13" x14ac:dyDescent="0.25">
      <c r="L588599" s="472"/>
      <c r="M588599" s="472"/>
    </row>
    <row r="588671" spans="12:13" x14ac:dyDescent="0.25">
      <c r="L588671" s="472"/>
      <c r="M588671" s="472"/>
    </row>
    <row r="588672" spans="12:13" x14ac:dyDescent="0.25">
      <c r="L588672" s="472"/>
      <c r="M588672" s="472"/>
    </row>
    <row r="588673" spans="12:13" x14ac:dyDescent="0.25">
      <c r="L588673" s="472"/>
      <c r="M588673" s="472"/>
    </row>
    <row r="588745" spans="12:13" x14ac:dyDescent="0.25">
      <c r="L588745" s="472"/>
      <c r="M588745" s="472"/>
    </row>
    <row r="588746" spans="12:13" x14ac:dyDescent="0.25">
      <c r="L588746" s="472"/>
      <c r="M588746" s="472"/>
    </row>
    <row r="588747" spans="12:13" x14ac:dyDescent="0.25">
      <c r="L588747" s="472"/>
      <c r="M588747" s="472"/>
    </row>
    <row r="588819" spans="12:13" x14ac:dyDescent="0.25">
      <c r="L588819" s="472"/>
      <c r="M588819" s="472"/>
    </row>
    <row r="588820" spans="12:13" x14ac:dyDescent="0.25">
      <c r="L588820" s="472"/>
      <c r="M588820" s="472"/>
    </row>
    <row r="588821" spans="12:13" x14ac:dyDescent="0.25">
      <c r="L588821" s="472"/>
      <c r="M588821" s="472"/>
    </row>
    <row r="588893" spans="12:13" x14ac:dyDescent="0.25">
      <c r="L588893" s="472"/>
      <c r="M588893" s="472"/>
    </row>
    <row r="588894" spans="12:13" x14ac:dyDescent="0.25">
      <c r="L588894" s="472"/>
      <c r="M588894" s="472"/>
    </row>
    <row r="588895" spans="12:13" x14ac:dyDescent="0.25">
      <c r="L588895" s="472"/>
      <c r="M588895" s="472"/>
    </row>
    <row r="588967" spans="12:13" x14ac:dyDescent="0.25">
      <c r="L588967" s="472"/>
      <c r="M588967" s="472"/>
    </row>
    <row r="588968" spans="12:13" x14ac:dyDescent="0.25">
      <c r="L588968" s="472"/>
      <c r="M588968" s="472"/>
    </row>
    <row r="588969" spans="12:13" x14ac:dyDescent="0.25">
      <c r="L588969" s="472"/>
      <c r="M588969" s="472"/>
    </row>
    <row r="589041" spans="12:13" x14ac:dyDescent="0.25">
      <c r="L589041" s="472"/>
      <c r="M589041" s="472"/>
    </row>
    <row r="589042" spans="12:13" x14ac:dyDescent="0.25">
      <c r="L589042" s="472"/>
      <c r="M589042" s="472"/>
    </row>
    <row r="589043" spans="12:13" x14ac:dyDescent="0.25">
      <c r="L589043" s="472"/>
      <c r="M589043" s="472"/>
    </row>
    <row r="589115" spans="12:13" x14ac:dyDescent="0.25">
      <c r="L589115" s="472"/>
      <c r="M589115" s="472"/>
    </row>
    <row r="589116" spans="12:13" x14ac:dyDescent="0.25">
      <c r="L589116" s="472"/>
      <c r="M589116" s="472"/>
    </row>
    <row r="589117" spans="12:13" x14ac:dyDescent="0.25">
      <c r="L589117" s="472"/>
      <c r="M589117" s="472"/>
    </row>
    <row r="589189" spans="12:13" x14ac:dyDescent="0.25">
      <c r="L589189" s="472"/>
      <c r="M589189" s="472"/>
    </row>
    <row r="589190" spans="12:13" x14ac:dyDescent="0.25">
      <c r="L589190" s="472"/>
      <c r="M589190" s="472"/>
    </row>
    <row r="589191" spans="12:13" x14ac:dyDescent="0.25">
      <c r="L589191" s="472"/>
      <c r="M589191" s="472"/>
    </row>
    <row r="589263" spans="12:13" x14ac:dyDescent="0.25">
      <c r="L589263" s="472"/>
      <c r="M589263" s="472"/>
    </row>
    <row r="589264" spans="12:13" x14ac:dyDescent="0.25">
      <c r="L589264" s="472"/>
      <c r="M589264" s="472"/>
    </row>
    <row r="589265" spans="12:13" x14ac:dyDescent="0.25">
      <c r="L589265" s="472"/>
      <c r="M589265" s="472"/>
    </row>
    <row r="589337" spans="12:13" x14ac:dyDescent="0.25">
      <c r="L589337" s="472"/>
      <c r="M589337" s="472"/>
    </row>
    <row r="589338" spans="12:13" x14ac:dyDescent="0.25">
      <c r="L589338" s="472"/>
      <c r="M589338" s="472"/>
    </row>
    <row r="589339" spans="12:13" x14ac:dyDescent="0.25">
      <c r="L589339" s="472"/>
      <c r="M589339" s="472"/>
    </row>
    <row r="589411" spans="12:13" x14ac:dyDescent="0.25">
      <c r="L589411" s="472"/>
      <c r="M589411" s="472"/>
    </row>
    <row r="589412" spans="12:13" x14ac:dyDescent="0.25">
      <c r="L589412" s="472"/>
      <c r="M589412" s="472"/>
    </row>
    <row r="589413" spans="12:13" x14ac:dyDescent="0.25">
      <c r="L589413" s="472"/>
      <c r="M589413" s="472"/>
    </row>
    <row r="589485" spans="12:13" x14ac:dyDescent="0.25">
      <c r="L589485" s="472"/>
      <c r="M589485" s="472"/>
    </row>
    <row r="589486" spans="12:13" x14ac:dyDescent="0.25">
      <c r="L589486" s="472"/>
      <c r="M589486" s="472"/>
    </row>
    <row r="589487" spans="12:13" x14ac:dyDescent="0.25">
      <c r="L589487" s="472"/>
      <c r="M589487" s="472"/>
    </row>
    <row r="589559" spans="12:13" x14ac:dyDescent="0.25">
      <c r="L589559" s="472"/>
      <c r="M589559" s="472"/>
    </row>
    <row r="589560" spans="12:13" x14ac:dyDescent="0.25">
      <c r="L589560" s="472"/>
      <c r="M589560" s="472"/>
    </row>
    <row r="589561" spans="12:13" x14ac:dyDescent="0.25">
      <c r="L589561" s="472"/>
      <c r="M589561" s="472"/>
    </row>
    <row r="589633" spans="12:13" x14ac:dyDescent="0.25">
      <c r="L589633" s="472"/>
      <c r="M589633" s="472"/>
    </row>
    <row r="589634" spans="12:13" x14ac:dyDescent="0.25">
      <c r="L589634" s="472"/>
      <c r="M589634" s="472"/>
    </row>
    <row r="589635" spans="12:13" x14ac:dyDescent="0.25">
      <c r="L589635" s="472"/>
      <c r="M589635" s="472"/>
    </row>
    <row r="589707" spans="12:13" x14ac:dyDescent="0.25">
      <c r="L589707" s="472"/>
      <c r="M589707" s="472"/>
    </row>
    <row r="589708" spans="12:13" x14ac:dyDescent="0.25">
      <c r="L589708" s="472"/>
      <c r="M589708" s="472"/>
    </row>
    <row r="589709" spans="12:13" x14ac:dyDescent="0.25">
      <c r="L589709" s="472"/>
      <c r="M589709" s="472"/>
    </row>
    <row r="589781" spans="12:13" x14ac:dyDescent="0.25">
      <c r="L589781" s="472"/>
      <c r="M589781" s="472"/>
    </row>
    <row r="589782" spans="12:13" x14ac:dyDescent="0.25">
      <c r="L589782" s="472"/>
      <c r="M589782" s="472"/>
    </row>
    <row r="589783" spans="12:13" x14ac:dyDescent="0.25">
      <c r="L589783" s="472"/>
      <c r="M589783" s="472"/>
    </row>
    <row r="589855" spans="12:13" x14ac:dyDescent="0.25">
      <c r="L589855" s="472"/>
      <c r="M589855" s="472"/>
    </row>
    <row r="589856" spans="12:13" x14ac:dyDescent="0.25">
      <c r="L589856" s="472"/>
      <c r="M589856" s="472"/>
    </row>
    <row r="589857" spans="12:13" x14ac:dyDescent="0.25">
      <c r="L589857" s="472"/>
      <c r="M589857" s="472"/>
    </row>
    <row r="589929" spans="12:13" x14ac:dyDescent="0.25">
      <c r="L589929" s="472"/>
      <c r="M589929" s="472"/>
    </row>
    <row r="589930" spans="12:13" x14ac:dyDescent="0.25">
      <c r="L589930" s="472"/>
      <c r="M589930" s="472"/>
    </row>
    <row r="589931" spans="12:13" x14ac:dyDescent="0.25">
      <c r="L589931" s="472"/>
      <c r="M589931" s="472"/>
    </row>
    <row r="590003" spans="12:13" x14ac:dyDescent="0.25">
      <c r="L590003" s="472"/>
      <c r="M590003" s="472"/>
    </row>
    <row r="590004" spans="12:13" x14ac:dyDescent="0.25">
      <c r="L590004" s="472"/>
      <c r="M590004" s="472"/>
    </row>
    <row r="590005" spans="12:13" x14ac:dyDescent="0.25">
      <c r="L590005" s="472"/>
      <c r="M590005" s="472"/>
    </row>
    <row r="590077" spans="12:13" x14ac:dyDescent="0.25">
      <c r="L590077" s="472"/>
      <c r="M590077" s="472"/>
    </row>
    <row r="590078" spans="12:13" x14ac:dyDescent="0.25">
      <c r="L590078" s="472"/>
      <c r="M590078" s="472"/>
    </row>
    <row r="590079" spans="12:13" x14ac:dyDescent="0.25">
      <c r="L590079" s="472"/>
      <c r="M590079" s="472"/>
    </row>
    <row r="590151" spans="12:13" x14ac:dyDescent="0.25">
      <c r="L590151" s="472"/>
      <c r="M590151" s="472"/>
    </row>
    <row r="590152" spans="12:13" x14ac:dyDescent="0.25">
      <c r="L590152" s="472"/>
      <c r="M590152" s="472"/>
    </row>
    <row r="590153" spans="12:13" x14ac:dyDescent="0.25">
      <c r="L590153" s="472"/>
      <c r="M590153" s="472"/>
    </row>
    <row r="590225" spans="12:13" x14ac:dyDescent="0.25">
      <c r="L590225" s="472"/>
      <c r="M590225" s="472"/>
    </row>
    <row r="590226" spans="12:13" x14ac:dyDescent="0.25">
      <c r="L590226" s="472"/>
      <c r="M590226" s="472"/>
    </row>
    <row r="590227" spans="12:13" x14ac:dyDescent="0.25">
      <c r="L590227" s="472"/>
      <c r="M590227" s="472"/>
    </row>
    <row r="590299" spans="12:13" x14ac:dyDescent="0.25">
      <c r="L590299" s="472"/>
      <c r="M590299" s="472"/>
    </row>
    <row r="590300" spans="12:13" x14ac:dyDescent="0.25">
      <c r="L590300" s="472"/>
      <c r="M590300" s="472"/>
    </row>
    <row r="590301" spans="12:13" x14ac:dyDescent="0.25">
      <c r="L590301" s="472"/>
      <c r="M590301" s="472"/>
    </row>
    <row r="590373" spans="12:13" x14ac:dyDescent="0.25">
      <c r="L590373" s="472"/>
      <c r="M590373" s="472"/>
    </row>
    <row r="590374" spans="12:13" x14ac:dyDescent="0.25">
      <c r="L590374" s="472"/>
      <c r="M590374" s="472"/>
    </row>
    <row r="590375" spans="12:13" x14ac:dyDescent="0.25">
      <c r="L590375" s="472"/>
      <c r="M590375" s="472"/>
    </row>
    <row r="590447" spans="12:13" x14ac:dyDescent="0.25">
      <c r="L590447" s="472"/>
      <c r="M590447" s="472"/>
    </row>
    <row r="590448" spans="12:13" x14ac:dyDescent="0.25">
      <c r="L590448" s="472"/>
      <c r="M590448" s="472"/>
    </row>
    <row r="590449" spans="12:13" x14ac:dyDescent="0.25">
      <c r="L590449" s="472"/>
      <c r="M590449" s="472"/>
    </row>
    <row r="590521" spans="12:13" x14ac:dyDescent="0.25">
      <c r="L590521" s="472"/>
      <c r="M590521" s="472"/>
    </row>
    <row r="590522" spans="12:13" x14ac:dyDescent="0.25">
      <c r="L590522" s="472"/>
      <c r="M590522" s="472"/>
    </row>
    <row r="590523" spans="12:13" x14ac:dyDescent="0.25">
      <c r="L590523" s="472"/>
      <c r="M590523" s="472"/>
    </row>
    <row r="590595" spans="12:13" x14ac:dyDescent="0.25">
      <c r="L590595" s="472"/>
      <c r="M590595" s="472"/>
    </row>
    <row r="590596" spans="12:13" x14ac:dyDescent="0.25">
      <c r="L590596" s="472"/>
      <c r="M590596" s="472"/>
    </row>
    <row r="590597" spans="12:13" x14ac:dyDescent="0.25">
      <c r="L590597" s="472"/>
      <c r="M590597" s="472"/>
    </row>
    <row r="590669" spans="12:13" x14ac:dyDescent="0.25">
      <c r="L590669" s="472"/>
      <c r="M590669" s="472"/>
    </row>
    <row r="590670" spans="12:13" x14ac:dyDescent="0.25">
      <c r="L590670" s="472"/>
      <c r="M590670" s="472"/>
    </row>
    <row r="590671" spans="12:13" x14ac:dyDescent="0.25">
      <c r="L590671" s="472"/>
      <c r="M590671" s="472"/>
    </row>
    <row r="590743" spans="12:13" x14ac:dyDescent="0.25">
      <c r="L590743" s="472"/>
      <c r="M590743" s="472"/>
    </row>
    <row r="590744" spans="12:13" x14ac:dyDescent="0.25">
      <c r="L590744" s="472"/>
      <c r="M590744" s="472"/>
    </row>
    <row r="590745" spans="12:13" x14ac:dyDescent="0.25">
      <c r="L590745" s="472"/>
      <c r="M590745" s="472"/>
    </row>
    <row r="590817" spans="12:13" x14ac:dyDescent="0.25">
      <c r="L590817" s="472"/>
      <c r="M590817" s="472"/>
    </row>
    <row r="590818" spans="12:13" x14ac:dyDescent="0.25">
      <c r="L590818" s="472"/>
      <c r="M590818" s="472"/>
    </row>
    <row r="590819" spans="12:13" x14ac:dyDescent="0.25">
      <c r="L590819" s="472"/>
      <c r="M590819" s="472"/>
    </row>
    <row r="590891" spans="12:13" x14ac:dyDescent="0.25">
      <c r="L590891" s="472"/>
      <c r="M590891" s="472"/>
    </row>
    <row r="590892" spans="12:13" x14ac:dyDescent="0.25">
      <c r="L590892" s="472"/>
      <c r="M590892" s="472"/>
    </row>
    <row r="590893" spans="12:13" x14ac:dyDescent="0.25">
      <c r="L590893" s="472"/>
      <c r="M590893" s="472"/>
    </row>
    <row r="590965" spans="12:13" x14ac:dyDescent="0.25">
      <c r="L590965" s="472"/>
      <c r="M590965" s="472"/>
    </row>
    <row r="590966" spans="12:13" x14ac:dyDescent="0.25">
      <c r="L590966" s="472"/>
      <c r="M590966" s="472"/>
    </row>
    <row r="590967" spans="12:13" x14ac:dyDescent="0.25">
      <c r="L590967" s="472"/>
      <c r="M590967" s="472"/>
    </row>
    <row r="591039" spans="12:13" x14ac:dyDescent="0.25">
      <c r="L591039" s="472"/>
      <c r="M591039" s="472"/>
    </row>
    <row r="591040" spans="12:13" x14ac:dyDescent="0.25">
      <c r="L591040" s="472"/>
      <c r="M591040" s="472"/>
    </row>
    <row r="591041" spans="12:13" x14ac:dyDescent="0.25">
      <c r="L591041" s="472"/>
      <c r="M591041" s="472"/>
    </row>
    <row r="591113" spans="12:13" x14ac:dyDescent="0.25">
      <c r="L591113" s="472"/>
      <c r="M591113" s="472"/>
    </row>
    <row r="591114" spans="12:13" x14ac:dyDescent="0.25">
      <c r="L591114" s="472"/>
      <c r="M591114" s="472"/>
    </row>
    <row r="591115" spans="12:13" x14ac:dyDescent="0.25">
      <c r="L591115" s="472"/>
      <c r="M591115" s="472"/>
    </row>
    <row r="591187" spans="12:13" x14ac:dyDescent="0.25">
      <c r="L591187" s="472"/>
      <c r="M591187" s="472"/>
    </row>
    <row r="591188" spans="12:13" x14ac:dyDescent="0.25">
      <c r="L591188" s="472"/>
      <c r="M591188" s="472"/>
    </row>
    <row r="591189" spans="12:13" x14ac:dyDescent="0.25">
      <c r="L591189" s="472"/>
      <c r="M591189" s="472"/>
    </row>
    <row r="591261" spans="12:13" x14ac:dyDescent="0.25">
      <c r="L591261" s="472"/>
      <c r="M591261" s="472"/>
    </row>
    <row r="591262" spans="12:13" x14ac:dyDescent="0.25">
      <c r="L591262" s="472"/>
      <c r="M591262" s="472"/>
    </row>
    <row r="591263" spans="12:13" x14ac:dyDescent="0.25">
      <c r="L591263" s="472"/>
      <c r="M591263" s="472"/>
    </row>
    <row r="591335" spans="12:13" x14ac:dyDescent="0.25">
      <c r="L591335" s="472"/>
      <c r="M591335" s="472"/>
    </row>
    <row r="591336" spans="12:13" x14ac:dyDescent="0.25">
      <c r="L591336" s="472"/>
      <c r="M591336" s="472"/>
    </row>
    <row r="591337" spans="12:13" x14ac:dyDescent="0.25">
      <c r="L591337" s="472"/>
      <c r="M591337" s="472"/>
    </row>
    <row r="591409" spans="12:13" x14ac:dyDescent="0.25">
      <c r="L591409" s="472"/>
      <c r="M591409" s="472"/>
    </row>
    <row r="591410" spans="12:13" x14ac:dyDescent="0.25">
      <c r="L591410" s="472"/>
      <c r="M591410" s="472"/>
    </row>
    <row r="591411" spans="12:13" x14ac:dyDescent="0.25">
      <c r="L591411" s="472"/>
      <c r="M591411" s="472"/>
    </row>
    <row r="591483" spans="12:13" x14ac:dyDescent="0.25">
      <c r="L591483" s="472"/>
      <c r="M591483" s="472"/>
    </row>
    <row r="591484" spans="12:13" x14ac:dyDescent="0.25">
      <c r="L591484" s="472"/>
      <c r="M591484" s="472"/>
    </row>
    <row r="591485" spans="12:13" x14ac:dyDescent="0.25">
      <c r="L591485" s="472"/>
      <c r="M591485" s="472"/>
    </row>
    <row r="591557" spans="12:13" x14ac:dyDescent="0.25">
      <c r="L591557" s="472"/>
      <c r="M591557" s="472"/>
    </row>
    <row r="591558" spans="12:13" x14ac:dyDescent="0.25">
      <c r="L591558" s="472"/>
      <c r="M591558" s="472"/>
    </row>
    <row r="591559" spans="12:13" x14ac:dyDescent="0.25">
      <c r="L591559" s="472"/>
      <c r="M591559" s="472"/>
    </row>
    <row r="591631" spans="12:13" x14ac:dyDescent="0.25">
      <c r="L591631" s="472"/>
      <c r="M591631" s="472"/>
    </row>
    <row r="591632" spans="12:13" x14ac:dyDescent="0.25">
      <c r="L591632" s="472"/>
      <c r="M591632" s="472"/>
    </row>
    <row r="591633" spans="12:13" x14ac:dyDescent="0.25">
      <c r="L591633" s="472"/>
      <c r="M591633" s="472"/>
    </row>
    <row r="591705" spans="12:13" x14ac:dyDescent="0.25">
      <c r="L591705" s="472"/>
      <c r="M591705" s="472"/>
    </row>
    <row r="591706" spans="12:13" x14ac:dyDescent="0.25">
      <c r="L591706" s="472"/>
      <c r="M591706" s="472"/>
    </row>
    <row r="591707" spans="12:13" x14ac:dyDescent="0.25">
      <c r="L591707" s="472"/>
      <c r="M591707" s="472"/>
    </row>
    <row r="591779" spans="12:13" x14ac:dyDescent="0.25">
      <c r="L591779" s="472"/>
      <c r="M591779" s="472"/>
    </row>
    <row r="591780" spans="12:13" x14ac:dyDescent="0.25">
      <c r="L591780" s="472"/>
      <c r="M591780" s="472"/>
    </row>
    <row r="591781" spans="12:13" x14ac:dyDescent="0.25">
      <c r="L591781" s="472"/>
      <c r="M591781" s="472"/>
    </row>
    <row r="591853" spans="12:13" x14ac:dyDescent="0.25">
      <c r="L591853" s="472"/>
      <c r="M591853" s="472"/>
    </row>
    <row r="591854" spans="12:13" x14ac:dyDescent="0.25">
      <c r="L591854" s="472"/>
      <c r="M591854" s="472"/>
    </row>
    <row r="591855" spans="12:13" x14ac:dyDescent="0.25">
      <c r="L591855" s="472"/>
      <c r="M591855" s="472"/>
    </row>
    <row r="591927" spans="12:13" x14ac:dyDescent="0.25">
      <c r="L591927" s="472"/>
      <c r="M591927" s="472"/>
    </row>
    <row r="591928" spans="12:13" x14ac:dyDescent="0.25">
      <c r="L591928" s="472"/>
      <c r="M591928" s="472"/>
    </row>
    <row r="591929" spans="12:13" x14ac:dyDescent="0.25">
      <c r="L591929" s="472"/>
      <c r="M591929" s="472"/>
    </row>
    <row r="592001" spans="12:13" x14ac:dyDescent="0.25">
      <c r="L592001" s="472"/>
      <c r="M592001" s="472"/>
    </row>
    <row r="592002" spans="12:13" x14ac:dyDescent="0.25">
      <c r="L592002" s="472"/>
      <c r="M592002" s="472"/>
    </row>
    <row r="592003" spans="12:13" x14ac:dyDescent="0.25">
      <c r="L592003" s="472"/>
      <c r="M592003" s="472"/>
    </row>
    <row r="592075" spans="12:13" x14ac:dyDescent="0.25">
      <c r="L592075" s="472"/>
      <c r="M592075" s="472"/>
    </row>
    <row r="592076" spans="12:13" x14ac:dyDescent="0.25">
      <c r="L592076" s="472"/>
      <c r="M592076" s="472"/>
    </row>
    <row r="592077" spans="12:13" x14ac:dyDescent="0.25">
      <c r="L592077" s="472"/>
      <c r="M592077" s="472"/>
    </row>
    <row r="592149" spans="12:13" x14ac:dyDescent="0.25">
      <c r="L592149" s="472"/>
      <c r="M592149" s="472"/>
    </row>
    <row r="592150" spans="12:13" x14ac:dyDescent="0.25">
      <c r="L592150" s="472"/>
      <c r="M592150" s="472"/>
    </row>
    <row r="592151" spans="12:13" x14ac:dyDescent="0.25">
      <c r="L592151" s="472"/>
      <c r="M592151" s="472"/>
    </row>
    <row r="592223" spans="12:13" x14ac:dyDescent="0.25">
      <c r="L592223" s="472"/>
      <c r="M592223" s="472"/>
    </row>
    <row r="592224" spans="12:13" x14ac:dyDescent="0.25">
      <c r="L592224" s="472"/>
      <c r="M592224" s="472"/>
    </row>
    <row r="592225" spans="12:13" x14ac:dyDescent="0.25">
      <c r="L592225" s="472"/>
      <c r="M592225" s="472"/>
    </row>
    <row r="592297" spans="12:13" x14ac:dyDescent="0.25">
      <c r="L592297" s="472"/>
      <c r="M592297" s="472"/>
    </row>
    <row r="592298" spans="12:13" x14ac:dyDescent="0.25">
      <c r="L592298" s="472"/>
      <c r="M592298" s="472"/>
    </row>
    <row r="592299" spans="12:13" x14ac:dyDescent="0.25">
      <c r="L592299" s="472"/>
      <c r="M592299" s="472"/>
    </row>
    <row r="592371" spans="12:13" x14ac:dyDescent="0.25">
      <c r="L592371" s="472"/>
      <c r="M592371" s="472"/>
    </row>
    <row r="592372" spans="12:13" x14ac:dyDescent="0.25">
      <c r="L592372" s="472"/>
      <c r="M592372" s="472"/>
    </row>
    <row r="592373" spans="12:13" x14ac:dyDescent="0.25">
      <c r="L592373" s="472"/>
      <c r="M592373" s="472"/>
    </row>
    <row r="592445" spans="12:13" x14ac:dyDescent="0.25">
      <c r="L592445" s="472"/>
      <c r="M592445" s="472"/>
    </row>
    <row r="592446" spans="12:13" x14ac:dyDescent="0.25">
      <c r="L592446" s="472"/>
      <c r="M592446" s="472"/>
    </row>
    <row r="592447" spans="12:13" x14ac:dyDescent="0.25">
      <c r="L592447" s="472"/>
      <c r="M592447" s="472"/>
    </row>
    <row r="592519" spans="12:13" x14ac:dyDescent="0.25">
      <c r="L592519" s="472"/>
      <c r="M592519" s="472"/>
    </row>
    <row r="592520" spans="12:13" x14ac:dyDescent="0.25">
      <c r="L592520" s="472"/>
      <c r="M592520" s="472"/>
    </row>
    <row r="592521" spans="12:13" x14ac:dyDescent="0.25">
      <c r="L592521" s="472"/>
      <c r="M592521" s="472"/>
    </row>
    <row r="592593" spans="12:13" x14ac:dyDescent="0.25">
      <c r="L592593" s="472"/>
      <c r="M592593" s="472"/>
    </row>
    <row r="592594" spans="12:13" x14ac:dyDescent="0.25">
      <c r="L592594" s="472"/>
      <c r="M592594" s="472"/>
    </row>
    <row r="592595" spans="12:13" x14ac:dyDescent="0.25">
      <c r="L592595" s="472"/>
      <c r="M592595" s="472"/>
    </row>
    <row r="592667" spans="12:13" x14ac:dyDescent="0.25">
      <c r="L592667" s="472"/>
      <c r="M592667" s="472"/>
    </row>
    <row r="592668" spans="12:13" x14ac:dyDescent="0.25">
      <c r="L592668" s="472"/>
      <c r="M592668" s="472"/>
    </row>
    <row r="592669" spans="12:13" x14ac:dyDescent="0.25">
      <c r="L592669" s="472"/>
      <c r="M592669" s="472"/>
    </row>
    <row r="592741" spans="12:13" x14ac:dyDescent="0.25">
      <c r="L592741" s="472"/>
      <c r="M592741" s="472"/>
    </row>
    <row r="592742" spans="12:13" x14ac:dyDescent="0.25">
      <c r="L592742" s="472"/>
      <c r="M592742" s="472"/>
    </row>
    <row r="592743" spans="12:13" x14ac:dyDescent="0.25">
      <c r="L592743" s="472"/>
      <c r="M592743" s="472"/>
    </row>
    <row r="592815" spans="12:13" x14ac:dyDescent="0.25">
      <c r="L592815" s="472"/>
      <c r="M592815" s="472"/>
    </row>
    <row r="592816" spans="12:13" x14ac:dyDescent="0.25">
      <c r="L592816" s="472"/>
      <c r="M592816" s="472"/>
    </row>
    <row r="592817" spans="12:13" x14ac:dyDescent="0.25">
      <c r="L592817" s="472"/>
      <c r="M592817" s="472"/>
    </row>
    <row r="592889" spans="12:13" x14ac:dyDescent="0.25">
      <c r="L592889" s="472"/>
      <c r="M592889" s="472"/>
    </row>
    <row r="592890" spans="12:13" x14ac:dyDescent="0.25">
      <c r="L592890" s="472"/>
      <c r="M592890" s="472"/>
    </row>
    <row r="592891" spans="12:13" x14ac:dyDescent="0.25">
      <c r="L592891" s="472"/>
      <c r="M592891" s="472"/>
    </row>
    <row r="592963" spans="12:13" x14ac:dyDescent="0.25">
      <c r="L592963" s="472"/>
      <c r="M592963" s="472"/>
    </row>
    <row r="592964" spans="12:13" x14ac:dyDescent="0.25">
      <c r="L592964" s="472"/>
      <c r="M592964" s="472"/>
    </row>
    <row r="592965" spans="12:13" x14ac:dyDescent="0.25">
      <c r="L592965" s="472"/>
      <c r="M592965" s="472"/>
    </row>
    <row r="593037" spans="12:13" x14ac:dyDescent="0.25">
      <c r="L593037" s="472"/>
      <c r="M593037" s="472"/>
    </row>
    <row r="593038" spans="12:13" x14ac:dyDescent="0.25">
      <c r="L593038" s="472"/>
      <c r="M593038" s="472"/>
    </row>
    <row r="593039" spans="12:13" x14ac:dyDescent="0.25">
      <c r="L593039" s="472"/>
      <c r="M593039" s="472"/>
    </row>
    <row r="593111" spans="12:13" x14ac:dyDescent="0.25">
      <c r="L593111" s="472"/>
      <c r="M593111" s="472"/>
    </row>
    <row r="593112" spans="12:13" x14ac:dyDescent="0.25">
      <c r="L593112" s="472"/>
      <c r="M593112" s="472"/>
    </row>
    <row r="593113" spans="12:13" x14ac:dyDescent="0.25">
      <c r="L593113" s="472"/>
      <c r="M593113" s="472"/>
    </row>
    <row r="593185" spans="12:13" x14ac:dyDescent="0.25">
      <c r="L593185" s="472"/>
      <c r="M593185" s="472"/>
    </row>
    <row r="593186" spans="12:13" x14ac:dyDescent="0.25">
      <c r="L593186" s="472"/>
      <c r="M593186" s="472"/>
    </row>
    <row r="593187" spans="12:13" x14ac:dyDescent="0.25">
      <c r="L593187" s="472"/>
      <c r="M593187" s="472"/>
    </row>
    <row r="593259" spans="12:13" x14ac:dyDescent="0.25">
      <c r="L593259" s="472"/>
      <c r="M593259" s="472"/>
    </row>
    <row r="593260" spans="12:13" x14ac:dyDescent="0.25">
      <c r="L593260" s="472"/>
      <c r="M593260" s="472"/>
    </row>
    <row r="593261" spans="12:13" x14ac:dyDescent="0.25">
      <c r="L593261" s="472"/>
      <c r="M593261" s="472"/>
    </row>
    <row r="593333" spans="12:13" x14ac:dyDescent="0.25">
      <c r="L593333" s="472"/>
      <c r="M593333" s="472"/>
    </row>
    <row r="593334" spans="12:13" x14ac:dyDescent="0.25">
      <c r="L593334" s="472"/>
      <c r="M593334" s="472"/>
    </row>
    <row r="593335" spans="12:13" x14ac:dyDescent="0.25">
      <c r="L593335" s="472"/>
      <c r="M593335" s="472"/>
    </row>
    <row r="593407" spans="12:13" x14ac:dyDescent="0.25">
      <c r="L593407" s="472"/>
      <c r="M593407" s="472"/>
    </row>
    <row r="593408" spans="12:13" x14ac:dyDescent="0.25">
      <c r="L593408" s="472"/>
      <c r="M593408" s="472"/>
    </row>
    <row r="593409" spans="12:13" x14ac:dyDescent="0.25">
      <c r="L593409" s="472"/>
      <c r="M593409" s="472"/>
    </row>
    <row r="593481" spans="12:13" x14ac:dyDescent="0.25">
      <c r="L593481" s="472"/>
      <c r="M593481" s="472"/>
    </row>
    <row r="593482" spans="12:13" x14ac:dyDescent="0.25">
      <c r="L593482" s="472"/>
      <c r="M593482" s="472"/>
    </row>
    <row r="593483" spans="12:13" x14ac:dyDescent="0.25">
      <c r="L593483" s="472"/>
      <c r="M593483" s="472"/>
    </row>
    <row r="593555" spans="12:13" x14ac:dyDescent="0.25">
      <c r="L593555" s="472"/>
      <c r="M593555" s="472"/>
    </row>
    <row r="593556" spans="12:13" x14ac:dyDescent="0.25">
      <c r="L593556" s="472"/>
      <c r="M593556" s="472"/>
    </row>
    <row r="593557" spans="12:13" x14ac:dyDescent="0.25">
      <c r="L593557" s="472"/>
      <c r="M593557" s="472"/>
    </row>
    <row r="593629" spans="12:13" x14ac:dyDescent="0.25">
      <c r="L593629" s="472"/>
      <c r="M593629" s="472"/>
    </row>
    <row r="593630" spans="12:13" x14ac:dyDescent="0.25">
      <c r="L593630" s="472"/>
      <c r="M593630" s="472"/>
    </row>
    <row r="593631" spans="12:13" x14ac:dyDescent="0.25">
      <c r="L593631" s="472"/>
      <c r="M593631" s="472"/>
    </row>
    <row r="593703" spans="12:13" x14ac:dyDescent="0.25">
      <c r="L593703" s="472"/>
      <c r="M593703" s="472"/>
    </row>
    <row r="593704" spans="12:13" x14ac:dyDescent="0.25">
      <c r="L593704" s="472"/>
      <c r="M593704" s="472"/>
    </row>
    <row r="593705" spans="12:13" x14ac:dyDescent="0.25">
      <c r="L593705" s="472"/>
      <c r="M593705" s="472"/>
    </row>
    <row r="593777" spans="12:13" x14ac:dyDescent="0.25">
      <c r="L593777" s="472"/>
      <c r="M593777" s="472"/>
    </row>
    <row r="593778" spans="12:13" x14ac:dyDescent="0.25">
      <c r="L593778" s="472"/>
      <c r="M593778" s="472"/>
    </row>
    <row r="593779" spans="12:13" x14ac:dyDescent="0.25">
      <c r="L593779" s="472"/>
      <c r="M593779" s="472"/>
    </row>
    <row r="593851" spans="12:13" x14ac:dyDescent="0.25">
      <c r="L593851" s="472"/>
      <c r="M593851" s="472"/>
    </row>
    <row r="593852" spans="12:13" x14ac:dyDescent="0.25">
      <c r="L593852" s="472"/>
      <c r="M593852" s="472"/>
    </row>
    <row r="593853" spans="12:13" x14ac:dyDescent="0.25">
      <c r="L593853" s="472"/>
      <c r="M593853" s="472"/>
    </row>
    <row r="593925" spans="12:13" x14ac:dyDescent="0.25">
      <c r="L593925" s="472"/>
      <c r="M593925" s="472"/>
    </row>
    <row r="593926" spans="12:13" x14ac:dyDescent="0.25">
      <c r="L593926" s="472"/>
      <c r="M593926" s="472"/>
    </row>
    <row r="593927" spans="12:13" x14ac:dyDescent="0.25">
      <c r="L593927" s="472"/>
      <c r="M593927" s="472"/>
    </row>
    <row r="593999" spans="12:13" x14ac:dyDescent="0.25">
      <c r="L593999" s="472"/>
      <c r="M593999" s="472"/>
    </row>
    <row r="594000" spans="12:13" x14ac:dyDescent="0.25">
      <c r="L594000" s="472"/>
      <c r="M594000" s="472"/>
    </row>
    <row r="594001" spans="12:13" x14ac:dyDescent="0.25">
      <c r="L594001" s="472"/>
      <c r="M594001" s="472"/>
    </row>
    <row r="594073" spans="12:13" x14ac:dyDescent="0.25">
      <c r="L594073" s="472"/>
      <c r="M594073" s="472"/>
    </row>
    <row r="594074" spans="12:13" x14ac:dyDescent="0.25">
      <c r="L594074" s="472"/>
      <c r="M594074" s="472"/>
    </row>
    <row r="594075" spans="12:13" x14ac:dyDescent="0.25">
      <c r="L594075" s="472"/>
      <c r="M594075" s="472"/>
    </row>
    <row r="594147" spans="12:13" x14ac:dyDescent="0.25">
      <c r="L594147" s="472"/>
      <c r="M594147" s="472"/>
    </row>
    <row r="594148" spans="12:13" x14ac:dyDescent="0.25">
      <c r="L594148" s="472"/>
      <c r="M594148" s="472"/>
    </row>
    <row r="594149" spans="12:13" x14ac:dyDescent="0.25">
      <c r="L594149" s="472"/>
      <c r="M594149" s="472"/>
    </row>
    <row r="594221" spans="12:13" x14ac:dyDescent="0.25">
      <c r="L594221" s="472"/>
      <c r="M594221" s="472"/>
    </row>
    <row r="594222" spans="12:13" x14ac:dyDescent="0.25">
      <c r="L594222" s="472"/>
      <c r="M594222" s="472"/>
    </row>
    <row r="594223" spans="12:13" x14ac:dyDescent="0.25">
      <c r="L594223" s="472"/>
      <c r="M594223" s="472"/>
    </row>
    <row r="594295" spans="12:13" x14ac:dyDescent="0.25">
      <c r="L594295" s="472"/>
      <c r="M594295" s="472"/>
    </row>
    <row r="594296" spans="12:13" x14ac:dyDescent="0.25">
      <c r="L594296" s="472"/>
      <c r="M594296" s="472"/>
    </row>
    <row r="594297" spans="12:13" x14ac:dyDescent="0.25">
      <c r="L594297" s="472"/>
      <c r="M594297" s="472"/>
    </row>
    <row r="594369" spans="12:13" x14ac:dyDescent="0.25">
      <c r="L594369" s="472"/>
      <c r="M594369" s="472"/>
    </row>
    <row r="594370" spans="12:13" x14ac:dyDescent="0.25">
      <c r="L594370" s="472"/>
      <c r="M594370" s="472"/>
    </row>
    <row r="594371" spans="12:13" x14ac:dyDescent="0.25">
      <c r="L594371" s="472"/>
      <c r="M594371" s="472"/>
    </row>
    <row r="594443" spans="12:13" x14ac:dyDescent="0.25">
      <c r="L594443" s="472"/>
      <c r="M594443" s="472"/>
    </row>
    <row r="594444" spans="12:13" x14ac:dyDescent="0.25">
      <c r="L594444" s="472"/>
      <c r="M594444" s="472"/>
    </row>
    <row r="594445" spans="12:13" x14ac:dyDescent="0.25">
      <c r="L594445" s="472"/>
      <c r="M594445" s="472"/>
    </row>
    <row r="594517" spans="12:13" x14ac:dyDescent="0.25">
      <c r="L594517" s="472"/>
      <c r="M594517" s="472"/>
    </row>
    <row r="594518" spans="12:13" x14ac:dyDescent="0.25">
      <c r="L594518" s="472"/>
      <c r="M594518" s="472"/>
    </row>
    <row r="594519" spans="12:13" x14ac:dyDescent="0.25">
      <c r="L594519" s="472"/>
      <c r="M594519" s="472"/>
    </row>
    <row r="594591" spans="12:13" x14ac:dyDescent="0.25">
      <c r="L594591" s="472"/>
      <c r="M594591" s="472"/>
    </row>
    <row r="594592" spans="12:13" x14ac:dyDescent="0.25">
      <c r="L594592" s="472"/>
      <c r="M594592" s="472"/>
    </row>
    <row r="594593" spans="12:13" x14ac:dyDescent="0.25">
      <c r="L594593" s="472"/>
      <c r="M594593" s="472"/>
    </row>
    <row r="594665" spans="12:13" x14ac:dyDescent="0.25">
      <c r="L594665" s="472"/>
      <c r="M594665" s="472"/>
    </row>
    <row r="594666" spans="12:13" x14ac:dyDescent="0.25">
      <c r="L594666" s="472"/>
      <c r="M594666" s="472"/>
    </row>
    <row r="594667" spans="12:13" x14ac:dyDescent="0.25">
      <c r="L594667" s="472"/>
      <c r="M594667" s="472"/>
    </row>
    <row r="594739" spans="12:13" x14ac:dyDescent="0.25">
      <c r="L594739" s="472"/>
      <c r="M594739" s="472"/>
    </row>
    <row r="594740" spans="12:13" x14ac:dyDescent="0.25">
      <c r="L594740" s="472"/>
      <c r="M594740" s="472"/>
    </row>
    <row r="594741" spans="12:13" x14ac:dyDescent="0.25">
      <c r="L594741" s="472"/>
      <c r="M594741" s="472"/>
    </row>
    <row r="594813" spans="12:13" x14ac:dyDescent="0.25">
      <c r="L594813" s="472"/>
      <c r="M594813" s="472"/>
    </row>
    <row r="594814" spans="12:13" x14ac:dyDescent="0.25">
      <c r="L594814" s="472"/>
      <c r="M594814" s="472"/>
    </row>
    <row r="594815" spans="12:13" x14ac:dyDescent="0.25">
      <c r="L594815" s="472"/>
      <c r="M594815" s="472"/>
    </row>
    <row r="594887" spans="12:13" x14ac:dyDescent="0.25">
      <c r="L594887" s="472"/>
      <c r="M594887" s="472"/>
    </row>
    <row r="594888" spans="12:13" x14ac:dyDescent="0.25">
      <c r="L594888" s="472"/>
      <c r="M594888" s="472"/>
    </row>
    <row r="594889" spans="12:13" x14ac:dyDescent="0.25">
      <c r="L594889" s="472"/>
      <c r="M594889" s="472"/>
    </row>
    <row r="594961" spans="12:13" x14ac:dyDescent="0.25">
      <c r="L594961" s="472"/>
      <c r="M594961" s="472"/>
    </row>
    <row r="594962" spans="12:13" x14ac:dyDescent="0.25">
      <c r="L594962" s="472"/>
      <c r="M594962" s="472"/>
    </row>
    <row r="594963" spans="12:13" x14ac:dyDescent="0.25">
      <c r="L594963" s="472"/>
      <c r="M594963" s="472"/>
    </row>
    <row r="595035" spans="12:13" x14ac:dyDescent="0.25">
      <c r="L595035" s="472"/>
      <c r="M595035" s="472"/>
    </row>
    <row r="595036" spans="12:13" x14ac:dyDescent="0.25">
      <c r="L595036" s="472"/>
      <c r="M595036" s="472"/>
    </row>
    <row r="595037" spans="12:13" x14ac:dyDescent="0.25">
      <c r="L595037" s="472"/>
      <c r="M595037" s="472"/>
    </row>
    <row r="595109" spans="12:13" x14ac:dyDescent="0.25">
      <c r="L595109" s="472"/>
      <c r="M595109" s="472"/>
    </row>
    <row r="595110" spans="12:13" x14ac:dyDescent="0.25">
      <c r="L595110" s="472"/>
      <c r="M595110" s="472"/>
    </row>
    <row r="595111" spans="12:13" x14ac:dyDescent="0.25">
      <c r="L595111" s="472"/>
      <c r="M595111" s="472"/>
    </row>
    <row r="595183" spans="12:13" x14ac:dyDescent="0.25">
      <c r="L595183" s="472"/>
      <c r="M595183" s="472"/>
    </row>
    <row r="595184" spans="12:13" x14ac:dyDescent="0.25">
      <c r="L595184" s="472"/>
      <c r="M595184" s="472"/>
    </row>
    <row r="595185" spans="12:13" x14ac:dyDescent="0.25">
      <c r="L595185" s="472"/>
      <c r="M595185" s="472"/>
    </row>
    <row r="595257" spans="12:13" x14ac:dyDescent="0.25">
      <c r="L595257" s="472"/>
      <c r="M595257" s="472"/>
    </row>
    <row r="595258" spans="12:13" x14ac:dyDescent="0.25">
      <c r="L595258" s="472"/>
      <c r="M595258" s="472"/>
    </row>
    <row r="595259" spans="12:13" x14ac:dyDescent="0.25">
      <c r="L595259" s="472"/>
      <c r="M595259" s="472"/>
    </row>
    <row r="595331" spans="12:13" x14ac:dyDescent="0.25">
      <c r="L595331" s="472"/>
      <c r="M595331" s="472"/>
    </row>
    <row r="595332" spans="12:13" x14ac:dyDescent="0.25">
      <c r="L595332" s="472"/>
      <c r="M595332" s="472"/>
    </row>
    <row r="595333" spans="12:13" x14ac:dyDescent="0.25">
      <c r="L595333" s="472"/>
      <c r="M595333" s="472"/>
    </row>
    <row r="595405" spans="12:13" x14ac:dyDescent="0.25">
      <c r="L595405" s="472"/>
      <c r="M595405" s="472"/>
    </row>
    <row r="595406" spans="12:13" x14ac:dyDescent="0.25">
      <c r="L595406" s="472"/>
      <c r="M595406" s="472"/>
    </row>
    <row r="595407" spans="12:13" x14ac:dyDescent="0.25">
      <c r="L595407" s="472"/>
      <c r="M595407" s="472"/>
    </row>
    <row r="595479" spans="12:13" x14ac:dyDescent="0.25">
      <c r="L595479" s="472"/>
      <c r="M595479" s="472"/>
    </row>
    <row r="595480" spans="12:13" x14ac:dyDescent="0.25">
      <c r="L595480" s="472"/>
      <c r="M595480" s="472"/>
    </row>
    <row r="595481" spans="12:13" x14ac:dyDescent="0.25">
      <c r="L595481" s="472"/>
      <c r="M595481" s="472"/>
    </row>
    <row r="595553" spans="12:13" x14ac:dyDescent="0.25">
      <c r="L595553" s="472"/>
      <c r="M595553" s="472"/>
    </row>
    <row r="595554" spans="12:13" x14ac:dyDescent="0.25">
      <c r="L595554" s="472"/>
      <c r="M595554" s="472"/>
    </row>
    <row r="595555" spans="12:13" x14ac:dyDescent="0.25">
      <c r="L595555" s="472"/>
      <c r="M595555" s="472"/>
    </row>
    <row r="595627" spans="12:13" x14ac:dyDescent="0.25">
      <c r="L595627" s="472"/>
      <c r="M595627" s="472"/>
    </row>
    <row r="595628" spans="12:13" x14ac:dyDescent="0.25">
      <c r="L595628" s="472"/>
      <c r="M595628" s="472"/>
    </row>
    <row r="595629" spans="12:13" x14ac:dyDescent="0.25">
      <c r="L595629" s="472"/>
      <c r="M595629" s="472"/>
    </row>
    <row r="595701" spans="12:13" x14ac:dyDescent="0.25">
      <c r="L595701" s="472"/>
      <c r="M595701" s="472"/>
    </row>
    <row r="595702" spans="12:13" x14ac:dyDescent="0.25">
      <c r="L595702" s="472"/>
      <c r="M595702" s="472"/>
    </row>
    <row r="595703" spans="12:13" x14ac:dyDescent="0.25">
      <c r="L595703" s="472"/>
      <c r="M595703" s="472"/>
    </row>
    <row r="595775" spans="12:13" x14ac:dyDescent="0.25">
      <c r="L595775" s="472"/>
      <c r="M595775" s="472"/>
    </row>
    <row r="595776" spans="12:13" x14ac:dyDescent="0.25">
      <c r="L595776" s="472"/>
      <c r="M595776" s="472"/>
    </row>
    <row r="595777" spans="12:13" x14ac:dyDescent="0.25">
      <c r="L595777" s="472"/>
      <c r="M595777" s="472"/>
    </row>
    <row r="595849" spans="12:13" x14ac:dyDescent="0.25">
      <c r="L595849" s="472"/>
      <c r="M595849" s="472"/>
    </row>
    <row r="595850" spans="12:13" x14ac:dyDescent="0.25">
      <c r="L595850" s="472"/>
      <c r="M595850" s="472"/>
    </row>
    <row r="595851" spans="12:13" x14ac:dyDescent="0.25">
      <c r="L595851" s="472"/>
      <c r="M595851" s="472"/>
    </row>
    <row r="595923" spans="12:13" x14ac:dyDescent="0.25">
      <c r="L595923" s="472"/>
      <c r="M595923" s="472"/>
    </row>
    <row r="595924" spans="12:13" x14ac:dyDescent="0.25">
      <c r="L595924" s="472"/>
      <c r="M595924" s="472"/>
    </row>
    <row r="595925" spans="12:13" x14ac:dyDescent="0.25">
      <c r="L595925" s="472"/>
      <c r="M595925" s="472"/>
    </row>
    <row r="595997" spans="12:13" x14ac:dyDescent="0.25">
      <c r="L595997" s="472"/>
      <c r="M595997" s="472"/>
    </row>
    <row r="595998" spans="12:13" x14ac:dyDescent="0.25">
      <c r="L595998" s="472"/>
      <c r="M595998" s="472"/>
    </row>
    <row r="595999" spans="12:13" x14ac:dyDescent="0.25">
      <c r="L595999" s="472"/>
      <c r="M595999" s="472"/>
    </row>
    <row r="596071" spans="12:13" x14ac:dyDescent="0.25">
      <c r="L596071" s="472"/>
      <c r="M596071" s="472"/>
    </row>
    <row r="596072" spans="12:13" x14ac:dyDescent="0.25">
      <c r="L596072" s="472"/>
      <c r="M596072" s="472"/>
    </row>
    <row r="596073" spans="12:13" x14ac:dyDescent="0.25">
      <c r="L596073" s="472"/>
      <c r="M596073" s="472"/>
    </row>
    <row r="596145" spans="12:13" x14ac:dyDescent="0.25">
      <c r="L596145" s="472"/>
      <c r="M596145" s="472"/>
    </row>
    <row r="596146" spans="12:13" x14ac:dyDescent="0.25">
      <c r="L596146" s="472"/>
      <c r="M596146" s="472"/>
    </row>
    <row r="596147" spans="12:13" x14ac:dyDescent="0.25">
      <c r="L596147" s="472"/>
      <c r="M596147" s="472"/>
    </row>
    <row r="596219" spans="12:13" x14ac:dyDescent="0.25">
      <c r="L596219" s="472"/>
      <c r="M596219" s="472"/>
    </row>
    <row r="596220" spans="12:13" x14ac:dyDescent="0.25">
      <c r="L596220" s="472"/>
      <c r="M596220" s="472"/>
    </row>
    <row r="596221" spans="12:13" x14ac:dyDescent="0.25">
      <c r="L596221" s="472"/>
      <c r="M596221" s="472"/>
    </row>
    <row r="596293" spans="12:13" x14ac:dyDescent="0.25">
      <c r="L596293" s="472"/>
      <c r="M596293" s="472"/>
    </row>
    <row r="596294" spans="12:13" x14ac:dyDescent="0.25">
      <c r="L596294" s="472"/>
      <c r="M596294" s="472"/>
    </row>
    <row r="596295" spans="12:13" x14ac:dyDescent="0.25">
      <c r="L596295" s="472"/>
      <c r="M596295" s="472"/>
    </row>
    <row r="596367" spans="12:13" x14ac:dyDescent="0.25">
      <c r="L596367" s="472"/>
      <c r="M596367" s="472"/>
    </row>
    <row r="596368" spans="12:13" x14ac:dyDescent="0.25">
      <c r="L596368" s="472"/>
      <c r="M596368" s="472"/>
    </row>
    <row r="596369" spans="12:13" x14ac:dyDescent="0.25">
      <c r="L596369" s="472"/>
      <c r="M596369" s="472"/>
    </row>
    <row r="596441" spans="12:13" x14ac:dyDescent="0.25">
      <c r="L596441" s="472"/>
      <c r="M596441" s="472"/>
    </row>
    <row r="596442" spans="12:13" x14ac:dyDescent="0.25">
      <c r="L596442" s="472"/>
      <c r="M596442" s="472"/>
    </row>
    <row r="596443" spans="12:13" x14ac:dyDescent="0.25">
      <c r="L596443" s="472"/>
      <c r="M596443" s="472"/>
    </row>
    <row r="596515" spans="12:13" x14ac:dyDescent="0.25">
      <c r="L596515" s="472"/>
      <c r="M596515" s="472"/>
    </row>
    <row r="596516" spans="12:13" x14ac:dyDescent="0.25">
      <c r="L596516" s="472"/>
      <c r="M596516" s="472"/>
    </row>
    <row r="596517" spans="12:13" x14ac:dyDescent="0.25">
      <c r="L596517" s="472"/>
      <c r="M596517" s="472"/>
    </row>
    <row r="596589" spans="12:13" x14ac:dyDescent="0.25">
      <c r="L596589" s="472"/>
      <c r="M596589" s="472"/>
    </row>
    <row r="596590" spans="12:13" x14ac:dyDescent="0.25">
      <c r="L596590" s="472"/>
      <c r="M596590" s="472"/>
    </row>
    <row r="596591" spans="12:13" x14ac:dyDescent="0.25">
      <c r="L596591" s="472"/>
      <c r="M596591" s="472"/>
    </row>
    <row r="596663" spans="12:13" x14ac:dyDescent="0.25">
      <c r="L596663" s="472"/>
      <c r="M596663" s="472"/>
    </row>
    <row r="596664" spans="12:13" x14ac:dyDescent="0.25">
      <c r="L596664" s="472"/>
      <c r="M596664" s="472"/>
    </row>
    <row r="596665" spans="12:13" x14ac:dyDescent="0.25">
      <c r="L596665" s="472"/>
      <c r="M596665" s="472"/>
    </row>
    <row r="596737" spans="12:13" x14ac:dyDescent="0.25">
      <c r="L596737" s="472"/>
      <c r="M596737" s="472"/>
    </row>
    <row r="596738" spans="12:13" x14ac:dyDescent="0.25">
      <c r="L596738" s="472"/>
      <c r="M596738" s="472"/>
    </row>
    <row r="596739" spans="12:13" x14ac:dyDescent="0.25">
      <c r="L596739" s="472"/>
      <c r="M596739" s="472"/>
    </row>
    <row r="596811" spans="12:13" x14ac:dyDescent="0.25">
      <c r="L596811" s="472"/>
      <c r="M596811" s="472"/>
    </row>
    <row r="596812" spans="12:13" x14ac:dyDescent="0.25">
      <c r="L596812" s="472"/>
      <c r="M596812" s="472"/>
    </row>
    <row r="596813" spans="12:13" x14ac:dyDescent="0.25">
      <c r="L596813" s="472"/>
      <c r="M596813" s="472"/>
    </row>
    <row r="596885" spans="12:13" x14ac:dyDescent="0.25">
      <c r="L596885" s="472"/>
      <c r="M596885" s="472"/>
    </row>
    <row r="596886" spans="12:13" x14ac:dyDescent="0.25">
      <c r="L596886" s="472"/>
      <c r="M596886" s="472"/>
    </row>
    <row r="596887" spans="12:13" x14ac:dyDescent="0.25">
      <c r="L596887" s="472"/>
      <c r="M596887" s="472"/>
    </row>
    <row r="596959" spans="12:13" x14ac:dyDescent="0.25">
      <c r="L596959" s="472"/>
      <c r="M596959" s="472"/>
    </row>
    <row r="596960" spans="12:13" x14ac:dyDescent="0.25">
      <c r="L596960" s="472"/>
      <c r="M596960" s="472"/>
    </row>
    <row r="596961" spans="12:13" x14ac:dyDescent="0.25">
      <c r="L596961" s="472"/>
      <c r="M596961" s="472"/>
    </row>
    <row r="597033" spans="12:13" x14ac:dyDescent="0.25">
      <c r="L597033" s="472"/>
      <c r="M597033" s="472"/>
    </row>
    <row r="597034" spans="12:13" x14ac:dyDescent="0.25">
      <c r="L597034" s="472"/>
      <c r="M597034" s="472"/>
    </row>
    <row r="597035" spans="12:13" x14ac:dyDescent="0.25">
      <c r="L597035" s="472"/>
      <c r="M597035" s="472"/>
    </row>
    <row r="597107" spans="12:13" x14ac:dyDescent="0.25">
      <c r="L597107" s="472"/>
      <c r="M597107" s="472"/>
    </row>
    <row r="597108" spans="12:13" x14ac:dyDescent="0.25">
      <c r="L597108" s="472"/>
      <c r="M597108" s="472"/>
    </row>
    <row r="597109" spans="12:13" x14ac:dyDescent="0.25">
      <c r="L597109" s="472"/>
      <c r="M597109" s="472"/>
    </row>
    <row r="597181" spans="12:13" x14ac:dyDescent="0.25">
      <c r="L597181" s="472"/>
      <c r="M597181" s="472"/>
    </row>
    <row r="597182" spans="12:13" x14ac:dyDescent="0.25">
      <c r="L597182" s="472"/>
      <c r="M597182" s="472"/>
    </row>
    <row r="597183" spans="12:13" x14ac:dyDescent="0.25">
      <c r="L597183" s="472"/>
      <c r="M597183" s="472"/>
    </row>
    <row r="597255" spans="12:13" x14ac:dyDescent="0.25">
      <c r="L597255" s="472"/>
      <c r="M597255" s="472"/>
    </row>
    <row r="597256" spans="12:13" x14ac:dyDescent="0.25">
      <c r="L597256" s="472"/>
      <c r="M597256" s="472"/>
    </row>
    <row r="597257" spans="12:13" x14ac:dyDescent="0.25">
      <c r="L597257" s="472"/>
      <c r="M597257" s="472"/>
    </row>
    <row r="597329" spans="12:13" x14ac:dyDescent="0.25">
      <c r="L597329" s="472"/>
      <c r="M597329" s="472"/>
    </row>
    <row r="597330" spans="12:13" x14ac:dyDescent="0.25">
      <c r="L597330" s="472"/>
      <c r="M597330" s="472"/>
    </row>
    <row r="597331" spans="12:13" x14ac:dyDescent="0.25">
      <c r="L597331" s="472"/>
      <c r="M597331" s="472"/>
    </row>
    <row r="597403" spans="12:13" x14ac:dyDescent="0.25">
      <c r="L597403" s="472"/>
      <c r="M597403" s="472"/>
    </row>
    <row r="597404" spans="12:13" x14ac:dyDescent="0.25">
      <c r="L597404" s="472"/>
      <c r="M597404" s="472"/>
    </row>
    <row r="597405" spans="12:13" x14ac:dyDescent="0.25">
      <c r="L597405" s="472"/>
      <c r="M597405" s="472"/>
    </row>
    <row r="597477" spans="12:13" x14ac:dyDescent="0.25">
      <c r="L597477" s="472"/>
      <c r="M597477" s="472"/>
    </row>
    <row r="597478" spans="12:13" x14ac:dyDescent="0.25">
      <c r="L597478" s="472"/>
      <c r="M597478" s="472"/>
    </row>
    <row r="597479" spans="12:13" x14ac:dyDescent="0.25">
      <c r="L597479" s="472"/>
      <c r="M597479" s="472"/>
    </row>
    <row r="597551" spans="12:13" x14ac:dyDescent="0.25">
      <c r="L597551" s="472"/>
      <c r="M597551" s="472"/>
    </row>
    <row r="597552" spans="12:13" x14ac:dyDescent="0.25">
      <c r="L597552" s="472"/>
      <c r="M597552" s="472"/>
    </row>
    <row r="597553" spans="12:13" x14ac:dyDescent="0.25">
      <c r="L597553" s="472"/>
      <c r="M597553" s="472"/>
    </row>
    <row r="597625" spans="12:13" x14ac:dyDescent="0.25">
      <c r="L597625" s="472"/>
      <c r="M597625" s="472"/>
    </row>
    <row r="597626" spans="12:13" x14ac:dyDescent="0.25">
      <c r="L597626" s="472"/>
      <c r="M597626" s="472"/>
    </row>
    <row r="597627" spans="12:13" x14ac:dyDescent="0.25">
      <c r="L597627" s="472"/>
      <c r="M597627" s="472"/>
    </row>
    <row r="597699" spans="12:13" x14ac:dyDescent="0.25">
      <c r="L597699" s="472"/>
      <c r="M597699" s="472"/>
    </row>
    <row r="597700" spans="12:13" x14ac:dyDescent="0.25">
      <c r="L597700" s="472"/>
      <c r="M597700" s="472"/>
    </row>
    <row r="597701" spans="12:13" x14ac:dyDescent="0.25">
      <c r="L597701" s="472"/>
      <c r="M597701" s="472"/>
    </row>
    <row r="597773" spans="12:13" x14ac:dyDescent="0.25">
      <c r="L597773" s="472"/>
      <c r="M597773" s="472"/>
    </row>
    <row r="597774" spans="12:13" x14ac:dyDescent="0.25">
      <c r="L597774" s="472"/>
      <c r="M597774" s="472"/>
    </row>
    <row r="597775" spans="12:13" x14ac:dyDescent="0.25">
      <c r="L597775" s="472"/>
      <c r="M597775" s="472"/>
    </row>
    <row r="597847" spans="12:13" x14ac:dyDescent="0.25">
      <c r="L597847" s="472"/>
      <c r="M597847" s="472"/>
    </row>
    <row r="597848" spans="12:13" x14ac:dyDescent="0.25">
      <c r="L597848" s="472"/>
      <c r="M597848" s="472"/>
    </row>
    <row r="597849" spans="12:13" x14ac:dyDescent="0.25">
      <c r="L597849" s="472"/>
      <c r="M597849" s="472"/>
    </row>
    <row r="597921" spans="12:13" x14ac:dyDescent="0.25">
      <c r="L597921" s="472"/>
      <c r="M597921" s="472"/>
    </row>
    <row r="597922" spans="12:13" x14ac:dyDescent="0.25">
      <c r="L597922" s="472"/>
      <c r="M597922" s="472"/>
    </row>
    <row r="597923" spans="12:13" x14ac:dyDescent="0.25">
      <c r="L597923" s="472"/>
      <c r="M597923" s="472"/>
    </row>
    <row r="597995" spans="12:13" x14ac:dyDescent="0.25">
      <c r="L597995" s="472"/>
      <c r="M597995" s="472"/>
    </row>
    <row r="597996" spans="12:13" x14ac:dyDescent="0.25">
      <c r="L597996" s="472"/>
      <c r="M597996" s="472"/>
    </row>
    <row r="597997" spans="12:13" x14ac:dyDescent="0.25">
      <c r="L597997" s="472"/>
      <c r="M597997" s="472"/>
    </row>
    <row r="598069" spans="12:13" x14ac:dyDescent="0.25">
      <c r="L598069" s="472"/>
      <c r="M598069" s="472"/>
    </row>
    <row r="598070" spans="12:13" x14ac:dyDescent="0.25">
      <c r="L598070" s="472"/>
      <c r="M598070" s="472"/>
    </row>
    <row r="598071" spans="12:13" x14ac:dyDescent="0.25">
      <c r="L598071" s="472"/>
      <c r="M598071" s="472"/>
    </row>
    <row r="598143" spans="12:13" x14ac:dyDescent="0.25">
      <c r="L598143" s="472"/>
      <c r="M598143" s="472"/>
    </row>
    <row r="598144" spans="12:13" x14ac:dyDescent="0.25">
      <c r="L598144" s="472"/>
      <c r="M598144" s="472"/>
    </row>
    <row r="598145" spans="12:13" x14ac:dyDescent="0.25">
      <c r="L598145" s="472"/>
      <c r="M598145" s="472"/>
    </row>
    <row r="598217" spans="12:13" x14ac:dyDescent="0.25">
      <c r="L598217" s="472"/>
      <c r="M598217" s="472"/>
    </row>
    <row r="598218" spans="12:13" x14ac:dyDescent="0.25">
      <c r="L598218" s="472"/>
      <c r="M598218" s="472"/>
    </row>
    <row r="598219" spans="12:13" x14ac:dyDescent="0.25">
      <c r="L598219" s="472"/>
      <c r="M598219" s="472"/>
    </row>
    <row r="598291" spans="12:13" x14ac:dyDescent="0.25">
      <c r="L598291" s="472"/>
      <c r="M598291" s="472"/>
    </row>
    <row r="598292" spans="12:13" x14ac:dyDescent="0.25">
      <c r="L598292" s="472"/>
      <c r="M598292" s="472"/>
    </row>
    <row r="598293" spans="12:13" x14ac:dyDescent="0.25">
      <c r="L598293" s="472"/>
      <c r="M598293" s="472"/>
    </row>
    <row r="598365" spans="12:13" x14ac:dyDescent="0.25">
      <c r="L598365" s="472"/>
      <c r="M598365" s="472"/>
    </row>
    <row r="598366" spans="12:13" x14ac:dyDescent="0.25">
      <c r="L598366" s="472"/>
      <c r="M598366" s="472"/>
    </row>
    <row r="598367" spans="12:13" x14ac:dyDescent="0.25">
      <c r="L598367" s="472"/>
      <c r="M598367" s="472"/>
    </row>
    <row r="598439" spans="12:13" x14ac:dyDescent="0.25">
      <c r="L598439" s="472"/>
      <c r="M598439" s="472"/>
    </row>
    <row r="598440" spans="12:13" x14ac:dyDescent="0.25">
      <c r="L598440" s="472"/>
      <c r="M598440" s="472"/>
    </row>
    <row r="598441" spans="12:13" x14ac:dyDescent="0.25">
      <c r="L598441" s="472"/>
      <c r="M598441" s="472"/>
    </row>
    <row r="598513" spans="12:13" x14ac:dyDescent="0.25">
      <c r="L598513" s="472"/>
      <c r="M598513" s="472"/>
    </row>
    <row r="598514" spans="12:13" x14ac:dyDescent="0.25">
      <c r="L598514" s="472"/>
      <c r="M598514" s="472"/>
    </row>
    <row r="598515" spans="12:13" x14ac:dyDescent="0.25">
      <c r="L598515" s="472"/>
      <c r="M598515" s="472"/>
    </row>
    <row r="598587" spans="12:13" x14ac:dyDescent="0.25">
      <c r="L598587" s="472"/>
      <c r="M598587" s="472"/>
    </row>
    <row r="598588" spans="12:13" x14ac:dyDescent="0.25">
      <c r="L598588" s="472"/>
      <c r="M598588" s="472"/>
    </row>
    <row r="598589" spans="12:13" x14ac:dyDescent="0.25">
      <c r="L598589" s="472"/>
      <c r="M598589" s="472"/>
    </row>
    <row r="598661" spans="12:13" x14ac:dyDescent="0.25">
      <c r="L598661" s="472"/>
      <c r="M598661" s="472"/>
    </row>
    <row r="598662" spans="12:13" x14ac:dyDescent="0.25">
      <c r="L598662" s="472"/>
      <c r="M598662" s="472"/>
    </row>
    <row r="598663" spans="12:13" x14ac:dyDescent="0.25">
      <c r="L598663" s="472"/>
      <c r="M598663" s="472"/>
    </row>
    <row r="598735" spans="12:13" x14ac:dyDescent="0.25">
      <c r="L598735" s="472"/>
      <c r="M598735" s="472"/>
    </row>
    <row r="598736" spans="12:13" x14ac:dyDescent="0.25">
      <c r="L598736" s="472"/>
      <c r="M598736" s="472"/>
    </row>
    <row r="598737" spans="12:13" x14ac:dyDescent="0.25">
      <c r="L598737" s="472"/>
      <c r="M598737" s="472"/>
    </row>
    <row r="598809" spans="12:13" x14ac:dyDescent="0.25">
      <c r="L598809" s="472"/>
      <c r="M598809" s="472"/>
    </row>
    <row r="598810" spans="12:13" x14ac:dyDescent="0.25">
      <c r="L598810" s="472"/>
      <c r="M598810" s="472"/>
    </row>
    <row r="598811" spans="12:13" x14ac:dyDescent="0.25">
      <c r="L598811" s="472"/>
      <c r="M598811" s="472"/>
    </row>
    <row r="598883" spans="12:13" x14ac:dyDescent="0.25">
      <c r="L598883" s="472"/>
      <c r="M598883" s="472"/>
    </row>
    <row r="598884" spans="12:13" x14ac:dyDescent="0.25">
      <c r="L598884" s="472"/>
      <c r="M598884" s="472"/>
    </row>
    <row r="598885" spans="12:13" x14ac:dyDescent="0.25">
      <c r="L598885" s="472"/>
      <c r="M598885" s="472"/>
    </row>
    <row r="598957" spans="12:13" x14ac:dyDescent="0.25">
      <c r="L598957" s="472"/>
      <c r="M598957" s="472"/>
    </row>
    <row r="598958" spans="12:13" x14ac:dyDescent="0.25">
      <c r="L598958" s="472"/>
      <c r="M598958" s="472"/>
    </row>
    <row r="598959" spans="12:13" x14ac:dyDescent="0.25">
      <c r="L598959" s="472"/>
      <c r="M598959" s="472"/>
    </row>
    <row r="599031" spans="12:13" x14ac:dyDescent="0.25">
      <c r="L599031" s="472"/>
      <c r="M599031" s="472"/>
    </row>
    <row r="599032" spans="12:13" x14ac:dyDescent="0.25">
      <c r="L599032" s="472"/>
      <c r="M599032" s="472"/>
    </row>
    <row r="599033" spans="12:13" x14ac:dyDescent="0.25">
      <c r="L599033" s="472"/>
      <c r="M599033" s="472"/>
    </row>
    <row r="599105" spans="12:13" x14ac:dyDescent="0.25">
      <c r="L599105" s="472"/>
      <c r="M599105" s="472"/>
    </row>
    <row r="599106" spans="12:13" x14ac:dyDescent="0.25">
      <c r="L599106" s="472"/>
      <c r="M599106" s="472"/>
    </row>
    <row r="599107" spans="12:13" x14ac:dyDescent="0.25">
      <c r="L599107" s="472"/>
      <c r="M599107" s="472"/>
    </row>
    <row r="599179" spans="12:13" x14ac:dyDescent="0.25">
      <c r="L599179" s="472"/>
      <c r="M599179" s="472"/>
    </row>
    <row r="599180" spans="12:13" x14ac:dyDescent="0.25">
      <c r="L599180" s="472"/>
      <c r="M599180" s="472"/>
    </row>
    <row r="599181" spans="12:13" x14ac:dyDescent="0.25">
      <c r="L599181" s="472"/>
      <c r="M599181" s="472"/>
    </row>
    <row r="599253" spans="12:13" x14ac:dyDescent="0.25">
      <c r="L599253" s="472"/>
      <c r="M599253" s="472"/>
    </row>
    <row r="599254" spans="12:13" x14ac:dyDescent="0.25">
      <c r="L599254" s="472"/>
      <c r="M599254" s="472"/>
    </row>
    <row r="599255" spans="12:13" x14ac:dyDescent="0.25">
      <c r="L599255" s="472"/>
      <c r="M599255" s="472"/>
    </row>
    <row r="599327" spans="12:13" x14ac:dyDescent="0.25">
      <c r="L599327" s="472"/>
      <c r="M599327" s="472"/>
    </row>
    <row r="599328" spans="12:13" x14ac:dyDescent="0.25">
      <c r="L599328" s="472"/>
      <c r="M599328" s="472"/>
    </row>
    <row r="599329" spans="12:13" x14ac:dyDescent="0.25">
      <c r="L599329" s="472"/>
      <c r="M599329" s="472"/>
    </row>
    <row r="599401" spans="12:13" x14ac:dyDescent="0.25">
      <c r="L599401" s="472"/>
      <c r="M599401" s="472"/>
    </row>
    <row r="599402" spans="12:13" x14ac:dyDescent="0.25">
      <c r="L599402" s="472"/>
      <c r="M599402" s="472"/>
    </row>
    <row r="599403" spans="12:13" x14ac:dyDescent="0.25">
      <c r="L599403" s="472"/>
      <c r="M599403" s="472"/>
    </row>
    <row r="599475" spans="12:13" x14ac:dyDescent="0.25">
      <c r="L599475" s="472"/>
      <c r="M599475" s="472"/>
    </row>
    <row r="599476" spans="12:13" x14ac:dyDescent="0.25">
      <c r="L599476" s="472"/>
      <c r="M599476" s="472"/>
    </row>
    <row r="599477" spans="12:13" x14ac:dyDescent="0.25">
      <c r="L599477" s="472"/>
      <c r="M599477" s="472"/>
    </row>
    <row r="599549" spans="12:13" x14ac:dyDescent="0.25">
      <c r="L599549" s="472"/>
      <c r="M599549" s="472"/>
    </row>
    <row r="599550" spans="12:13" x14ac:dyDescent="0.25">
      <c r="L599550" s="472"/>
      <c r="M599550" s="472"/>
    </row>
    <row r="599551" spans="12:13" x14ac:dyDescent="0.25">
      <c r="L599551" s="472"/>
      <c r="M599551" s="472"/>
    </row>
    <row r="599623" spans="12:13" x14ac:dyDescent="0.25">
      <c r="L599623" s="472"/>
      <c r="M599623" s="472"/>
    </row>
    <row r="599624" spans="12:13" x14ac:dyDescent="0.25">
      <c r="L599624" s="472"/>
      <c r="M599624" s="472"/>
    </row>
    <row r="599625" spans="12:13" x14ac:dyDescent="0.25">
      <c r="L599625" s="472"/>
      <c r="M599625" s="472"/>
    </row>
    <row r="599697" spans="12:13" x14ac:dyDescent="0.25">
      <c r="L599697" s="472"/>
      <c r="M599697" s="472"/>
    </row>
    <row r="599698" spans="12:13" x14ac:dyDescent="0.25">
      <c r="L599698" s="472"/>
      <c r="M599698" s="472"/>
    </row>
    <row r="599699" spans="12:13" x14ac:dyDescent="0.25">
      <c r="L599699" s="472"/>
      <c r="M599699" s="472"/>
    </row>
    <row r="599771" spans="12:13" x14ac:dyDescent="0.25">
      <c r="L599771" s="472"/>
      <c r="M599771" s="472"/>
    </row>
    <row r="599772" spans="12:13" x14ac:dyDescent="0.25">
      <c r="L599772" s="472"/>
      <c r="M599772" s="472"/>
    </row>
    <row r="599773" spans="12:13" x14ac:dyDescent="0.25">
      <c r="L599773" s="472"/>
      <c r="M599773" s="472"/>
    </row>
    <row r="599845" spans="12:13" x14ac:dyDescent="0.25">
      <c r="L599845" s="472"/>
      <c r="M599845" s="472"/>
    </row>
    <row r="599846" spans="12:13" x14ac:dyDescent="0.25">
      <c r="L599846" s="472"/>
      <c r="M599846" s="472"/>
    </row>
    <row r="599847" spans="12:13" x14ac:dyDescent="0.25">
      <c r="L599847" s="472"/>
      <c r="M599847" s="472"/>
    </row>
    <row r="599919" spans="12:13" x14ac:dyDescent="0.25">
      <c r="L599919" s="472"/>
      <c r="M599919" s="472"/>
    </row>
    <row r="599920" spans="12:13" x14ac:dyDescent="0.25">
      <c r="L599920" s="472"/>
      <c r="M599920" s="472"/>
    </row>
    <row r="599921" spans="12:13" x14ac:dyDescent="0.25">
      <c r="L599921" s="472"/>
      <c r="M599921" s="472"/>
    </row>
    <row r="599993" spans="12:13" x14ac:dyDescent="0.25">
      <c r="L599993" s="472"/>
      <c r="M599993" s="472"/>
    </row>
    <row r="599994" spans="12:13" x14ac:dyDescent="0.25">
      <c r="L599994" s="472"/>
      <c r="M599994" s="472"/>
    </row>
    <row r="599995" spans="12:13" x14ac:dyDescent="0.25">
      <c r="L599995" s="472"/>
      <c r="M599995" s="472"/>
    </row>
    <row r="600067" spans="12:13" x14ac:dyDescent="0.25">
      <c r="L600067" s="472"/>
      <c r="M600067" s="472"/>
    </row>
    <row r="600068" spans="12:13" x14ac:dyDescent="0.25">
      <c r="L600068" s="472"/>
      <c r="M600068" s="472"/>
    </row>
    <row r="600069" spans="12:13" x14ac:dyDescent="0.25">
      <c r="L600069" s="472"/>
      <c r="M600069" s="472"/>
    </row>
    <row r="600141" spans="12:13" x14ac:dyDescent="0.25">
      <c r="L600141" s="472"/>
      <c r="M600141" s="472"/>
    </row>
    <row r="600142" spans="12:13" x14ac:dyDescent="0.25">
      <c r="L600142" s="472"/>
      <c r="M600142" s="472"/>
    </row>
    <row r="600143" spans="12:13" x14ac:dyDescent="0.25">
      <c r="L600143" s="472"/>
      <c r="M600143" s="472"/>
    </row>
    <row r="600215" spans="12:13" x14ac:dyDescent="0.25">
      <c r="L600215" s="472"/>
      <c r="M600215" s="472"/>
    </row>
    <row r="600216" spans="12:13" x14ac:dyDescent="0.25">
      <c r="L600216" s="472"/>
      <c r="M600216" s="472"/>
    </row>
    <row r="600217" spans="12:13" x14ac:dyDescent="0.25">
      <c r="L600217" s="472"/>
      <c r="M600217" s="472"/>
    </row>
    <row r="600289" spans="12:13" x14ac:dyDescent="0.25">
      <c r="L600289" s="472"/>
      <c r="M600289" s="472"/>
    </row>
    <row r="600290" spans="12:13" x14ac:dyDescent="0.25">
      <c r="L600290" s="472"/>
      <c r="M600290" s="472"/>
    </row>
    <row r="600291" spans="12:13" x14ac:dyDescent="0.25">
      <c r="L600291" s="472"/>
      <c r="M600291" s="472"/>
    </row>
    <row r="600363" spans="12:13" x14ac:dyDescent="0.25">
      <c r="L600363" s="472"/>
      <c r="M600363" s="472"/>
    </row>
    <row r="600364" spans="12:13" x14ac:dyDescent="0.25">
      <c r="L600364" s="472"/>
      <c r="M600364" s="472"/>
    </row>
    <row r="600365" spans="12:13" x14ac:dyDescent="0.25">
      <c r="L600365" s="472"/>
      <c r="M600365" s="472"/>
    </row>
    <row r="600437" spans="12:13" x14ac:dyDescent="0.25">
      <c r="L600437" s="472"/>
      <c r="M600437" s="472"/>
    </row>
    <row r="600438" spans="12:13" x14ac:dyDescent="0.25">
      <c r="L600438" s="472"/>
      <c r="M600438" s="472"/>
    </row>
    <row r="600439" spans="12:13" x14ac:dyDescent="0.25">
      <c r="L600439" s="472"/>
      <c r="M600439" s="472"/>
    </row>
    <row r="600511" spans="12:13" x14ac:dyDescent="0.25">
      <c r="L600511" s="472"/>
      <c r="M600511" s="472"/>
    </row>
    <row r="600512" spans="12:13" x14ac:dyDescent="0.25">
      <c r="L600512" s="472"/>
      <c r="M600512" s="472"/>
    </row>
    <row r="600513" spans="12:13" x14ac:dyDescent="0.25">
      <c r="L600513" s="472"/>
      <c r="M600513" s="472"/>
    </row>
    <row r="600585" spans="12:13" x14ac:dyDescent="0.25">
      <c r="L600585" s="472"/>
      <c r="M600585" s="472"/>
    </row>
    <row r="600586" spans="12:13" x14ac:dyDescent="0.25">
      <c r="L600586" s="472"/>
      <c r="M600586" s="472"/>
    </row>
    <row r="600587" spans="12:13" x14ac:dyDescent="0.25">
      <c r="L600587" s="472"/>
      <c r="M600587" s="472"/>
    </row>
    <row r="600659" spans="12:13" x14ac:dyDescent="0.25">
      <c r="L600659" s="472"/>
      <c r="M600659" s="472"/>
    </row>
    <row r="600660" spans="12:13" x14ac:dyDescent="0.25">
      <c r="L600660" s="472"/>
      <c r="M600660" s="472"/>
    </row>
    <row r="600661" spans="12:13" x14ac:dyDescent="0.25">
      <c r="L600661" s="472"/>
      <c r="M600661" s="472"/>
    </row>
    <row r="600733" spans="12:13" x14ac:dyDescent="0.25">
      <c r="L600733" s="472"/>
      <c r="M600733" s="472"/>
    </row>
    <row r="600734" spans="12:13" x14ac:dyDescent="0.25">
      <c r="L600734" s="472"/>
      <c r="M600734" s="472"/>
    </row>
    <row r="600735" spans="12:13" x14ac:dyDescent="0.25">
      <c r="L600735" s="472"/>
      <c r="M600735" s="472"/>
    </row>
    <row r="600807" spans="12:13" x14ac:dyDescent="0.25">
      <c r="L600807" s="472"/>
      <c r="M600807" s="472"/>
    </row>
    <row r="600808" spans="12:13" x14ac:dyDescent="0.25">
      <c r="L600808" s="472"/>
      <c r="M600808" s="472"/>
    </row>
    <row r="600809" spans="12:13" x14ac:dyDescent="0.25">
      <c r="L600809" s="472"/>
      <c r="M600809" s="472"/>
    </row>
    <row r="600881" spans="12:13" x14ac:dyDescent="0.25">
      <c r="L600881" s="472"/>
      <c r="M600881" s="472"/>
    </row>
    <row r="600882" spans="12:13" x14ac:dyDescent="0.25">
      <c r="L600882" s="472"/>
      <c r="M600882" s="472"/>
    </row>
    <row r="600883" spans="12:13" x14ac:dyDescent="0.25">
      <c r="L600883" s="472"/>
      <c r="M600883" s="472"/>
    </row>
    <row r="600955" spans="12:13" x14ac:dyDescent="0.25">
      <c r="L600955" s="472"/>
      <c r="M600955" s="472"/>
    </row>
    <row r="600956" spans="12:13" x14ac:dyDescent="0.25">
      <c r="L600956" s="472"/>
      <c r="M600956" s="472"/>
    </row>
    <row r="600957" spans="12:13" x14ac:dyDescent="0.25">
      <c r="L600957" s="472"/>
      <c r="M600957" s="472"/>
    </row>
    <row r="601029" spans="12:13" x14ac:dyDescent="0.25">
      <c r="L601029" s="472"/>
      <c r="M601029" s="472"/>
    </row>
    <row r="601030" spans="12:13" x14ac:dyDescent="0.25">
      <c r="L601030" s="472"/>
      <c r="M601030" s="472"/>
    </row>
    <row r="601031" spans="12:13" x14ac:dyDescent="0.25">
      <c r="L601031" s="472"/>
      <c r="M601031" s="472"/>
    </row>
    <row r="601103" spans="12:13" x14ac:dyDescent="0.25">
      <c r="L601103" s="472"/>
      <c r="M601103" s="472"/>
    </row>
    <row r="601104" spans="12:13" x14ac:dyDescent="0.25">
      <c r="L601104" s="472"/>
      <c r="M601104" s="472"/>
    </row>
    <row r="601105" spans="12:13" x14ac:dyDescent="0.25">
      <c r="L601105" s="472"/>
      <c r="M601105" s="472"/>
    </row>
    <row r="601177" spans="12:13" x14ac:dyDescent="0.25">
      <c r="L601177" s="472"/>
      <c r="M601177" s="472"/>
    </row>
    <row r="601178" spans="12:13" x14ac:dyDescent="0.25">
      <c r="L601178" s="472"/>
      <c r="M601178" s="472"/>
    </row>
    <row r="601179" spans="12:13" x14ac:dyDescent="0.25">
      <c r="L601179" s="472"/>
      <c r="M601179" s="472"/>
    </row>
    <row r="601251" spans="12:13" x14ac:dyDescent="0.25">
      <c r="L601251" s="472"/>
      <c r="M601251" s="472"/>
    </row>
    <row r="601252" spans="12:13" x14ac:dyDescent="0.25">
      <c r="L601252" s="472"/>
      <c r="M601252" s="472"/>
    </row>
    <row r="601253" spans="12:13" x14ac:dyDescent="0.25">
      <c r="L601253" s="472"/>
      <c r="M601253" s="472"/>
    </row>
    <row r="601325" spans="12:13" x14ac:dyDescent="0.25">
      <c r="L601325" s="472"/>
      <c r="M601325" s="472"/>
    </row>
    <row r="601326" spans="12:13" x14ac:dyDescent="0.25">
      <c r="L601326" s="472"/>
      <c r="M601326" s="472"/>
    </row>
    <row r="601327" spans="12:13" x14ac:dyDescent="0.25">
      <c r="L601327" s="472"/>
      <c r="M601327" s="472"/>
    </row>
    <row r="601399" spans="12:13" x14ac:dyDescent="0.25">
      <c r="L601399" s="472"/>
      <c r="M601399" s="472"/>
    </row>
    <row r="601400" spans="12:13" x14ac:dyDescent="0.25">
      <c r="L601400" s="472"/>
      <c r="M601400" s="472"/>
    </row>
    <row r="601401" spans="12:13" x14ac:dyDescent="0.25">
      <c r="L601401" s="472"/>
      <c r="M601401" s="472"/>
    </row>
    <row r="601473" spans="12:13" x14ac:dyDescent="0.25">
      <c r="L601473" s="472"/>
      <c r="M601473" s="472"/>
    </row>
    <row r="601474" spans="12:13" x14ac:dyDescent="0.25">
      <c r="L601474" s="472"/>
      <c r="M601474" s="472"/>
    </row>
    <row r="601475" spans="12:13" x14ac:dyDescent="0.25">
      <c r="L601475" s="472"/>
      <c r="M601475" s="472"/>
    </row>
    <row r="601547" spans="12:13" x14ac:dyDescent="0.25">
      <c r="L601547" s="472"/>
      <c r="M601547" s="472"/>
    </row>
    <row r="601548" spans="12:13" x14ac:dyDescent="0.25">
      <c r="L601548" s="472"/>
      <c r="M601548" s="472"/>
    </row>
    <row r="601549" spans="12:13" x14ac:dyDescent="0.25">
      <c r="L601549" s="472"/>
      <c r="M601549" s="472"/>
    </row>
    <row r="601621" spans="12:13" x14ac:dyDescent="0.25">
      <c r="L601621" s="472"/>
      <c r="M601621" s="472"/>
    </row>
    <row r="601622" spans="12:13" x14ac:dyDescent="0.25">
      <c r="L601622" s="472"/>
      <c r="M601622" s="472"/>
    </row>
    <row r="601623" spans="12:13" x14ac:dyDescent="0.25">
      <c r="L601623" s="472"/>
      <c r="M601623" s="472"/>
    </row>
    <row r="601695" spans="12:13" x14ac:dyDescent="0.25">
      <c r="L601695" s="472"/>
      <c r="M601695" s="472"/>
    </row>
    <row r="601696" spans="12:13" x14ac:dyDescent="0.25">
      <c r="L601696" s="472"/>
      <c r="M601696" s="472"/>
    </row>
    <row r="601697" spans="12:13" x14ac:dyDescent="0.25">
      <c r="L601697" s="472"/>
      <c r="M601697" s="472"/>
    </row>
    <row r="601769" spans="12:13" x14ac:dyDescent="0.25">
      <c r="L601769" s="472"/>
      <c r="M601769" s="472"/>
    </row>
    <row r="601770" spans="12:13" x14ac:dyDescent="0.25">
      <c r="L601770" s="472"/>
      <c r="M601770" s="472"/>
    </row>
    <row r="601771" spans="12:13" x14ac:dyDescent="0.25">
      <c r="L601771" s="472"/>
      <c r="M601771" s="472"/>
    </row>
    <row r="601843" spans="12:13" x14ac:dyDescent="0.25">
      <c r="L601843" s="472"/>
      <c r="M601843" s="472"/>
    </row>
    <row r="601844" spans="12:13" x14ac:dyDescent="0.25">
      <c r="L601844" s="472"/>
      <c r="M601844" s="472"/>
    </row>
    <row r="601845" spans="12:13" x14ac:dyDescent="0.25">
      <c r="L601845" s="472"/>
      <c r="M601845" s="472"/>
    </row>
    <row r="601917" spans="12:13" x14ac:dyDescent="0.25">
      <c r="L601917" s="472"/>
      <c r="M601917" s="472"/>
    </row>
    <row r="601918" spans="12:13" x14ac:dyDescent="0.25">
      <c r="L601918" s="472"/>
      <c r="M601918" s="472"/>
    </row>
    <row r="601919" spans="12:13" x14ac:dyDescent="0.25">
      <c r="L601919" s="472"/>
      <c r="M601919" s="472"/>
    </row>
    <row r="601991" spans="12:13" x14ac:dyDescent="0.25">
      <c r="L601991" s="472"/>
      <c r="M601991" s="472"/>
    </row>
    <row r="601992" spans="12:13" x14ac:dyDescent="0.25">
      <c r="L601992" s="472"/>
      <c r="M601992" s="472"/>
    </row>
    <row r="601993" spans="12:13" x14ac:dyDescent="0.25">
      <c r="L601993" s="472"/>
      <c r="M601993" s="472"/>
    </row>
    <row r="602065" spans="12:13" x14ac:dyDescent="0.25">
      <c r="L602065" s="472"/>
      <c r="M602065" s="472"/>
    </row>
    <row r="602066" spans="12:13" x14ac:dyDescent="0.25">
      <c r="L602066" s="472"/>
      <c r="M602066" s="472"/>
    </row>
    <row r="602067" spans="12:13" x14ac:dyDescent="0.25">
      <c r="L602067" s="472"/>
      <c r="M602067" s="472"/>
    </row>
    <row r="602139" spans="12:13" x14ac:dyDescent="0.25">
      <c r="L602139" s="472"/>
      <c r="M602139" s="472"/>
    </row>
    <row r="602140" spans="12:13" x14ac:dyDescent="0.25">
      <c r="L602140" s="472"/>
      <c r="M602140" s="472"/>
    </row>
    <row r="602141" spans="12:13" x14ac:dyDescent="0.25">
      <c r="L602141" s="472"/>
      <c r="M602141" s="472"/>
    </row>
    <row r="602213" spans="12:13" x14ac:dyDescent="0.25">
      <c r="L602213" s="472"/>
      <c r="M602213" s="472"/>
    </row>
    <row r="602214" spans="12:13" x14ac:dyDescent="0.25">
      <c r="L602214" s="472"/>
      <c r="M602214" s="472"/>
    </row>
    <row r="602215" spans="12:13" x14ac:dyDescent="0.25">
      <c r="L602215" s="472"/>
      <c r="M602215" s="472"/>
    </row>
    <row r="602287" spans="12:13" x14ac:dyDescent="0.25">
      <c r="L602287" s="472"/>
      <c r="M602287" s="472"/>
    </row>
    <row r="602288" spans="12:13" x14ac:dyDescent="0.25">
      <c r="L602288" s="472"/>
      <c r="M602288" s="472"/>
    </row>
    <row r="602289" spans="12:13" x14ac:dyDescent="0.25">
      <c r="L602289" s="472"/>
      <c r="M602289" s="472"/>
    </row>
    <row r="602361" spans="12:13" x14ac:dyDescent="0.25">
      <c r="L602361" s="472"/>
      <c r="M602361" s="472"/>
    </row>
    <row r="602362" spans="12:13" x14ac:dyDescent="0.25">
      <c r="L602362" s="472"/>
      <c r="M602362" s="472"/>
    </row>
    <row r="602363" spans="12:13" x14ac:dyDescent="0.25">
      <c r="L602363" s="472"/>
      <c r="M602363" s="472"/>
    </row>
    <row r="602435" spans="12:13" x14ac:dyDescent="0.25">
      <c r="L602435" s="472"/>
      <c r="M602435" s="472"/>
    </row>
    <row r="602436" spans="12:13" x14ac:dyDescent="0.25">
      <c r="L602436" s="472"/>
      <c r="M602436" s="472"/>
    </row>
    <row r="602437" spans="12:13" x14ac:dyDescent="0.25">
      <c r="L602437" s="472"/>
      <c r="M602437" s="472"/>
    </row>
    <row r="602509" spans="12:13" x14ac:dyDescent="0.25">
      <c r="L602509" s="472"/>
      <c r="M602509" s="472"/>
    </row>
    <row r="602510" spans="12:13" x14ac:dyDescent="0.25">
      <c r="L602510" s="472"/>
      <c r="M602510" s="472"/>
    </row>
    <row r="602511" spans="12:13" x14ac:dyDescent="0.25">
      <c r="L602511" s="472"/>
      <c r="M602511" s="472"/>
    </row>
    <row r="602583" spans="12:13" x14ac:dyDescent="0.25">
      <c r="L602583" s="472"/>
      <c r="M602583" s="472"/>
    </row>
    <row r="602584" spans="12:13" x14ac:dyDescent="0.25">
      <c r="L602584" s="472"/>
      <c r="M602584" s="472"/>
    </row>
    <row r="602585" spans="12:13" x14ac:dyDescent="0.25">
      <c r="L602585" s="472"/>
      <c r="M602585" s="472"/>
    </row>
    <row r="602657" spans="12:13" x14ac:dyDescent="0.25">
      <c r="L602657" s="472"/>
      <c r="M602657" s="472"/>
    </row>
    <row r="602658" spans="12:13" x14ac:dyDescent="0.25">
      <c r="L602658" s="472"/>
      <c r="M602658" s="472"/>
    </row>
    <row r="602659" spans="12:13" x14ac:dyDescent="0.25">
      <c r="L602659" s="472"/>
      <c r="M602659" s="472"/>
    </row>
    <row r="602731" spans="12:13" x14ac:dyDescent="0.25">
      <c r="L602731" s="472"/>
      <c r="M602731" s="472"/>
    </row>
    <row r="602732" spans="12:13" x14ac:dyDescent="0.25">
      <c r="L602732" s="472"/>
      <c r="M602732" s="472"/>
    </row>
    <row r="602733" spans="12:13" x14ac:dyDescent="0.25">
      <c r="L602733" s="472"/>
      <c r="M602733" s="472"/>
    </row>
    <row r="602805" spans="12:13" x14ac:dyDescent="0.25">
      <c r="L602805" s="472"/>
      <c r="M602805" s="472"/>
    </row>
    <row r="602806" spans="12:13" x14ac:dyDescent="0.25">
      <c r="L602806" s="472"/>
      <c r="M602806" s="472"/>
    </row>
    <row r="602807" spans="12:13" x14ac:dyDescent="0.25">
      <c r="L602807" s="472"/>
      <c r="M602807" s="472"/>
    </row>
    <row r="602879" spans="12:13" x14ac:dyDescent="0.25">
      <c r="L602879" s="472"/>
      <c r="M602879" s="472"/>
    </row>
    <row r="602880" spans="12:13" x14ac:dyDescent="0.25">
      <c r="L602880" s="472"/>
      <c r="M602880" s="472"/>
    </row>
    <row r="602881" spans="12:13" x14ac:dyDescent="0.25">
      <c r="L602881" s="472"/>
      <c r="M602881" s="472"/>
    </row>
    <row r="602953" spans="12:13" x14ac:dyDescent="0.25">
      <c r="L602953" s="472"/>
      <c r="M602953" s="472"/>
    </row>
    <row r="602954" spans="12:13" x14ac:dyDescent="0.25">
      <c r="L602954" s="472"/>
      <c r="M602954" s="472"/>
    </row>
    <row r="602955" spans="12:13" x14ac:dyDescent="0.25">
      <c r="L602955" s="472"/>
      <c r="M602955" s="472"/>
    </row>
    <row r="603027" spans="12:13" x14ac:dyDescent="0.25">
      <c r="L603027" s="472"/>
      <c r="M603027" s="472"/>
    </row>
    <row r="603028" spans="12:13" x14ac:dyDescent="0.25">
      <c r="L603028" s="472"/>
      <c r="M603028" s="472"/>
    </row>
    <row r="603029" spans="12:13" x14ac:dyDescent="0.25">
      <c r="L603029" s="472"/>
      <c r="M603029" s="472"/>
    </row>
    <row r="603101" spans="12:13" x14ac:dyDescent="0.25">
      <c r="L603101" s="472"/>
      <c r="M603101" s="472"/>
    </row>
    <row r="603102" spans="12:13" x14ac:dyDescent="0.25">
      <c r="L603102" s="472"/>
      <c r="M603102" s="472"/>
    </row>
    <row r="603103" spans="12:13" x14ac:dyDescent="0.25">
      <c r="L603103" s="472"/>
      <c r="M603103" s="472"/>
    </row>
    <row r="603175" spans="12:13" x14ac:dyDescent="0.25">
      <c r="L603175" s="472"/>
      <c r="M603175" s="472"/>
    </row>
    <row r="603176" spans="12:13" x14ac:dyDescent="0.25">
      <c r="L603176" s="472"/>
      <c r="M603176" s="472"/>
    </row>
    <row r="603177" spans="12:13" x14ac:dyDescent="0.25">
      <c r="L603177" s="472"/>
      <c r="M603177" s="472"/>
    </row>
    <row r="603249" spans="12:13" x14ac:dyDescent="0.25">
      <c r="L603249" s="472"/>
      <c r="M603249" s="472"/>
    </row>
    <row r="603250" spans="12:13" x14ac:dyDescent="0.25">
      <c r="L603250" s="472"/>
      <c r="M603250" s="472"/>
    </row>
    <row r="603251" spans="12:13" x14ac:dyDescent="0.25">
      <c r="L603251" s="472"/>
      <c r="M603251" s="472"/>
    </row>
    <row r="603323" spans="12:13" x14ac:dyDescent="0.25">
      <c r="L603323" s="472"/>
      <c r="M603323" s="472"/>
    </row>
    <row r="603324" spans="12:13" x14ac:dyDescent="0.25">
      <c r="L603324" s="472"/>
      <c r="M603324" s="472"/>
    </row>
    <row r="603325" spans="12:13" x14ac:dyDescent="0.25">
      <c r="L603325" s="472"/>
      <c r="M603325" s="472"/>
    </row>
    <row r="603397" spans="12:13" x14ac:dyDescent="0.25">
      <c r="L603397" s="472"/>
      <c r="M603397" s="472"/>
    </row>
    <row r="603398" spans="12:13" x14ac:dyDescent="0.25">
      <c r="L603398" s="472"/>
      <c r="M603398" s="472"/>
    </row>
    <row r="603399" spans="12:13" x14ac:dyDescent="0.25">
      <c r="L603399" s="472"/>
      <c r="M603399" s="472"/>
    </row>
    <row r="603471" spans="12:13" x14ac:dyDescent="0.25">
      <c r="L603471" s="472"/>
      <c r="M603471" s="472"/>
    </row>
    <row r="603472" spans="12:13" x14ac:dyDescent="0.25">
      <c r="L603472" s="472"/>
      <c r="M603472" s="472"/>
    </row>
    <row r="603473" spans="12:13" x14ac:dyDescent="0.25">
      <c r="L603473" s="472"/>
      <c r="M603473" s="472"/>
    </row>
    <row r="603545" spans="12:13" x14ac:dyDescent="0.25">
      <c r="L603545" s="472"/>
      <c r="M603545" s="472"/>
    </row>
    <row r="603546" spans="12:13" x14ac:dyDescent="0.25">
      <c r="L603546" s="472"/>
      <c r="M603546" s="472"/>
    </row>
    <row r="603547" spans="12:13" x14ac:dyDescent="0.25">
      <c r="L603547" s="472"/>
      <c r="M603547" s="472"/>
    </row>
    <row r="603619" spans="12:13" x14ac:dyDescent="0.25">
      <c r="L603619" s="472"/>
      <c r="M603619" s="472"/>
    </row>
    <row r="603620" spans="12:13" x14ac:dyDescent="0.25">
      <c r="L603620" s="472"/>
      <c r="M603620" s="472"/>
    </row>
    <row r="603621" spans="12:13" x14ac:dyDescent="0.25">
      <c r="L603621" s="472"/>
      <c r="M603621" s="472"/>
    </row>
    <row r="603693" spans="12:13" x14ac:dyDescent="0.25">
      <c r="L603693" s="472"/>
      <c r="M603693" s="472"/>
    </row>
    <row r="603694" spans="12:13" x14ac:dyDescent="0.25">
      <c r="L603694" s="472"/>
      <c r="M603694" s="472"/>
    </row>
    <row r="603695" spans="12:13" x14ac:dyDescent="0.25">
      <c r="L603695" s="472"/>
      <c r="M603695" s="472"/>
    </row>
    <row r="603767" spans="12:13" x14ac:dyDescent="0.25">
      <c r="L603767" s="472"/>
      <c r="M603767" s="472"/>
    </row>
    <row r="603768" spans="12:13" x14ac:dyDescent="0.25">
      <c r="L603768" s="472"/>
      <c r="M603768" s="472"/>
    </row>
    <row r="603769" spans="12:13" x14ac:dyDescent="0.25">
      <c r="L603769" s="472"/>
      <c r="M603769" s="472"/>
    </row>
    <row r="603841" spans="12:13" x14ac:dyDescent="0.25">
      <c r="L603841" s="472"/>
      <c r="M603841" s="472"/>
    </row>
    <row r="603842" spans="12:13" x14ac:dyDescent="0.25">
      <c r="L603842" s="472"/>
      <c r="M603842" s="472"/>
    </row>
    <row r="603843" spans="12:13" x14ac:dyDescent="0.25">
      <c r="L603843" s="472"/>
      <c r="M603843" s="472"/>
    </row>
    <row r="603915" spans="12:13" x14ac:dyDescent="0.25">
      <c r="L603915" s="472"/>
      <c r="M603915" s="472"/>
    </row>
    <row r="603916" spans="12:13" x14ac:dyDescent="0.25">
      <c r="L603916" s="472"/>
      <c r="M603916" s="472"/>
    </row>
    <row r="603917" spans="12:13" x14ac:dyDescent="0.25">
      <c r="L603917" s="472"/>
      <c r="M603917" s="472"/>
    </row>
    <row r="603989" spans="12:13" x14ac:dyDescent="0.25">
      <c r="L603989" s="472"/>
      <c r="M603989" s="472"/>
    </row>
    <row r="603990" spans="12:13" x14ac:dyDescent="0.25">
      <c r="L603990" s="472"/>
      <c r="M603990" s="472"/>
    </row>
    <row r="603991" spans="12:13" x14ac:dyDescent="0.25">
      <c r="L603991" s="472"/>
      <c r="M603991" s="472"/>
    </row>
    <row r="604063" spans="12:13" x14ac:dyDescent="0.25">
      <c r="L604063" s="472"/>
      <c r="M604063" s="472"/>
    </row>
    <row r="604064" spans="12:13" x14ac:dyDescent="0.25">
      <c r="L604064" s="472"/>
      <c r="M604064" s="472"/>
    </row>
    <row r="604065" spans="12:13" x14ac:dyDescent="0.25">
      <c r="L604065" s="472"/>
      <c r="M604065" s="472"/>
    </row>
    <row r="604137" spans="12:13" x14ac:dyDescent="0.25">
      <c r="L604137" s="472"/>
      <c r="M604137" s="472"/>
    </row>
    <row r="604138" spans="12:13" x14ac:dyDescent="0.25">
      <c r="L604138" s="472"/>
      <c r="M604138" s="472"/>
    </row>
    <row r="604139" spans="12:13" x14ac:dyDescent="0.25">
      <c r="L604139" s="472"/>
      <c r="M604139" s="472"/>
    </row>
    <row r="604211" spans="12:13" x14ac:dyDescent="0.25">
      <c r="L604211" s="472"/>
      <c r="M604211" s="472"/>
    </row>
    <row r="604212" spans="12:13" x14ac:dyDescent="0.25">
      <c r="L604212" s="472"/>
      <c r="M604212" s="472"/>
    </row>
    <row r="604213" spans="12:13" x14ac:dyDescent="0.25">
      <c r="L604213" s="472"/>
      <c r="M604213" s="472"/>
    </row>
    <row r="604285" spans="12:13" x14ac:dyDescent="0.25">
      <c r="L604285" s="472"/>
      <c r="M604285" s="472"/>
    </row>
    <row r="604286" spans="12:13" x14ac:dyDescent="0.25">
      <c r="L604286" s="472"/>
      <c r="M604286" s="472"/>
    </row>
    <row r="604287" spans="12:13" x14ac:dyDescent="0.25">
      <c r="L604287" s="472"/>
      <c r="M604287" s="472"/>
    </row>
    <row r="604359" spans="12:13" x14ac:dyDescent="0.25">
      <c r="L604359" s="472"/>
      <c r="M604359" s="472"/>
    </row>
    <row r="604360" spans="12:13" x14ac:dyDescent="0.25">
      <c r="L604360" s="472"/>
      <c r="M604360" s="472"/>
    </row>
    <row r="604361" spans="12:13" x14ac:dyDescent="0.25">
      <c r="L604361" s="472"/>
      <c r="M604361" s="472"/>
    </row>
    <row r="604433" spans="12:13" x14ac:dyDescent="0.25">
      <c r="L604433" s="472"/>
      <c r="M604433" s="472"/>
    </row>
    <row r="604434" spans="12:13" x14ac:dyDescent="0.25">
      <c r="L604434" s="472"/>
      <c r="M604434" s="472"/>
    </row>
    <row r="604435" spans="12:13" x14ac:dyDescent="0.25">
      <c r="L604435" s="472"/>
      <c r="M604435" s="472"/>
    </row>
    <row r="604507" spans="12:13" x14ac:dyDescent="0.25">
      <c r="L604507" s="472"/>
      <c r="M604507" s="472"/>
    </row>
    <row r="604508" spans="12:13" x14ac:dyDescent="0.25">
      <c r="L604508" s="472"/>
      <c r="M604508" s="472"/>
    </row>
    <row r="604509" spans="12:13" x14ac:dyDescent="0.25">
      <c r="L604509" s="472"/>
      <c r="M604509" s="472"/>
    </row>
    <row r="604581" spans="12:13" x14ac:dyDescent="0.25">
      <c r="L604581" s="472"/>
      <c r="M604581" s="472"/>
    </row>
    <row r="604582" spans="12:13" x14ac:dyDescent="0.25">
      <c r="L604582" s="472"/>
      <c r="M604582" s="472"/>
    </row>
    <row r="604583" spans="12:13" x14ac:dyDescent="0.25">
      <c r="L604583" s="472"/>
      <c r="M604583" s="472"/>
    </row>
    <row r="604655" spans="12:13" x14ac:dyDescent="0.25">
      <c r="L604655" s="472"/>
      <c r="M604655" s="472"/>
    </row>
    <row r="604656" spans="12:13" x14ac:dyDescent="0.25">
      <c r="L604656" s="472"/>
      <c r="M604656" s="472"/>
    </row>
    <row r="604657" spans="12:13" x14ac:dyDescent="0.25">
      <c r="L604657" s="472"/>
      <c r="M604657" s="472"/>
    </row>
    <row r="604729" spans="12:13" x14ac:dyDescent="0.25">
      <c r="L604729" s="472"/>
      <c r="M604729" s="472"/>
    </row>
    <row r="604730" spans="12:13" x14ac:dyDescent="0.25">
      <c r="L604730" s="472"/>
      <c r="M604730" s="472"/>
    </row>
    <row r="604731" spans="12:13" x14ac:dyDescent="0.25">
      <c r="L604731" s="472"/>
      <c r="M604731" s="472"/>
    </row>
    <row r="604803" spans="12:13" x14ac:dyDescent="0.25">
      <c r="L604803" s="472"/>
      <c r="M604803" s="472"/>
    </row>
    <row r="604804" spans="12:13" x14ac:dyDescent="0.25">
      <c r="L604804" s="472"/>
      <c r="M604804" s="472"/>
    </row>
    <row r="604805" spans="12:13" x14ac:dyDescent="0.25">
      <c r="L604805" s="472"/>
      <c r="M604805" s="472"/>
    </row>
    <row r="604877" spans="12:13" x14ac:dyDescent="0.25">
      <c r="L604877" s="472"/>
      <c r="M604877" s="472"/>
    </row>
    <row r="604878" spans="12:13" x14ac:dyDescent="0.25">
      <c r="L604878" s="472"/>
      <c r="M604878" s="472"/>
    </row>
    <row r="604879" spans="12:13" x14ac:dyDescent="0.25">
      <c r="L604879" s="472"/>
      <c r="M604879" s="472"/>
    </row>
    <row r="604951" spans="12:13" x14ac:dyDescent="0.25">
      <c r="L604951" s="472"/>
      <c r="M604951" s="472"/>
    </row>
    <row r="604952" spans="12:13" x14ac:dyDescent="0.25">
      <c r="L604952" s="472"/>
      <c r="M604952" s="472"/>
    </row>
    <row r="604953" spans="12:13" x14ac:dyDescent="0.25">
      <c r="L604953" s="472"/>
      <c r="M604953" s="472"/>
    </row>
    <row r="605025" spans="12:13" x14ac:dyDescent="0.25">
      <c r="L605025" s="472"/>
      <c r="M605025" s="472"/>
    </row>
    <row r="605026" spans="12:13" x14ac:dyDescent="0.25">
      <c r="L605026" s="472"/>
      <c r="M605026" s="472"/>
    </row>
    <row r="605027" spans="12:13" x14ac:dyDescent="0.25">
      <c r="L605027" s="472"/>
      <c r="M605027" s="472"/>
    </row>
    <row r="605099" spans="12:13" x14ac:dyDescent="0.25">
      <c r="L605099" s="472"/>
      <c r="M605099" s="472"/>
    </row>
    <row r="605100" spans="12:13" x14ac:dyDescent="0.25">
      <c r="L605100" s="472"/>
      <c r="M605100" s="472"/>
    </row>
    <row r="605101" spans="12:13" x14ac:dyDescent="0.25">
      <c r="L605101" s="472"/>
      <c r="M605101" s="472"/>
    </row>
    <row r="605173" spans="12:13" x14ac:dyDescent="0.25">
      <c r="L605173" s="472"/>
      <c r="M605173" s="472"/>
    </row>
    <row r="605174" spans="12:13" x14ac:dyDescent="0.25">
      <c r="L605174" s="472"/>
      <c r="M605174" s="472"/>
    </row>
    <row r="605175" spans="12:13" x14ac:dyDescent="0.25">
      <c r="L605175" s="472"/>
      <c r="M605175" s="472"/>
    </row>
    <row r="605247" spans="12:13" x14ac:dyDescent="0.25">
      <c r="L605247" s="472"/>
      <c r="M605247" s="472"/>
    </row>
    <row r="605248" spans="12:13" x14ac:dyDescent="0.25">
      <c r="L605248" s="472"/>
      <c r="M605248" s="472"/>
    </row>
    <row r="605249" spans="12:13" x14ac:dyDescent="0.25">
      <c r="L605249" s="472"/>
      <c r="M605249" s="472"/>
    </row>
    <row r="605321" spans="12:13" x14ac:dyDescent="0.25">
      <c r="L605321" s="472"/>
      <c r="M605321" s="472"/>
    </row>
    <row r="605322" spans="12:13" x14ac:dyDescent="0.25">
      <c r="L605322" s="472"/>
      <c r="M605322" s="472"/>
    </row>
    <row r="605323" spans="12:13" x14ac:dyDescent="0.25">
      <c r="L605323" s="472"/>
      <c r="M605323" s="472"/>
    </row>
    <row r="605395" spans="12:13" x14ac:dyDescent="0.25">
      <c r="L605395" s="472"/>
      <c r="M605395" s="472"/>
    </row>
    <row r="605396" spans="12:13" x14ac:dyDescent="0.25">
      <c r="L605396" s="472"/>
      <c r="M605396" s="472"/>
    </row>
    <row r="605397" spans="12:13" x14ac:dyDescent="0.25">
      <c r="L605397" s="472"/>
      <c r="M605397" s="472"/>
    </row>
    <row r="605469" spans="12:13" x14ac:dyDescent="0.25">
      <c r="L605469" s="472"/>
      <c r="M605469" s="472"/>
    </row>
    <row r="605470" spans="12:13" x14ac:dyDescent="0.25">
      <c r="L605470" s="472"/>
      <c r="M605470" s="472"/>
    </row>
    <row r="605471" spans="12:13" x14ac:dyDescent="0.25">
      <c r="L605471" s="472"/>
      <c r="M605471" s="472"/>
    </row>
    <row r="605543" spans="12:13" x14ac:dyDescent="0.25">
      <c r="L605543" s="472"/>
      <c r="M605543" s="472"/>
    </row>
    <row r="605544" spans="12:13" x14ac:dyDescent="0.25">
      <c r="L605544" s="472"/>
      <c r="M605544" s="472"/>
    </row>
    <row r="605545" spans="12:13" x14ac:dyDescent="0.25">
      <c r="L605545" s="472"/>
      <c r="M605545" s="472"/>
    </row>
    <row r="605617" spans="12:13" x14ac:dyDescent="0.25">
      <c r="L605617" s="472"/>
      <c r="M605617" s="472"/>
    </row>
    <row r="605618" spans="12:13" x14ac:dyDescent="0.25">
      <c r="L605618" s="472"/>
      <c r="M605618" s="472"/>
    </row>
    <row r="605619" spans="12:13" x14ac:dyDescent="0.25">
      <c r="L605619" s="472"/>
      <c r="M605619" s="472"/>
    </row>
    <row r="605691" spans="12:13" x14ac:dyDescent="0.25">
      <c r="L605691" s="472"/>
      <c r="M605691" s="472"/>
    </row>
    <row r="605692" spans="12:13" x14ac:dyDescent="0.25">
      <c r="L605692" s="472"/>
      <c r="M605692" s="472"/>
    </row>
    <row r="605693" spans="12:13" x14ac:dyDescent="0.25">
      <c r="L605693" s="472"/>
      <c r="M605693" s="472"/>
    </row>
    <row r="605765" spans="12:13" x14ac:dyDescent="0.25">
      <c r="L605765" s="472"/>
      <c r="M605765" s="472"/>
    </row>
    <row r="605766" spans="12:13" x14ac:dyDescent="0.25">
      <c r="L605766" s="472"/>
      <c r="M605766" s="472"/>
    </row>
    <row r="605767" spans="12:13" x14ac:dyDescent="0.25">
      <c r="L605767" s="472"/>
      <c r="M605767" s="472"/>
    </row>
    <row r="605839" spans="12:13" x14ac:dyDescent="0.25">
      <c r="L605839" s="472"/>
      <c r="M605839" s="472"/>
    </row>
    <row r="605840" spans="12:13" x14ac:dyDescent="0.25">
      <c r="L605840" s="472"/>
      <c r="M605840" s="472"/>
    </row>
    <row r="605841" spans="12:13" x14ac:dyDescent="0.25">
      <c r="L605841" s="472"/>
      <c r="M605841" s="472"/>
    </row>
    <row r="605913" spans="12:13" x14ac:dyDescent="0.25">
      <c r="L605913" s="472"/>
      <c r="M605913" s="472"/>
    </row>
    <row r="605914" spans="12:13" x14ac:dyDescent="0.25">
      <c r="L605914" s="472"/>
      <c r="M605914" s="472"/>
    </row>
    <row r="605915" spans="12:13" x14ac:dyDescent="0.25">
      <c r="L605915" s="472"/>
      <c r="M605915" s="472"/>
    </row>
    <row r="605987" spans="12:13" x14ac:dyDescent="0.25">
      <c r="L605987" s="472"/>
      <c r="M605987" s="472"/>
    </row>
    <row r="605988" spans="12:13" x14ac:dyDescent="0.25">
      <c r="L605988" s="472"/>
      <c r="M605988" s="472"/>
    </row>
    <row r="605989" spans="12:13" x14ac:dyDescent="0.25">
      <c r="L605989" s="472"/>
      <c r="M605989" s="472"/>
    </row>
    <row r="606061" spans="12:13" x14ac:dyDescent="0.25">
      <c r="L606061" s="472"/>
      <c r="M606061" s="472"/>
    </row>
    <row r="606062" spans="12:13" x14ac:dyDescent="0.25">
      <c r="L606062" s="472"/>
      <c r="M606062" s="472"/>
    </row>
    <row r="606063" spans="12:13" x14ac:dyDescent="0.25">
      <c r="L606063" s="472"/>
      <c r="M606063" s="472"/>
    </row>
    <row r="606135" spans="12:13" x14ac:dyDescent="0.25">
      <c r="L606135" s="472"/>
      <c r="M606135" s="472"/>
    </row>
    <row r="606136" spans="12:13" x14ac:dyDescent="0.25">
      <c r="L606136" s="472"/>
      <c r="M606136" s="472"/>
    </row>
    <row r="606137" spans="12:13" x14ac:dyDescent="0.25">
      <c r="L606137" s="472"/>
      <c r="M606137" s="472"/>
    </row>
    <row r="606209" spans="12:13" x14ac:dyDescent="0.25">
      <c r="L606209" s="472"/>
      <c r="M606209" s="472"/>
    </row>
    <row r="606210" spans="12:13" x14ac:dyDescent="0.25">
      <c r="L606210" s="472"/>
      <c r="M606210" s="472"/>
    </row>
    <row r="606211" spans="12:13" x14ac:dyDescent="0.25">
      <c r="L606211" s="472"/>
      <c r="M606211" s="472"/>
    </row>
    <row r="606283" spans="12:13" x14ac:dyDescent="0.25">
      <c r="L606283" s="472"/>
      <c r="M606283" s="472"/>
    </row>
    <row r="606284" spans="12:13" x14ac:dyDescent="0.25">
      <c r="L606284" s="472"/>
      <c r="M606284" s="472"/>
    </row>
    <row r="606285" spans="12:13" x14ac:dyDescent="0.25">
      <c r="L606285" s="472"/>
      <c r="M606285" s="472"/>
    </row>
    <row r="606357" spans="12:13" x14ac:dyDescent="0.25">
      <c r="L606357" s="472"/>
      <c r="M606357" s="472"/>
    </row>
    <row r="606358" spans="12:13" x14ac:dyDescent="0.25">
      <c r="L606358" s="472"/>
      <c r="M606358" s="472"/>
    </row>
    <row r="606359" spans="12:13" x14ac:dyDescent="0.25">
      <c r="L606359" s="472"/>
      <c r="M606359" s="472"/>
    </row>
    <row r="606431" spans="12:13" x14ac:dyDescent="0.25">
      <c r="L606431" s="472"/>
      <c r="M606431" s="472"/>
    </row>
    <row r="606432" spans="12:13" x14ac:dyDescent="0.25">
      <c r="L606432" s="472"/>
      <c r="M606432" s="472"/>
    </row>
    <row r="606433" spans="12:13" x14ac:dyDescent="0.25">
      <c r="L606433" s="472"/>
      <c r="M606433" s="472"/>
    </row>
    <row r="606505" spans="12:13" x14ac:dyDescent="0.25">
      <c r="L606505" s="472"/>
      <c r="M606505" s="472"/>
    </row>
    <row r="606506" spans="12:13" x14ac:dyDescent="0.25">
      <c r="L606506" s="472"/>
      <c r="M606506" s="472"/>
    </row>
    <row r="606507" spans="12:13" x14ac:dyDescent="0.25">
      <c r="L606507" s="472"/>
      <c r="M606507" s="472"/>
    </row>
    <row r="606579" spans="12:13" x14ac:dyDescent="0.25">
      <c r="L606579" s="472"/>
      <c r="M606579" s="472"/>
    </row>
    <row r="606580" spans="12:13" x14ac:dyDescent="0.25">
      <c r="L606580" s="472"/>
      <c r="M606580" s="472"/>
    </row>
    <row r="606581" spans="12:13" x14ac:dyDescent="0.25">
      <c r="L606581" s="472"/>
      <c r="M606581" s="472"/>
    </row>
    <row r="606653" spans="12:13" x14ac:dyDescent="0.25">
      <c r="L606653" s="472"/>
      <c r="M606653" s="472"/>
    </row>
    <row r="606654" spans="12:13" x14ac:dyDescent="0.25">
      <c r="L606654" s="472"/>
      <c r="M606654" s="472"/>
    </row>
    <row r="606655" spans="12:13" x14ac:dyDescent="0.25">
      <c r="L606655" s="472"/>
      <c r="M606655" s="472"/>
    </row>
    <row r="606727" spans="12:13" x14ac:dyDescent="0.25">
      <c r="L606727" s="472"/>
      <c r="M606727" s="472"/>
    </row>
    <row r="606728" spans="12:13" x14ac:dyDescent="0.25">
      <c r="L606728" s="472"/>
      <c r="M606728" s="472"/>
    </row>
    <row r="606729" spans="12:13" x14ac:dyDescent="0.25">
      <c r="L606729" s="472"/>
      <c r="M606729" s="472"/>
    </row>
    <row r="606801" spans="12:13" x14ac:dyDescent="0.25">
      <c r="L606801" s="472"/>
      <c r="M606801" s="472"/>
    </row>
    <row r="606802" spans="12:13" x14ac:dyDescent="0.25">
      <c r="L606802" s="472"/>
      <c r="M606802" s="472"/>
    </row>
    <row r="606803" spans="12:13" x14ac:dyDescent="0.25">
      <c r="L606803" s="472"/>
      <c r="M606803" s="472"/>
    </row>
    <row r="606875" spans="12:13" x14ac:dyDescent="0.25">
      <c r="L606875" s="472"/>
      <c r="M606875" s="472"/>
    </row>
    <row r="606876" spans="12:13" x14ac:dyDescent="0.25">
      <c r="L606876" s="472"/>
      <c r="M606876" s="472"/>
    </row>
    <row r="606877" spans="12:13" x14ac:dyDescent="0.25">
      <c r="L606877" s="472"/>
      <c r="M606877" s="472"/>
    </row>
    <row r="606949" spans="12:13" x14ac:dyDescent="0.25">
      <c r="L606949" s="472"/>
      <c r="M606949" s="472"/>
    </row>
    <row r="606950" spans="12:13" x14ac:dyDescent="0.25">
      <c r="L606950" s="472"/>
      <c r="M606950" s="472"/>
    </row>
    <row r="606951" spans="12:13" x14ac:dyDescent="0.25">
      <c r="L606951" s="472"/>
      <c r="M606951" s="472"/>
    </row>
    <row r="607023" spans="12:13" x14ac:dyDescent="0.25">
      <c r="L607023" s="472"/>
      <c r="M607023" s="472"/>
    </row>
    <row r="607024" spans="12:13" x14ac:dyDescent="0.25">
      <c r="L607024" s="472"/>
      <c r="M607024" s="472"/>
    </row>
    <row r="607025" spans="12:13" x14ac:dyDescent="0.25">
      <c r="L607025" s="472"/>
      <c r="M607025" s="472"/>
    </row>
    <row r="607097" spans="12:13" x14ac:dyDescent="0.25">
      <c r="L607097" s="472"/>
      <c r="M607097" s="472"/>
    </row>
    <row r="607098" spans="12:13" x14ac:dyDescent="0.25">
      <c r="L607098" s="472"/>
      <c r="M607098" s="472"/>
    </row>
    <row r="607099" spans="12:13" x14ac:dyDescent="0.25">
      <c r="L607099" s="472"/>
      <c r="M607099" s="472"/>
    </row>
    <row r="607171" spans="12:13" x14ac:dyDescent="0.25">
      <c r="L607171" s="472"/>
      <c r="M607171" s="472"/>
    </row>
    <row r="607172" spans="12:13" x14ac:dyDescent="0.25">
      <c r="L607172" s="472"/>
      <c r="M607172" s="472"/>
    </row>
    <row r="607173" spans="12:13" x14ac:dyDescent="0.25">
      <c r="L607173" s="472"/>
      <c r="M607173" s="472"/>
    </row>
    <row r="607245" spans="12:13" x14ac:dyDescent="0.25">
      <c r="L607245" s="472"/>
      <c r="M607245" s="472"/>
    </row>
    <row r="607246" spans="12:13" x14ac:dyDescent="0.25">
      <c r="L607246" s="472"/>
      <c r="M607246" s="472"/>
    </row>
    <row r="607247" spans="12:13" x14ac:dyDescent="0.25">
      <c r="L607247" s="472"/>
      <c r="M607247" s="472"/>
    </row>
    <row r="607319" spans="12:13" x14ac:dyDescent="0.25">
      <c r="L607319" s="472"/>
      <c r="M607319" s="472"/>
    </row>
    <row r="607320" spans="12:13" x14ac:dyDescent="0.25">
      <c r="L607320" s="472"/>
      <c r="M607320" s="472"/>
    </row>
    <row r="607321" spans="12:13" x14ac:dyDescent="0.25">
      <c r="L607321" s="472"/>
      <c r="M607321" s="472"/>
    </row>
    <row r="607393" spans="12:13" x14ac:dyDescent="0.25">
      <c r="L607393" s="472"/>
      <c r="M607393" s="472"/>
    </row>
    <row r="607394" spans="12:13" x14ac:dyDescent="0.25">
      <c r="L607394" s="472"/>
      <c r="M607394" s="472"/>
    </row>
    <row r="607395" spans="12:13" x14ac:dyDescent="0.25">
      <c r="L607395" s="472"/>
      <c r="M607395" s="472"/>
    </row>
    <row r="607467" spans="12:13" x14ac:dyDescent="0.25">
      <c r="L607467" s="472"/>
      <c r="M607467" s="472"/>
    </row>
    <row r="607468" spans="12:13" x14ac:dyDescent="0.25">
      <c r="L607468" s="472"/>
      <c r="M607468" s="472"/>
    </row>
    <row r="607469" spans="12:13" x14ac:dyDescent="0.25">
      <c r="L607469" s="472"/>
      <c r="M607469" s="472"/>
    </row>
    <row r="607541" spans="12:13" x14ac:dyDescent="0.25">
      <c r="L607541" s="472"/>
      <c r="M607541" s="472"/>
    </row>
    <row r="607542" spans="12:13" x14ac:dyDescent="0.25">
      <c r="L607542" s="472"/>
      <c r="M607542" s="472"/>
    </row>
    <row r="607543" spans="12:13" x14ac:dyDescent="0.25">
      <c r="L607543" s="472"/>
      <c r="M607543" s="472"/>
    </row>
    <row r="607615" spans="12:13" x14ac:dyDescent="0.25">
      <c r="L607615" s="472"/>
      <c r="M607615" s="472"/>
    </row>
    <row r="607616" spans="12:13" x14ac:dyDescent="0.25">
      <c r="L607616" s="472"/>
      <c r="M607616" s="472"/>
    </row>
    <row r="607617" spans="12:13" x14ac:dyDescent="0.25">
      <c r="L607617" s="472"/>
      <c r="M607617" s="472"/>
    </row>
    <row r="607689" spans="12:13" x14ac:dyDescent="0.25">
      <c r="L607689" s="472"/>
      <c r="M607689" s="472"/>
    </row>
    <row r="607690" spans="12:13" x14ac:dyDescent="0.25">
      <c r="L607690" s="472"/>
      <c r="M607690" s="472"/>
    </row>
    <row r="607691" spans="12:13" x14ac:dyDescent="0.25">
      <c r="L607691" s="472"/>
      <c r="M607691" s="472"/>
    </row>
    <row r="607763" spans="12:13" x14ac:dyDescent="0.25">
      <c r="L607763" s="472"/>
      <c r="M607763" s="472"/>
    </row>
    <row r="607764" spans="12:13" x14ac:dyDescent="0.25">
      <c r="L607764" s="472"/>
      <c r="M607764" s="472"/>
    </row>
    <row r="607765" spans="12:13" x14ac:dyDescent="0.25">
      <c r="L607765" s="472"/>
      <c r="M607765" s="472"/>
    </row>
    <row r="607837" spans="12:13" x14ac:dyDescent="0.25">
      <c r="L607837" s="472"/>
      <c r="M607837" s="472"/>
    </row>
    <row r="607838" spans="12:13" x14ac:dyDescent="0.25">
      <c r="L607838" s="472"/>
      <c r="M607838" s="472"/>
    </row>
    <row r="607839" spans="12:13" x14ac:dyDescent="0.25">
      <c r="L607839" s="472"/>
      <c r="M607839" s="472"/>
    </row>
    <row r="607911" spans="12:13" x14ac:dyDescent="0.25">
      <c r="L607911" s="472"/>
      <c r="M607911" s="472"/>
    </row>
    <row r="607912" spans="12:13" x14ac:dyDescent="0.25">
      <c r="L607912" s="472"/>
      <c r="M607912" s="472"/>
    </row>
    <row r="607913" spans="12:13" x14ac:dyDescent="0.25">
      <c r="L607913" s="472"/>
      <c r="M607913" s="472"/>
    </row>
    <row r="607985" spans="12:13" x14ac:dyDescent="0.25">
      <c r="L607985" s="472"/>
      <c r="M607985" s="472"/>
    </row>
    <row r="607986" spans="12:13" x14ac:dyDescent="0.25">
      <c r="L607986" s="472"/>
      <c r="M607986" s="472"/>
    </row>
    <row r="607987" spans="12:13" x14ac:dyDescent="0.25">
      <c r="L607987" s="472"/>
      <c r="M607987" s="472"/>
    </row>
    <row r="608059" spans="12:13" x14ac:dyDescent="0.25">
      <c r="L608059" s="472"/>
      <c r="M608059" s="472"/>
    </row>
    <row r="608060" spans="12:13" x14ac:dyDescent="0.25">
      <c r="L608060" s="472"/>
      <c r="M608060" s="472"/>
    </row>
    <row r="608061" spans="12:13" x14ac:dyDescent="0.25">
      <c r="L608061" s="472"/>
      <c r="M608061" s="472"/>
    </row>
    <row r="608133" spans="12:13" x14ac:dyDescent="0.25">
      <c r="L608133" s="472"/>
      <c r="M608133" s="472"/>
    </row>
    <row r="608134" spans="12:13" x14ac:dyDescent="0.25">
      <c r="L608134" s="472"/>
      <c r="M608134" s="472"/>
    </row>
    <row r="608135" spans="12:13" x14ac:dyDescent="0.25">
      <c r="L608135" s="472"/>
      <c r="M608135" s="472"/>
    </row>
    <row r="608207" spans="12:13" x14ac:dyDescent="0.25">
      <c r="L608207" s="472"/>
      <c r="M608207" s="472"/>
    </row>
    <row r="608208" spans="12:13" x14ac:dyDescent="0.25">
      <c r="L608208" s="472"/>
      <c r="M608208" s="472"/>
    </row>
    <row r="608209" spans="12:13" x14ac:dyDescent="0.25">
      <c r="L608209" s="472"/>
      <c r="M608209" s="472"/>
    </row>
    <row r="608281" spans="12:13" x14ac:dyDescent="0.25">
      <c r="L608281" s="472"/>
      <c r="M608281" s="472"/>
    </row>
    <row r="608282" spans="12:13" x14ac:dyDescent="0.25">
      <c r="L608282" s="472"/>
      <c r="M608282" s="472"/>
    </row>
    <row r="608283" spans="12:13" x14ac:dyDescent="0.25">
      <c r="L608283" s="472"/>
      <c r="M608283" s="472"/>
    </row>
    <row r="608355" spans="12:13" x14ac:dyDescent="0.25">
      <c r="L608355" s="472"/>
      <c r="M608355" s="472"/>
    </row>
    <row r="608356" spans="12:13" x14ac:dyDescent="0.25">
      <c r="L608356" s="472"/>
      <c r="M608356" s="472"/>
    </row>
    <row r="608357" spans="12:13" x14ac:dyDescent="0.25">
      <c r="L608357" s="472"/>
      <c r="M608357" s="472"/>
    </row>
    <row r="608429" spans="12:13" x14ac:dyDescent="0.25">
      <c r="L608429" s="472"/>
      <c r="M608429" s="472"/>
    </row>
    <row r="608430" spans="12:13" x14ac:dyDescent="0.25">
      <c r="L608430" s="472"/>
      <c r="M608430" s="472"/>
    </row>
    <row r="608431" spans="12:13" x14ac:dyDescent="0.25">
      <c r="L608431" s="472"/>
      <c r="M608431" s="472"/>
    </row>
    <row r="608503" spans="12:13" x14ac:dyDescent="0.25">
      <c r="L608503" s="472"/>
      <c r="M608503" s="472"/>
    </row>
    <row r="608504" spans="12:13" x14ac:dyDescent="0.25">
      <c r="L608504" s="472"/>
      <c r="M608504" s="472"/>
    </row>
    <row r="608505" spans="12:13" x14ac:dyDescent="0.25">
      <c r="L608505" s="472"/>
      <c r="M608505" s="472"/>
    </row>
    <row r="608577" spans="12:13" x14ac:dyDescent="0.25">
      <c r="L608577" s="472"/>
      <c r="M608577" s="472"/>
    </row>
    <row r="608578" spans="12:13" x14ac:dyDescent="0.25">
      <c r="L608578" s="472"/>
      <c r="M608578" s="472"/>
    </row>
    <row r="608579" spans="12:13" x14ac:dyDescent="0.25">
      <c r="L608579" s="472"/>
      <c r="M608579" s="472"/>
    </row>
    <row r="608651" spans="12:13" x14ac:dyDescent="0.25">
      <c r="L608651" s="472"/>
      <c r="M608651" s="472"/>
    </row>
    <row r="608652" spans="12:13" x14ac:dyDescent="0.25">
      <c r="L608652" s="472"/>
      <c r="M608652" s="472"/>
    </row>
    <row r="608653" spans="12:13" x14ac:dyDescent="0.25">
      <c r="L608653" s="472"/>
      <c r="M608653" s="472"/>
    </row>
    <row r="608725" spans="12:13" x14ac:dyDescent="0.25">
      <c r="L608725" s="472"/>
      <c r="M608725" s="472"/>
    </row>
    <row r="608726" spans="12:13" x14ac:dyDescent="0.25">
      <c r="L608726" s="472"/>
      <c r="M608726" s="472"/>
    </row>
    <row r="608727" spans="12:13" x14ac:dyDescent="0.25">
      <c r="L608727" s="472"/>
      <c r="M608727" s="472"/>
    </row>
    <row r="608799" spans="12:13" x14ac:dyDescent="0.25">
      <c r="L608799" s="472"/>
      <c r="M608799" s="472"/>
    </row>
    <row r="608800" spans="12:13" x14ac:dyDescent="0.25">
      <c r="L608800" s="472"/>
      <c r="M608800" s="472"/>
    </row>
    <row r="608801" spans="12:13" x14ac:dyDescent="0.25">
      <c r="L608801" s="472"/>
      <c r="M608801" s="472"/>
    </row>
    <row r="608873" spans="12:13" x14ac:dyDescent="0.25">
      <c r="L608873" s="472"/>
      <c r="M608873" s="472"/>
    </row>
    <row r="608874" spans="12:13" x14ac:dyDescent="0.25">
      <c r="L608874" s="472"/>
      <c r="M608874" s="472"/>
    </row>
    <row r="608875" spans="12:13" x14ac:dyDescent="0.25">
      <c r="L608875" s="472"/>
      <c r="M608875" s="472"/>
    </row>
    <row r="608947" spans="12:13" x14ac:dyDescent="0.25">
      <c r="L608947" s="472"/>
      <c r="M608947" s="472"/>
    </row>
    <row r="608948" spans="12:13" x14ac:dyDescent="0.25">
      <c r="L608948" s="472"/>
      <c r="M608948" s="472"/>
    </row>
    <row r="608949" spans="12:13" x14ac:dyDescent="0.25">
      <c r="L608949" s="472"/>
      <c r="M608949" s="472"/>
    </row>
    <row r="609021" spans="12:13" x14ac:dyDescent="0.25">
      <c r="L609021" s="472"/>
      <c r="M609021" s="472"/>
    </row>
    <row r="609022" spans="12:13" x14ac:dyDescent="0.25">
      <c r="L609022" s="472"/>
      <c r="M609022" s="472"/>
    </row>
    <row r="609023" spans="12:13" x14ac:dyDescent="0.25">
      <c r="L609023" s="472"/>
      <c r="M609023" s="472"/>
    </row>
    <row r="609095" spans="12:13" x14ac:dyDescent="0.25">
      <c r="L609095" s="472"/>
      <c r="M609095" s="472"/>
    </row>
    <row r="609096" spans="12:13" x14ac:dyDescent="0.25">
      <c r="L609096" s="472"/>
      <c r="M609096" s="472"/>
    </row>
    <row r="609097" spans="12:13" x14ac:dyDescent="0.25">
      <c r="L609097" s="472"/>
      <c r="M609097" s="472"/>
    </row>
    <row r="609169" spans="12:13" x14ac:dyDescent="0.25">
      <c r="L609169" s="472"/>
      <c r="M609169" s="472"/>
    </row>
    <row r="609170" spans="12:13" x14ac:dyDescent="0.25">
      <c r="L609170" s="472"/>
      <c r="M609170" s="472"/>
    </row>
    <row r="609171" spans="12:13" x14ac:dyDescent="0.25">
      <c r="L609171" s="472"/>
      <c r="M609171" s="472"/>
    </row>
    <row r="609243" spans="12:13" x14ac:dyDescent="0.25">
      <c r="L609243" s="472"/>
      <c r="M609243" s="472"/>
    </row>
    <row r="609244" spans="12:13" x14ac:dyDescent="0.25">
      <c r="L609244" s="472"/>
      <c r="M609244" s="472"/>
    </row>
    <row r="609245" spans="12:13" x14ac:dyDescent="0.25">
      <c r="L609245" s="472"/>
      <c r="M609245" s="472"/>
    </row>
    <row r="609317" spans="12:13" x14ac:dyDescent="0.25">
      <c r="L609317" s="472"/>
      <c r="M609317" s="472"/>
    </row>
    <row r="609318" spans="12:13" x14ac:dyDescent="0.25">
      <c r="L609318" s="472"/>
      <c r="M609318" s="472"/>
    </row>
    <row r="609319" spans="12:13" x14ac:dyDescent="0.25">
      <c r="L609319" s="472"/>
      <c r="M609319" s="472"/>
    </row>
    <row r="609391" spans="12:13" x14ac:dyDescent="0.25">
      <c r="L609391" s="472"/>
      <c r="M609391" s="472"/>
    </row>
    <row r="609392" spans="12:13" x14ac:dyDescent="0.25">
      <c r="L609392" s="472"/>
      <c r="M609392" s="472"/>
    </row>
    <row r="609393" spans="12:13" x14ac:dyDescent="0.25">
      <c r="L609393" s="472"/>
      <c r="M609393" s="472"/>
    </row>
    <row r="609465" spans="12:13" x14ac:dyDescent="0.25">
      <c r="L609465" s="472"/>
      <c r="M609465" s="472"/>
    </row>
    <row r="609466" spans="12:13" x14ac:dyDescent="0.25">
      <c r="L609466" s="472"/>
      <c r="M609466" s="472"/>
    </row>
    <row r="609467" spans="12:13" x14ac:dyDescent="0.25">
      <c r="L609467" s="472"/>
      <c r="M609467" s="472"/>
    </row>
    <row r="609539" spans="12:13" x14ac:dyDescent="0.25">
      <c r="L609539" s="472"/>
      <c r="M609539" s="472"/>
    </row>
    <row r="609540" spans="12:13" x14ac:dyDescent="0.25">
      <c r="L609540" s="472"/>
      <c r="M609540" s="472"/>
    </row>
    <row r="609541" spans="12:13" x14ac:dyDescent="0.25">
      <c r="L609541" s="472"/>
      <c r="M609541" s="472"/>
    </row>
    <row r="609613" spans="12:13" x14ac:dyDescent="0.25">
      <c r="L609613" s="472"/>
      <c r="M609613" s="472"/>
    </row>
    <row r="609614" spans="12:13" x14ac:dyDescent="0.25">
      <c r="L609614" s="472"/>
      <c r="M609614" s="472"/>
    </row>
    <row r="609615" spans="12:13" x14ac:dyDescent="0.25">
      <c r="L609615" s="472"/>
      <c r="M609615" s="472"/>
    </row>
    <row r="609687" spans="12:13" x14ac:dyDescent="0.25">
      <c r="L609687" s="472"/>
      <c r="M609687" s="472"/>
    </row>
    <row r="609688" spans="12:13" x14ac:dyDescent="0.25">
      <c r="L609688" s="472"/>
      <c r="M609688" s="472"/>
    </row>
    <row r="609689" spans="12:13" x14ac:dyDescent="0.25">
      <c r="L609689" s="472"/>
      <c r="M609689" s="472"/>
    </row>
    <row r="609761" spans="12:13" x14ac:dyDescent="0.25">
      <c r="L609761" s="472"/>
      <c r="M609761" s="472"/>
    </row>
    <row r="609762" spans="12:13" x14ac:dyDescent="0.25">
      <c r="L609762" s="472"/>
      <c r="M609762" s="472"/>
    </row>
    <row r="609763" spans="12:13" x14ac:dyDescent="0.25">
      <c r="L609763" s="472"/>
      <c r="M609763" s="472"/>
    </row>
    <row r="609835" spans="12:13" x14ac:dyDescent="0.25">
      <c r="L609835" s="472"/>
      <c r="M609835" s="472"/>
    </row>
    <row r="609836" spans="12:13" x14ac:dyDescent="0.25">
      <c r="L609836" s="472"/>
      <c r="M609836" s="472"/>
    </row>
    <row r="609837" spans="12:13" x14ac:dyDescent="0.25">
      <c r="L609837" s="472"/>
      <c r="M609837" s="472"/>
    </row>
    <row r="609909" spans="12:13" x14ac:dyDescent="0.25">
      <c r="L609909" s="472"/>
      <c r="M609909" s="472"/>
    </row>
    <row r="609910" spans="12:13" x14ac:dyDescent="0.25">
      <c r="L609910" s="472"/>
      <c r="M609910" s="472"/>
    </row>
    <row r="609911" spans="12:13" x14ac:dyDescent="0.25">
      <c r="L609911" s="472"/>
      <c r="M609911" s="472"/>
    </row>
    <row r="609983" spans="12:13" x14ac:dyDescent="0.25">
      <c r="L609983" s="472"/>
      <c r="M609983" s="472"/>
    </row>
    <row r="609984" spans="12:13" x14ac:dyDescent="0.25">
      <c r="L609984" s="472"/>
      <c r="M609984" s="472"/>
    </row>
    <row r="609985" spans="12:13" x14ac:dyDescent="0.25">
      <c r="L609985" s="472"/>
      <c r="M609985" s="472"/>
    </row>
    <row r="610057" spans="12:13" x14ac:dyDescent="0.25">
      <c r="L610057" s="472"/>
      <c r="M610057" s="472"/>
    </row>
    <row r="610058" spans="12:13" x14ac:dyDescent="0.25">
      <c r="L610058" s="472"/>
      <c r="M610058" s="472"/>
    </row>
    <row r="610059" spans="12:13" x14ac:dyDescent="0.25">
      <c r="L610059" s="472"/>
      <c r="M610059" s="472"/>
    </row>
    <row r="610131" spans="12:13" x14ac:dyDescent="0.25">
      <c r="L610131" s="472"/>
      <c r="M610131" s="472"/>
    </row>
    <row r="610132" spans="12:13" x14ac:dyDescent="0.25">
      <c r="L610132" s="472"/>
      <c r="M610132" s="472"/>
    </row>
    <row r="610133" spans="12:13" x14ac:dyDescent="0.25">
      <c r="L610133" s="472"/>
      <c r="M610133" s="472"/>
    </row>
    <row r="610205" spans="12:13" x14ac:dyDescent="0.25">
      <c r="L610205" s="472"/>
      <c r="M610205" s="472"/>
    </row>
    <row r="610206" spans="12:13" x14ac:dyDescent="0.25">
      <c r="L610206" s="472"/>
      <c r="M610206" s="472"/>
    </row>
    <row r="610207" spans="12:13" x14ac:dyDescent="0.25">
      <c r="L610207" s="472"/>
      <c r="M610207" s="472"/>
    </row>
    <row r="610279" spans="12:13" x14ac:dyDescent="0.25">
      <c r="L610279" s="472"/>
      <c r="M610279" s="472"/>
    </row>
    <row r="610280" spans="12:13" x14ac:dyDescent="0.25">
      <c r="L610280" s="472"/>
      <c r="M610280" s="472"/>
    </row>
    <row r="610281" spans="12:13" x14ac:dyDescent="0.25">
      <c r="L610281" s="472"/>
      <c r="M610281" s="472"/>
    </row>
    <row r="610353" spans="12:13" x14ac:dyDescent="0.25">
      <c r="L610353" s="472"/>
      <c r="M610353" s="472"/>
    </row>
    <row r="610354" spans="12:13" x14ac:dyDescent="0.25">
      <c r="L610354" s="472"/>
      <c r="M610354" s="472"/>
    </row>
    <row r="610355" spans="12:13" x14ac:dyDescent="0.25">
      <c r="L610355" s="472"/>
      <c r="M610355" s="472"/>
    </row>
    <row r="610427" spans="12:13" x14ac:dyDescent="0.25">
      <c r="L610427" s="472"/>
      <c r="M610427" s="472"/>
    </row>
    <row r="610428" spans="12:13" x14ac:dyDescent="0.25">
      <c r="L610428" s="472"/>
      <c r="M610428" s="472"/>
    </row>
    <row r="610429" spans="12:13" x14ac:dyDescent="0.25">
      <c r="L610429" s="472"/>
      <c r="M610429" s="472"/>
    </row>
    <row r="610501" spans="12:13" x14ac:dyDescent="0.25">
      <c r="L610501" s="472"/>
      <c r="M610501" s="472"/>
    </row>
    <row r="610502" spans="12:13" x14ac:dyDescent="0.25">
      <c r="L610502" s="472"/>
      <c r="M610502" s="472"/>
    </row>
    <row r="610503" spans="12:13" x14ac:dyDescent="0.25">
      <c r="L610503" s="472"/>
      <c r="M610503" s="472"/>
    </row>
    <row r="610575" spans="12:13" x14ac:dyDescent="0.25">
      <c r="L610575" s="472"/>
      <c r="M610575" s="472"/>
    </row>
    <row r="610576" spans="12:13" x14ac:dyDescent="0.25">
      <c r="L610576" s="472"/>
      <c r="M610576" s="472"/>
    </row>
    <row r="610577" spans="12:13" x14ac:dyDescent="0.25">
      <c r="L610577" s="472"/>
      <c r="M610577" s="472"/>
    </row>
    <row r="610649" spans="12:13" x14ac:dyDescent="0.25">
      <c r="L610649" s="472"/>
      <c r="M610649" s="472"/>
    </row>
    <row r="610650" spans="12:13" x14ac:dyDescent="0.25">
      <c r="L610650" s="472"/>
      <c r="M610650" s="472"/>
    </row>
    <row r="610651" spans="12:13" x14ac:dyDescent="0.25">
      <c r="L610651" s="472"/>
      <c r="M610651" s="472"/>
    </row>
    <row r="610723" spans="12:13" x14ac:dyDescent="0.25">
      <c r="L610723" s="472"/>
      <c r="M610723" s="472"/>
    </row>
    <row r="610724" spans="12:13" x14ac:dyDescent="0.25">
      <c r="L610724" s="472"/>
      <c r="M610724" s="472"/>
    </row>
    <row r="610725" spans="12:13" x14ac:dyDescent="0.25">
      <c r="L610725" s="472"/>
      <c r="M610725" s="472"/>
    </row>
    <row r="610797" spans="12:13" x14ac:dyDescent="0.25">
      <c r="L610797" s="472"/>
      <c r="M610797" s="472"/>
    </row>
    <row r="610798" spans="12:13" x14ac:dyDescent="0.25">
      <c r="L610798" s="472"/>
      <c r="M610798" s="472"/>
    </row>
    <row r="610799" spans="12:13" x14ac:dyDescent="0.25">
      <c r="L610799" s="472"/>
      <c r="M610799" s="472"/>
    </row>
    <row r="610871" spans="12:13" x14ac:dyDescent="0.25">
      <c r="L610871" s="472"/>
      <c r="M610871" s="472"/>
    </row>
    <row r="610872" spans="12:13" x14ac:dyDescent="0.25">
      <c r="L610872" s="472"/>
      <c r="M610872" s="472"/>
    </row>
    <row r="610873" spans="12:13" x14ac:dyDescent="0.25">
      <c r="L610873" s="472"/>
      <c r="M610873" s="472"/>
    </row>
    <row r="610945" spans="12:13" x14ac:dyDescent="0.25">
      <c r="L610945" s="472"/>
      <c r="M610945" s="472"/>
    </row>
    <row r="610946" spans="12:13" x14ac:dyDescent="0.25">
      <c r="L610946" s="472"/>
      <c r="M610946" s="472"/>
    </row>
    <row r="610947" spans="12:13" x14ac:dyDescent="0.25">
      <c r="L610947" s="472"/>
      <c r="M610947" s="472"/>
    </row>
    <row r="611019" spans="12:13" x14ac:dyDescent="0.25">
      <c r="L611019" s="472"/>
      <c r="M611019" s="472"/>
    </row>
    <row r="611020" spans="12:13" x14ac:dyDescent="0.25">
      <c r="L611020" s="472"/>
      <c r="M611020" s="472"/>
    </row>
    <row r="611021" spans="12:13" x14ac:dyDescent="0.25">
      <c r="L611021" s="472"/>
      <c r="M611021" s="472"/>
    </row>
    <row r="611093" spans="12:13" x14ac:dyDescent="0.25">
      <c r="L611093" s="472"/>
      <c r="M611093" s="472"/>
    </row>
    <row r="611094" spans="12:13" x14ac:dyDescent="0.25">
      <c r="L611094" s="472"/>
      <c r="M611094" s="472"/>
    </row>
    <row r="611095" spans="12:13" x14ac:dyDescent="0.25">
      <c r="L611095" s="472"/>
      <c r="M611095" s="472"/>
    </row>
    <row r="611167" spans="12:13" x14ac:dyDescent="0.25">
      <c r="L611167" s="472"/>
      <c r="M611167" s="472"/>
    </row>
    <row r="611168" spans="12:13" x14ac:dyDescent="0.25">
      <c r="L611168" s="472"/>
      <c r="M611168" s="472"/>
    </row>
    <row r="611169" spans="12:13" x14ac:dyDescent="0.25">
      <c r="L611169" s="472"/>
      <c r="M611169" s="472"/>
    </row>
    <row r="611241" spans="12:13" x14ac:dyDescent="0.25">
      <c r="L611241" s="472"/>
      <c r="M611241" s="472"/>
    </row>
    <row r="611242" spans="12:13" x14ac:dyDescent="0.25">
      <c r="L611242" s="472"/>
      <c r="M611242" s="472"/>
    </row>
    <row r="611243" spans="12:13" x14ac:dyDescent="0.25">
      <c r="L611243" s="472"/>
      <c r="M611243" s="472"/>
    </row>
    <row r="611315" spans="12:13" x14ac:dyDescent="0.25">
      <c r="L611315" s="472"/>
      <c r="M611315" s="472"/>
    </row>
    <row r="611316" spans="12:13" x14ac:dyDescent="0.25">
      <c r="L611316" s="472"/>
      <c r="M611316" s="472"/>
    </row>
    <row r="611317" spans="12:13" x14ac:dyDescent="0.25">
      <c r="L611317" s="472"/>
      <c r="M611317" s="472"/>
    </row>
    <row r="611389" spans="12:13" x14ac:dyDescent="0.25">
      <c r="L611389" s="472"/>
      <c r="M611389" s="472"/>
    </row>
    <row r="611390" spans="12:13" x14ac:dyDescent="0.25">
      <c r="L611390" s="472"/>
      <c r="M611390" s="472"/>
    </row>
    <row r="611391" spans="12:13" x14ac:dyDescent="0.25">
      <c r="L611391" s="472"/>
      <c r="M611391" s="472"/>
    </row>
    <row r="611463" spans="12:13" x14ac:dyDescent="0.25">
      <c r="L611463" s="472"/>
      <c r="M611463" s="472"/>
    </row>
    <row r="611464" spans="12:13" x14ac:dyDescent="0.25">
      <c r="L611464" s="472"/>
      <c r="M611464" s="472"/>
    </row>
    <row r="611465" spans="12:13" x14ac:dyDescent="0.25">
      <c r="L611465" s="472"/>
      <c r="M611465" s="472"/>
    </row>
    <row r="611537" spans="12:13" x14ac:dyDescent="0.25">
      <c r="L611537" s="472"/>
      <c r="M611537" s="472"/>
    </row>
    <row r="611538" spans="12:13" x14ac:dyDescent="0.25">
      <c r="L611538" s="472"/>
      <c r="M611538" s="472"/>
    </row>
    <row r="611539" spans="12:13" x14ac:dyDescent="0.25">
      <c r="L611539" s="472"/>
      <c r="M611539" s="472"/>
    </row>
    <row r="611611" spans="12:13" x14ac:dyDescent="0.25">
      <c r="L611611" s="472"/>
      <c r="M611611" s="472"/>
    </row>
    <row r="611612" spans="12:13" x14ac:dyDescent="0.25">
      <c r="L611612" s="472"/>
      <c r="M611612" s="472"/>
    </row>
    <row r="611613" spans="12:13" x14ac:dyDescent="0.25">
      <c r="L611613" s="472"/>
      <c r="M611613" s="472"/>
    </row>
    <row r="611685" spans="12:13" x14ac:dyDescent="0.25">
      <c r="L611685" s="472"/>
      <c r="M611685" s="472"/>
    </row>
    <row r="611686" spans="12:13" x14ac:dyDescent="0.25">
      <c r="L611686" s="472"/>
      <c r="M611686" s="472"/>
    </row>
    <row r="611687" spans="12:13" x14ac:dyDescent="0.25">
      <c r="L611687" s="472"/>
      <c r="M611687" s="472"/>
    </row>
    <row r="611759" spans="12:13" x14ac:dyDescent="0.25">
      <c r="L611759" s="472"/>
      <c r="M611759" s="472"/>
    </row>
    <row r="611760" spans="12:13" x14ac:dyDescent="0.25">
      <c r="L611760" s="472"/>
      <c r="M611760" s="472"/>
    </row>
    <row r="611761" spans="12:13" x14ac:dyDescent="0.25">
      <c r="L611761" s="472"/>
      <c r="M611761" s="472"/>
    </row>
    <row r="611833" spans="12:13" x14ac:dyDescent="0.25">
      <c r="L611833" s="472"/>
      <c r="M611833" s="472"/>
    </row>
    <row r="611834" spans="12:13" x14ac:dyDescent="0.25">
      <c r="L611834" s="472"/>
      <c r="M611834" s="472"/>
    </row>
    <row r="611835" spans="12:13" x14ac:dyDescent="0.25">
      <c r="L611835" s="472"/>
      <c r="M611835" s="472"/>
    </row>
    <row r="611907" spans="12:13" x14ac:dyDescent="0.25">
      <c r="L611907" s="472"/>
      <c r="M611907" s="472"/>
    </row>
    <row r="611908" spans="12:13" x14ac:dyDescent="0.25">
      <c r="L611908" s="472"/>
      <c r="M611908" s="472"/>
    </row>
    <row r="611909" spans="12:13" x14ac:dyDescent="0.25">
      <c r="L611909" s="472"/>
      <c r="M611909" s="472"/>
    </row>
    <row r="611981" spans="12:13" x14ac:dyDescent="0.25">
      <c r="L611981" s="472"/>
      <c r="M611981" s="472"/>
    </row>
    <row r="611982" spans="12:13" x14ac:dyDescent="0.25">
      <c r="L611982" s="472"/>
      <c r="M611982" s="472"/>
    </row>
    <row r="611983" spans="12:13" x14ac:dyDescent="0.25">
      <c r="L611983" s="472"/>
      <c r="M611983" s="472"/>
    </row>
    <row r="612055" spans="12:13" x14ac:dyDescent="0.25">
      <c r="L612055" s="472"/>
      <c r="M612055" s="472"/>
    </row>
    <row r="612056" spans="12:13" x14ac:dyDescent="0.25">
      <c r="L612056" s="472"/>
      <c r="M612056" s="472"/>
    </row>
    <row r="612057" spans="12:13" x14ac:dyDescent="0.25">
      <c r="L612057" s="472"/>
      <c r="M612057" s="472"/>
    </row>
    <row r="612129" spans="12:13" x14ac:dyDescent="0.25">
      <c r="L612129" s="472"/>
      <c r="M612129" s="472"/>
    </row>
    <row r="612130" spans="12:13" x14ac:dyDescent="0.25">
      <c r="L612130" s="472"/>
      <c r="M612130" s="472"/>
    </row>
    <row r="612131" spans="12:13" x14ac:dyDescent="0.25">
      <c r="L612131" s="472"/>
      <c r="M612131" s="472"/>
    </row>
    <row r="612203" spans="12:13" x14ac:dyDescent="0.25">
      <c r="L612203" s="472"/>
      <c r="M612203" s="472"/>
    </row>
    <row r="612204" spans="12:13" x14ac:dyDescent="0.25">
      <c r="L612204" s="472"/>
      <c r="M612204" s="472"/>
    </row>
    <row r="612205" spans="12:13" x14ac:dyDescent="0.25">
      <c r="L612205" s="472"/>
      <c r="M612205" s="472"/>
    </row>
    <row r="612277" spans="12:13" x14ac:dyDescent="0.25">
      <c r="L612277" s="472"/>
      <c r="M612277" s="472"/>
    </row>
    <row r="612278" spans="12:13" x14ac:dyDescent="0.25">
      <c r="L612278" s="472"/>
      <c r="M612278" s="472"/>
    </row>
    <row r="612279" spans="12:13" x14ac:dyDescent="0.25">
      <c r="L612279" s="472"/>
      <c r="M612279" s="472"/>
    </row>
    <row r="612351" spans="12:13" x14ac:dyDescent="0.25">
      <c r="L612351" s="472"/>
      <c r="M612351" s="472"/>
    </row>
    <row r="612352" spans="12:13" x14ac:dyDescent="0.25">
      <c r="L612352" s="472"/>
      <c r="M612352" s="472"/>
    </row>
    <row r="612353" spans="12:13" x14ac:dyDescent="0.25">
      <c r="L612353" s="472"/>
      <c r="M612353" s="472"/>
    </row>
    <row r="612425" spans="12:13" x14ac:dyDescent="0.25">
      <c r="L612425" s="472"/>
      <c r="M612425" s="472"/>
    </row>
    <row r="612426" spans="12:13" x14ac:dyDescent="0.25">
      <c r="L612426" s="472"/>
      <c r="M612426" s="472"/>
    </row>
    <row r="612427" spans="12:13" x14ac:dyDescent="0.25">
      <c r="L612427" s="472"/>
      <c r="M612427" s="472"/>
    </row>
    <row r="612499" spans="12:13" x14ac:dyDescent="0.25">
      <c r="L612499" s="472"/>
      <c r="M612499" s="472"/>
    </row>
    <row r="612500" spans="12:13" x14ac:dyDescent="0.25">
      <c r="L612500" s="472"/>
      <c r="M612500" s="472"/>
    </row>
    <row r="612501" spans="12:13" x14ac:dyDescent="0.25">
      <c r="L612501" s="472"/>
      <c r="M612501" s="472"/>
    </row>
    <row r="612573" spans="12:13" x14ac:dyDescent="0.25">
      <c r="L612573" s="472"/>
      <c r="M612573" s="472"/>
    </row>
    <row r="612574" spans="12:13" x14ac:dyDescent="0.25">
      <c r="L612574" s="472"/>
      <c r="M612574" s="472"/>
    </row>
    <row r="612575" spans="12:13" x14ac:dyDescent="0.25">
      <c r="L612575" s="472"/>
      <c r="M612575" s="472"/>
    </row>
    <row r="612647" spans="12:13" x14ac:dyDescent="0.25">
      <c r="L612647" s="472"/>
      <c r="M612647" s="472"/>
    </row>
    <row r="612648" spans="12:13" x14ac:dyDescent="0.25">
      <c r="L612648" s="472"/>
      <c r="M612648" s="472"/>
    </row>
    <row r="612649" spans="12:13" x14ac:dyDescent="0.25">
      <c r="L612649" s="472"/>
      <c r="M612649" s="472"/>
    </row>
    <row r="612721" spans="12:13" x14ac:dyDescent="0.25">
      <c r="L612721" s="472"/>
      <c r="M612721" s="472"/>
    </row>
    <row r="612722" spans="12:13" x14ac:dyDescent="0.25">
      <c r="L612722" s="472"/>
      <c r="M612722" s="472"/>
    </row>
    <row r="612723" spans="12:13" x14ac:dyDescent="0.25">
      <c r="L612723" s="472"/>
      <c r="M612723" s="472"/>
    </row>
    <row r="612795" spans="12:13" x14ac:dyDescent="0.25">
      <c r="L612795" s="472"/>
      <c r="M612795" s="472"/>
    </row>
    <row r="612796" spans="12:13" x14ac:dyDescent="0.25">
      <c r="L612796" s="472"/>
      <c r="M612796" s="472"/>
    </row>
    <row r="612797" spans="12:13" x14ac:dyDescent="0.25">
      <c r="L612797" s="472"/>
      <c r="M612797" s="472"/>
    </row>
    <row r="612869" spans="12:13" x14ac:dyDescent="0.25">
      <c r="L612869" s="472"/>
      <c r="M612869" s="472"/>
    </row>
    <row r="612870" spans="12:13" x14ac:dyDescent="0.25">
      <c r="L612870" s="472"/>
      <c r="M612870" s="472"/>
    </row>
    <row r="612871" spans="12:13" x14ac:dyDescent="0.25">
      <c r="L612871" s="472"/>
      <c r="M612871" s="472"/>
    </row>
    <row r="612943" spans="12:13" x14ac:dyDescent="0.25">
      <c r="L612943" s="472"/>
      <c r="M612943" s="472"/>
    </row>
    <row r="612944" spans="12:13" x14ac:dyDescent="0.25">
      <c r="L612944" s="472"/>
      <c r="M612944" s="472"/>
    </row>
    <row r="612945" spans="12:13" x14ac:dyDescent="0.25">
      <c r="L612945" s="472"/>
      <c r="M612945" s="472"/>
    </row>
    <row r="613017" spans="12:13" x14ac:dyDescent="0.25">
      <c r="L613017" s="472"/>
      <c r="M613017" s="472"/>
    </row>
    <row r="613018" spans="12:13" x14ac:dyDescent="0.25">
      <c r="L613018" s="472"/>
      <c r="M613018" s="472"/>
    </row>
    <row r="613019" spans="12:13" x14ac:dyDescent="0.25">
      <c r="L613019" s="472"/>
      <c r="M613019" s="472"/>
    </row>
    <row r="613091" spans="12:13" x14ac:dyDescent="0.25">
      <c r="L613091" s="472"/>
      <c r="M613091" s="472"/>
    </row>
    <row r="613092" spans="12:13" x14ac:dyDescent="0.25">
      <c r="L613092" s="472"/>
      <c r="M613092" s="472"/>
    </row>
    <row r="613093" spans="12:13" x14ac:dyDescent="0.25">
      <c r="L613093" s="472"/>
      <c r="M613093" s="472"/>
    </row>
    <row r="613165" spans="12:13" x14ac:dyDescent="0.25">
      <c r="L613165" s="472"/>
      <c r="M613165" s="472"/>
    </row>
    <row r="613166" spans="12:13" x14ac:dyDescent="0.25">
      <c r="L613166" s="472"/>
      <c r="M613166" s="472"/>
    </row>
    <row r="613167" spans="12:13" x14ac:dyDescent="0.25">
      <c r="L613167" s="472"/>
      <c r="M613167" s="472"/>
    </row>
    <row r="613239" spans="12:13" x14ac:dyDescent="0.25">
      <c r="L613239" s="472"/>
      <c r="M613239" s="472"/>
    </row>
    <row r="613240" spans="12:13" x14ac:dyDescent="0.25">
      <c r="L613240" s="472"/>
      <c r="M613240" s="472"/>
    </row>
    <row r="613241" spans="12:13" x14ac:dyDescent="0.25">
      <c r="L613241" s="472"/>
      <c r="M613241" s="472"/>
    </row>
    <row r="613313" spans="12:13" x14ac:dyDescent="0.25">
      <c r="L613313" s="472"/>
      <c r="M613313" s="472"/>
    </row>
    <row r="613314" spans="12:13" x14ac:dyDescent="0.25">
      <c r="L613314" s="472"/>
      <c r="M613314" s="472"/>
    </row>
    <row r="613315" spans="12:13" x14ac:dyDescent="0.25">
      <c r="L613315" s="472"/>
      <c r="M613315" s="472"/>
    </row>
    <row r="613387" spans="12:13" x14ac:dyDescent="0.25">
      <c r="L613387" s="472"/>
      <c r="M613387" s="472"/>
    </row>
    <row r="613388" spans="12:13" x14ac:dyDescent="0.25">
      <c r="L613388" s="472"/>
      <c r="M613388" s="472"/>
    </row>
    <row r="613389" spans="12:13" x14ac:dyDescent="0.25">
      <c r="L613389" s="472"/>
      <c r="M613389" s="472"/>
    </row>
    <row r="613461" spans="12:13" x14ac:dyDescent="0.25">
      <c r="L613461" s="472"/>
      <c r="M613461" s="472"/>
    </row>
    <row r="613462" spans="12:13" x14ac:dyDescent="0.25">
      <c r="L613462" s="472"/>
      <c r="M613462" s="472"/>
    </row>
    <row r="613463" spans="12:13" x14ac:dyDescent="0.25">
      <c r="L613463" s="472"/>
      <c r="M613463" s="472"/>
    </row>
    <row r="613535" spans="12:13" x14ac:dyDescent="0.25">
      <c r="L613535" s="472"/>
      <c r="M613535" s="472"/>
    </row>
    <row r="613536" spans="12:13" x14ac:dyDescent="0.25">
      <c r="L613536" s="472"/>
      <c r="M613536" s="472"/>
    </row>
    <row r="613537" spans="12:13" x14ac:dyDescent="0.25">
      <c r="L613537" s="472"/>
      <c r="M613537" s="472"/>
    </row>
    <row r="613609" spans="12:13" x14ac:dyDescent="0.25">
      <c r="L613609" s="472"/>
      <c r="M613609" s="472"/>
    </row>
    <row r="613610" spans="12:13" x14ac:dyDescent="0.25">
      <c r="L613610" s="472"/>
      <c r="M613610" s="472"/>
    </row>
    <row r="613611" spans="12:13" x14ac:dyDescent="0.25">
      <c r="L613611" s="472"/>
      <c r="M613611" s="472"/>
    </row>
    <row r="613683" spans="12:13" x14ac:dyDescent="0.25">
      <c r="L613683" s="472"/>
      <c r="M613683" s="472"/>
    </row>
    <row r="613684" spans="12:13" x14ac:dyDescent="0.25">
      <c r="L613684" s="472"/>
      <c r="M613684" s="472"/>
    </row>
    <row r="613685" spans="12:13" x14ac:dyDescent="0.25">
      <c r="L613685" s="472"/>
      <c r="M613685" s="472"/>
    </row>
    <row r="613757" spans="12:13" x14ac:dyDescent="0.25">
      <c r="L613757" s="472"/>
      <c r="M613757" s="472"/>
    </row>
    <row r="613758" spans="12:13" x14ac:dyDescent="0.25">
      <c r="L613758" s="472"/>
      <c r="M613758" s="472"/>
    </row>
    <row r="613759" spans="12:13" x14ac:dyDescent="0.25">
      <c r="L613759" s="472"/>
      <c r="M613759" s="472"/>
    </row>
    <row r="613831" spans="12:13" x14ac:dyDescent="0.25">
      <c r="L613831" s="472"/>
      <c r="M613831" s="472"/>
    </row>
    <row r="613832" spans="12:13" x14ac:dyDescent="0.25">
      <c r="L613832" s="472"/>
      <c r="M613832" s="472"/>
    </row>
    <row r="613833" spans="12:13" x14ac:dyDescent="0.25">
      <c r="L613833" s="472"/>
      <c r="M613833" s="472"/>
    </row>
    <row r="613905" spans="12:13" x14ac:dyDescent="0.25">
      <c r="L613905" s="472"/>
      <c r="M613905" s="472"/>
    </row>
    <row r="613906" spans="12:13" x14ac:dyDescent="0.25">
      <c r="L613906" s="472"/>
      <c r="M613906" s="472"/>
    </row>
    <row r="613907" spans="12:13" x14ac:dyDescent="0.25">
      <c r="L613907" s="472"/>
      <c r="M613907" s="472"/>
    </row>
    <row r="613979" spans="12:13" x14ac:dyDescent="0.25">
      <c r="L613979" s="472"/>
      <c r="M613979" s="472"/>
    </row>
    <row r="613980" spans="12:13" x14ac:dyDescent="0.25">
      <c r="L613980" s="472"/>
      <c r="M613980" s="472"/>
    </row>
    <row r="613981" spans="12:13" x14ac:dyDescent="0.25">
      <c r="L613981" s="472"/>
      <c r="M613981" s="472"/>
    </row>
    <row r="614053" spans="12:13" x14ac:dyDescent="0.25">
      <c r="L614053" s="472"/>
      <c r="M614053" s="472"/>
    </row>
    <row r="614054" spans="12:13" x14ac:dyDescent="0.25">
      <c r="L614054" s="472"/>
      <c r="M614054" s="472"/>
    </row>
    <row r="614055" spans="12:13" x14ac:dyDescent="0.25">
      <c r="L614055" s="472"/>
      <c r="M614055" s="472"/>
    </row>
    <row r="614127" spans="12:13" x14ac:dyDescent="0.25">
      <c r="L614127" s="472"/>
      <c r="M614127" s="472"/>
    </row>
    <row r="614128" spans="12:13" x14ac:dyDescent="0.25">
      <c r="L614128" s="472"/>
      <c r="M614128" s="472"/>
    </row>
    <row r="614129" spans="12:13" x14ac:dyDescent="0.25">
      <c r="L614129" s="472"/>
      <c r="M614129" s="472"/>
    </row>
    <row r="614201" spans="12:13" x14ac:dyDescent="0.25">
      <c r="L614201" s="472"/>
      <c r="M614201" s="472"/>
    </row>
    <row r="614202" spans="12:13" x14ac:dyDescent="0.25">
      <c r="L614202" s="472"/>
      <c r="M614202" s="472"/>
    </row>
    <row r="614203" spans="12:13" x14ac:dyDescent="0.25">
      <c r="L614203" s="472"/>
      <c r="M614203" s="472"/>
    </row>
    <row r="614275" spans="12:13" x14ac:dyDescent="0.25">
      <c r="L614275" s="472"/>
      <c r="M614275" s="472"/>
    </row>
    <row r="614276" spans="12:13" x14ac:dyDescent="0.25">
      <c r="L614276" s="472"/>
      <c r="M614276" s="472"/>
    </row>
    <row r="614277" spans="12:13" x14ac:dyDescent="0.25">
      <c r="L614277" s="472"/>
      <c r="M614277" s="472"/>
    </row>
    <row r="614349" spans="12:13" x14ac:dyDescent="0.25">
      <c r="L614349" s="472"/>
      <c r="M614349" s="472"/>
    </row>
    <row r="614350" spans="12:13" x14ac:dyDescent="0.25">
      <c r="L614350" s="472"/>
      <c r="M614350" s="472"/>
    </row>
    <row r="614351" spans="12:13" x14ac:dyDescent="0.25">
      <c r="L614351" s="472"/>
      <c r="M614351" s="472"/>
    </row>
    <row r="614423" spans="12:13" x14ac:dyDescent="0.25">
      <c r="L614423" s="472"/>
      <c r="M614423" s="472"/>
    </row>
    <row r="614424" spans="12:13" x14ac:dyDescent="0.25">
      <c r="L614424" s="472"/>
      <c r="M614424" s="472"/>
    </row>
    <row r="614425" spans="12:13" x14ac:dyDescent="0.25">
      <c r="L614425" s="472"/>
      <c r="M614425" s="472"/>
    </row>
    <row r="614497" spans="12:13" x14ac:dyDescent="0.25">
      <c r="L614497" s="472"/>
      <c r="M614497" s="472"/>
    </row>
    <row r="614498" spans="12:13" x14ac:dyDescent="0.25">
      <c r="L614498" s="472"/>
      <c r="M614498" s="472"/>
    </row>
    <row r="614499" spans="12:13" x14ac:dyDescent="0.25">
      <c r="L614499" s="472"/>
      <c r="M614499" s="472"/>
    </row>
    <row r="614571" spans="12:13" x14ac:dyDescent="0.25">
      <c r="L614571" s="472"/>
      <c r="M614571" s="472"/>
    </row>
    <row r="614572" spans="12:13" x14ac:dyDescent="0.25">
      <c r="L614572" s="472"/>
      <c r="M614572" s="472"/>
    </row>
    <row r="614573" spans="12:13" x14ac:dyDescent="0.25">
      <c r="L614573" s="472"/>
      <c r="M614573" s="472"/>
    </row>
    <row r="614645" spans="12:13" x14ac:dyDescent="0.25">
      <c r="L614645" s="472"/>
      <c r="M614645" s="472"/>
    </row>
    <row r="614646" spans="12:13" x14ac:dyDescent="0.25">
      <c r="L614646" s="472"/>
      <c r="M614646" s="472"/>
    </row>
    <row r="614647" spans="12:13" x14ac:dyDescent="0.25">
      <c r="L614647" s="472"/>
      <c r="M614647" s="472"/>
    </row>
    <row r="614719" spans="12:13" x14ac:dyDescent="0.25">
      <c r="L614719" s="472"/>
      <c r="M614719" s="472"/>
    </row>
    <row r="614720" spans="12:13" x14ac:dyDescent="0.25">
      <c r="L614720" s="472"/>
      <c r="M614720" s="472"/>
    </row>
    <row r="614721" spans="12:13" x14ac:dyDescent="0.25">
      <c r="L614721" s="472"/>
      <c r="M614721" s="472"/>
    </row>
    <row r="614793" spans="12:13" x14ac:dyDescent="0.25">
      <c r="L614793" s="472"/>
      <c r="M614793" s="472"/>
    </row>
    <row r="614794" spans="12:13" x14ac:dyDescent="0.25">
      <c r="L614794" s="472"/>
      <c r="M614794" s="472"/>
    </row>
    <row r="614795" spans="12:13" x14ac:dyDescent="0.25">
      <c r="L614795" s="472"/>
      <c r="M614795" s="472"/>
    </row>
    <row r="614867" spans="12:13" x14ac:dyDescent="0.25">
      <c r="L614867" s="472"/>
      <c r="M614867" s="472"/>
    </row>
    <row r="614868" spans="12:13" x14ac:dyDescent="0.25">
      <c r="L614868" s="472"/>
      <c r="M614868" s="472"/>
    </row>
    <row r="614869" spans="12:13" x14ac:dyDescent="0.25">
      <c r="L614869" s="472"/>
      <c r="M614869" s="472"/>
    </row>
    <row r="614941" spans="12:13" x14ac:dyDescent="0.25">
      <c r="L614941" s="472"/>
      <c r="M614941" s="472"/>
    </row>
    <row r="614942" spans="12:13" x14ac:dyDescent="0.25">
      <c r="L614942" s="472"/>
      <c r="M614942" s="472"/>
    </row>
    <row r="614943" spans="12:13" x14ac:dyDescent="0.25">
      <c r="L614943" s="472"/>
      <c r="M614943" s="472"/>
    </row>
    <row r="615015" spans="12:13" x14ac:dyDescent="0.25">
      <c r="L615015" s="472"/>
      <c r="M615015" s="472"/>
    </row>
    <row r="615016" spans="12:13" x14ac:dyDescent="0.25">
      <c r="L615016" s="472"/>
      <c r="M615016" s="472"/>
    </row>
    <row r="615017" spans="12:13" x14ac:dyDescent="0.25">
      <c r="L615017" s="472"/>
      <c r="M615017" s="472"/>
    </row>
    <row r="615089" spans="12:13" x14ac:dyDescent="0.25">
      <c r="L615089" s="472"/>
      <c r="M615089" s="472"/>
    </row>
    <row r="615090" spans="12:13" x14ac:dyDescent="0.25">
      <c r="L615090" s="472"/>
      <c r="M615090" s="472"/>
    </row>
    <row r="615091" spans="12:13" x14ac:dyDescent="0.25">
      <c r="L615091" s="472"/>
      <c r="M615091" s="472"/>
    </row>
    <row r="615163" spans="12:13" x14ac:dyDescent="0.25">
      <c r="L615163" s="472"/>
      <c r="M615163" s="472"/>
    </row>
    <row r="615164" spans="12:13" x14ac:dyDescent="0.25">
      <c r="L615164" s="472"/>
      <c r="M615164" s="472"/>
    </row>
    <row r="615165" spans="12:13" x14ac:dyDescent="0.25">
      <c r="L615165" s="472"/>
      <c r="M615165" s="472"/>
    </row>
    <row r="615237" spans="12:13" x14ac:dyDescent="0.25">
      <c r="L615237" s="472"/>
      <c r="M615237" s="472"/>
    </row>
    <row r="615238" spans="12:13" x14ac:dyDescent="0.25">
      <c r="L615238" s="472"/>
      <c r="M615238" s="472"/>
    </row>
    <row r="615239" spans="12:13" x14ac:dyDescent="0.25">
      <c r="L615239" s="472"/>
      <c r="M615239" s="472"/>
    </row>
    <row r="615311" spans="12:13" x14ac:dyDescent="0.25">
      <c r="L615311" s="472"/>
      <c r="M615311" s="472"/>
    </row>
    <row r="615312" spans="12:13" x14ac:dyDescent="0.25">
      <c r="L615312" s="472"/>
      <c r="M615312" s="472"/>
    </row>
    <row r="615313" spans="12:13" x14ac:dyDescent="0.25">
      <c r="L615313" s="472"/>
      <c r="M615313" s="472"/>
    </row>
    <row r="615385" spans="12:13" x14ac:dyDescent="0.25">
      <c r="L615385" s="472"/>
      <c r="M615385" s="472"/>
    </row>
    <row r="615386" spans="12:13" x14ac:dyDescent="0.25">
      <c r="L615386" s="472"/>
      <c r="M615386" s="472"/>
    </row>
    <row r="615387" spans="12:13" x14ac:dyDescent="0.25">
      <c r="L615387" s="472"/>
      <c r="M615387" s="472"/>
    </row>
    <row r="615459" spans="12:13" x14ac:dyDescent="0.25">
      <c r="L615459" s="472"/>
      <c r="M615459" s="472"/>
    </row>
    <row r="615460" spans="12:13" x14ac:dyDescent="0.25">
      <c r="L615460" s="472"/>
      <c r="M615460" s="472"/>
    </row>
    <row r="615461" spans="12:13" x14ac:dyDescent="0.25">
      <c r="L615461" s="472"/>
      <c r="M615461" s="472"/>
    </row>
    <row r="615533" spans="12:13" x14ac:dyDescent="0.25">
      <c r="L615533" s="472"/>
      <c r="M615533" s="472"/>
    </row>
    <row r="615534" spans="12:13" x14ac:dyDescent="0.25">
      <c r="L615534" s="472"/>
      <c r="M615534" s="472"/>
    </row>
    <row r="615535" spans="12:13" x14ac:dyDescent="0.25">
      <c r="L615535" s="472"/>
      <c r="M615535" s="472"/>
    </row>
    <row r="615607" spans="12:13" x14ac:dyDescent="0.25">
      <c r="L615607" s="472"/>
      <c r="M615607" s="472"/>
    </row>
    <row r="615608" spans="12:13" x14ac:dyDescent="0.25">
      <c r="L615608" s="472"/>
      <c r="M615608" s="472"/>
    </row>
    <row r="615609" spans="12:13" x14ac:dyDescent="0.25">
      <c r="L615609" s="472"/>
      <c r="M615609" s="472"/>
    </row>
    <row r="615681" spans="12:13" x14ac:dyDescent="0.25">
      <c r="L615681" s="472"/>
      <c r="M615681" s="472"/>
    </row>
    <row r="615682" spans="12:13" x14ac:dyDescent="0.25">
      <c r="L615682" s="472"/>
      <c r="M615682" s="472"/>
    </row>
    <row r="615683" spans="12:13" x14ac:dyDescent="0.25">
      <c r="L615683" s="472"/>
      <c r="M615683" s="472"/>
    </row>
    <row r="615755" spans="12:13" x14ac:dyDescent="0.25">
      <c r="L615755" s="472"/>
      <c r="M615755" s="472"/>
    </row>
    <row r="615756" spans="12:13" x14ac:dyDescent="0.25">
      <c r="L615756" s="472"/>
      <c r="M615756" s="472"/>
    </row>
    <row r="615757" spans="12:13" x14ac:dyDescent="0.25">
      <c r="L615757" s="472"/>
      <c r="M615757" s="472"/>
    </row>
    <row r="615829" spans="12:13" x14ac:dyDescent="0.25">
      <c r="L615829" s="472"/>
      <c r="M615829" s="472"/>
    </row>
    <row r="615830" spans="12:13" x14ac:dyDescent="0.25">
      <c r="L615830" s="472"/>
      <c r="M615830" s="472"/>
    </row>
    <row r="615831" spans="12:13" x14ac:dyDescent="0.25">
      <c r="L615831" s="472"/>
      <c r="M615831" s="472"/>
    </row>
    <row r="615903" spans="12:13" x14ac:dyDescent="0.25">
      <c r="L615903" s="472"/>
      <c r="M615903" s="472"/>
    </row>
    <row r="615904" spans="12:13" x14ac:dyDescent="0.25">
      <c r="L615904" s="472"/>
      <c r="M615904" s="472"/>
    </row>
    <row r="615905" spans="12:13" x14ac:dyDescent="0.25">
      <c r="L615905" s="472"/>
      <c r="M615905" s="472"/>
    </row>
    <row r="615977" spans="12:13" x14ac:dyDescent="0.25">
      <c r="L615977" s="472"/>
      <c r="M615977" s="472"/>
    </row>
    <row r="615978" spans="12:13" x14ac:dyDescent="0.25">
      <c r="L615978" s="472"/>
      <c r="M615978" s="472"/>
    </row>
    <row r="615979" spans="12:13" x14ac:dyDescent="0.25">
      <c r="L615979" s="472"/>
      <c r="M615979" s="472"/>
    </row>
    <row r="616051" spans="12:13" x14ac:dyDescent="0.25">
      <c r="L616051" s="472"/>
      <c r="M616051" s="472"/>
    </row>
    <row r="616052" spans="12:13" x14ac:dyDescent="0.25">
      <c r="L616052" s="472"/>
      <c r="M616052" s="472"/>
    </row>
    <row r="616053" spans="12:13" x14ac:dyDescent="0.25">
      <c r="L616053" s="472"/>
      <c r="M616053" s="472"/>
    </row>
    <row r="616125" spans="12:13" x14ac:dyDescent="0.25">
      <c r="L616125" s="472"/>
      <c r="M616125" s="472"/>
    </row>
    <row r="616126" spans="12:13" x14ac:dyDescent="0.25">
      <c r="L616126" s="472"/>
      <c r="M616126" s="472"/>
    </row>
    <row r="616127" spans="12:13" x14ac:dyDescent="0.25">
      <c r="L616127" s="472"/>
      <c r="M616127" s="472"/>
    </row>
    <row r="616199" spans="12:13" x14ac:dyDescent="0.25">
      <c r="L616199" s="472"/>
      <c r="M616199" s="472"/>
    </row>
    <row r="616200" spans="12:13" x14ac:dyDescent="0.25">
      <c r="L616200" s="472"/>
      <c r="M616200" s="472"/>
    </row>
    <row r="616201" spans="12:13" x14ac:dyDescent="0.25">
      <c r="L616201" s="472"/>
      <c r="M616201" s="472"/>
    </row>
    <row r="616273" spans="12:13" x14ac:dyDescent="0.25">
      <c r="L616273" s="472"/>
      <c r="M616273" s="472"/>
    </row>
    <row r="616274" spans="12:13" x14ac:dyDescent="0.25">
      <c r="L616274" s="472"/>
      <c r="M616274" s="472"/>
    </row>
    <row r="616275" spans="12:13" x14ac:dyDescent="0.25">
      <c r="L616275" s="472"/>
      <c r="M616275" s="472"/>
    </row>
    <row r="616347" spans="12:13" x14ac:dyDescent="0.25">
      <c r="L616347" s="472"/>
      <c r="M616347" s="472"/>
    </row>
    <row r="616348" spans="12:13" x14ac:dyDescent="0.25">
      <c r="L616348" s="472"/>
      <c r="M616348" s="472"/>
    </row>
    <row r="616349" spans="12:13" x14ac:dyDescent="0.25">
      <c r="L616349" s="472"/>
      <c r="M616349" s="472"/>
    </row>
    <row r="616421" spans="12:13" x14ac:dyDescent="0.25">
      <c r="L616421" s="472"/>
      <c r="M616421" s="472"/>
    </row>
    <row r="616422" spans="12:13" x14ac:dyDescent="0.25">
      <c r="L616422" s="472"/>
      <c r="M616422" s="472"/>
    </row>
    <row r="616423" spans="12:13" x14ac:dyDescent="0.25">
      <c r="L616423" s="472"/>
      <c r="M616423" s="472"/>
    </row>
    <row r="616495" spans="12:13" x14ac:dyDescent="0.25">
      <c r="L616495" s="472"/>
      <c r="M616495" s="472"/>
    </row>
    <row r="616496" spans="12:13" x14ac:dyDescent="0.25">
      <c r="L616496" s="472"/>
      <c r="M616496" s="472"/>
    </row>
    <row r="616497" spans="12:13" x14ac:dyDescent="0.25">
      <c r="L616497" s="472"/>
      <c r="M616497" s="472"/>
    </row>
    <row r="616569" spans="12:13" x14ac:dyDescent="0.25">
      <c r="L616569" s="472"/>
      <c r="M616569" s="472"/>
    </row>
    <row r="616570" spans="12:13" x14ac:dyDescent="0.25">
      <c r="L616570" s="472"/>
      <c r="M616570" s="472"/>
    </row>
    <row r="616571" spans="12:13" x14ac:dyDescent="0.25">
      <c r="L616571" s="472"/>
      <c r="M616571" s="472"/>
    </row>
    <row r="616643" spans="12:13" x14ac:dyDescent="0.25">
      <c r="L616643" s="472"/>
      <c r="M616643" s="472"/>
    </row>
    <row r="616644" spans="12:13" x14ac:dyDescent="0.25">
      <c r="L616644" s="472"/>
      <c r="M616644" s="472"/>
    </row>
    <row r="616645" spans="12:13" x14ac:dyDescent="0.25">
      <c r="L616645" s="472"/>
      <c r="M616645" s="472"/>
    </row>
    <row r="616717" spans="12:13" x14ac:dyDescent="0.25">
      <c r="L616717" s="472"/>
      <c r="M616717" s="472"/>
    </row>
    <row r="616718" spans="12:13" x14ac:dyDescent="0.25">
      <c r="L616718" s="472"/>
      <c r="M616718" s="472"/>
    </row>
    <row r="616719" spans="12:13" x14ac:dyDescent="0.25">
      <c r="L616719" s="472"/>
      <c r="M616719" s="472"/>
    </row>
    <row r="616791" spans="12:13" x14ac:dyDescent="0.25">
      <c r="L616791" s="472"/>
      <c r="M616791" s="472"/>
    </row>
    <row r="616792" spans="12:13" x14ac:dyDescent="0.25">
      <c r="L616792" s="472"/>
      <c r="M616792" s="472"/>
    </row>
    <row r="616793" spans="12:13" x14ac:dyDescent="0.25">
      <c r="L616793" s="472"/>
      <c r="M616793" s="472"/>
    </row>
    <row r="616865" spans="12:13" x14ac:dyDescent="0.25">
      <c r="L616865" s="472"/>
      <c r="M616865" s="472"/>
    </row>
    <row r="616866" spans="12:13" x14ac:dyDescent="0.25">
      <c r="L616866" s="472"/>
      <c r="M616866" s="472"/>
    </row>
    <row r="616867" spans="12:13" x14ac:dyDescent="0.25">
      <c r="L616867" s="472"/>
      <c r="M616867" s="472"/>
    </row>
    <row r="616939" spans="12:13" x14ac:dyDescent="0.25">
      <c r="L616939" s="472"/>
      <c r="M616939" s="472"/>
    </row>
    <row r="616940" spans="12:13" x14ac:dyDescent="0.25">
      <c r="L616940" s="472"/>
      <c r="M616940" s="472"/>
    </row>
    <row r="616941" spans="12:13" x14ac:dyDescent="0.25">
      <c r="L616941" s="472"/>
      <c r="M616941" s="472"/>
    </row>
    <row r="617013" spans="12:13" x14ac:dyDescent="0.25">
      <c r="L617013" s="472"/>
      <c r="M617013" s="472"/>
    </row>
    <row r="617014" spans="12:13" x14ac:dyDescent="0.25">
      <c r="L617014" s="472"/>
      <c r="M617014" s="472"/>
    </row>
    <row r="617015" spans="12:13" x14ac:dyDescent="0.25">
      <c r="L617015" s="472"/>
      <c r="M617015" s="472"/>
    </row>
    <row r="617087" spans="12:13" x14ac:dyDescent="0.25">
      <c r="L617087" s="472"/>
      <c r="M617087" s="472"/>
    </row>
    <row r="617088" spans="12:13" x14ac:dyDescent="0.25">
      <c r="L617088" s="472"/>
      <c r="M617088" s="472"/>
    </row>
    <row r="617089" spans="12:13" x14ac:dyDescent="0.25">
      <c r="L617089" s="472"/>
      <c r="M617089" s="472"/>
    </row>
    <row r="617161" spans="12:13" x14ac:dyDescent="0.25">
      <c r="L617161" s="472"/>
      <c r="M617161" s="472"/>
    </row>
    <row r="617162" spans="12:13" x14ac:dyDescent="0.25">
      <c r="L617162" s="472"/>
      <c r="M617162" s="472"/>
    </row>
    <row r="617163" spans="12:13" x14ac:dyDescent="0.25">
      <c r="L617163" s="472"/>
      <c r="M617163" s="472"/>
    </row>
    <row r="617235" spans="12:13" x14ac:dyDescent="0.25">
      <c r="L617235" s="472"/>
      <c r="M617235" s="472"/>
    </row>
    <row r="617236" spans="12:13" x14ac:dyDescent="0.25">
      <c r="L617236" s="472"/>
      <c r="M617236" s="472"/>
    </row>
    <row r="617237" spans="12:13" x14ac:dyDescent="0.25">
      <c r="L617237" s="472"/>
      <c r="M617237" s="472"/>
    </row>
    <row r="617309" spans="12:13" x14ac:dyDescent="0.25">
      <c r="L617309" s="472"/>
      <c r="M617309" s="472"/>
    </row>
    <row r="617310" spans="12:13" x14ac:dyDescent="0.25">
      <c r="L617310" s="472"/>
      <c r="M617310" s="472"/>
    </row>
    <row r="617311" spans="12:13" x14ac:dyDescent="0.25">
      <c r="L617311" s="472"/>
      <c r="M617311" s="472"/>
    </row>
    <row r="617383" spans="12:13" x14ac:dyDescent="0.25">
      <c r="L617383" s="472"/>
      <c r="M617383" s="472"/>
    </row>
    <row r="617384" spans="12:13" x14ac:dyDescent="0.25">
      <c r="L617384" s="472"/>
      <c r="M617384" s="472"/>
    </row>
    <row r="617385" spans="12:13" x14ac:dyDescent="0.25">
      <c r="L617385" s="472"/>
      <c r="M617385" s="472"/>
    </row>
    <row r="617457" spans="12:13" x14ac:dyDescent="0.25">
      <c r="L617457" s="472"/>
      <c r="M617457" s="472"/>
    </row>
    <row r="617458" spans="12:13" x14ac:dyDescent="0.25">
      <c r="L617458" s="472"/>
      <c r="M617458" s="472"/>
    </row>
    <row r="617459" spans="12:13" x14ac:dyDescent="0.25">
      <c r="L617459" s="472"/>
      <c r="M617459" s="472"/>
    </row>
    <row r="617531" spans="12:13" x14ac:dyDescent="0.25">
      <c r="L617531" s="472"/>
      <c r="M617531" s="472"/>
    </row>
    <row r="617532" spans="12:13" x14ac:dyDescent="0.25">
      <c r="L617532" s="472"/>
      <c r="M617532" s="472"/>
    </row>
    <row r="617533" spans="12:13" x14ac:dyDescent="0.25">
      <c r="L617533" s="472"/>
      <c r="M617533" s="472"/>
    </row>
    <row r="617605" spans="12:13" x14ac:dyDescent="0.25">
      <c r="L617605" s="472"/>
      <c r="M617605" s="472"/>
    </row>
    <row r="617606" spans="12:13" x14ac:dyDescent="0.25">
      <c r="L617606" s="472"/>
      <c r="M617606" s="472"/>
    </row>
    <row r="617607" spans="12:13" x14ac:dyDescent="0.25">
      <c r="L617607" s="472"/>
      <c r="M617607" s="472"/>
    </row>
    <row r="617679" spans="12:13" x14ac:dyDescent="0.25">
      <c r="L617679" s="472"/>
      <c r="M617679" s="472"/>
    </row>
    <row r="617680" spans="12:13" x14ac:dyDescent="0.25">
      <c r="L617680" s="472"/>
      <c r="M617680" s="472"/>
    </row>
    <row r="617681" spans="12:13" x14ac:dyDescent="0.25">
      <c r="L617681" s="472"/>
      <c r="M617681" s="472"/>
    </row>
    <row r="617753" spans="12:13" x14ac:dyDescent="0.25">
      <c r="L617753" s="472"/>
      <c r="M617753" s="472"/>
    </row>
    <row r="617754" spans="12:13" x14ac:dyDescent="0.25">
      <c r="L617754" s="472"/>
      <c r="M617754" s="472"/>
    </row>
    <row r="617755" spans="12:13" x14ac:dyDescent="0.25">
      <c r="L617755" s="472"/>
      <c r="M617755" s="472"/>
    </row>
    <row r="617827" spans="12:13" x14ac:dyDescent="0.25">
      <c r="L617827" s="472"/>
      <c r="M617827" s="472"/>
    </row>
    <row r="617828" spans="12:13" x14ac:dyDescent="0.25">
      <c r="L617828" s="472"/>
      <c r="M617828" s="472"/>
    </row>
    <row r="617829" spans="12:13" x14ac:dyDescent="0.25">
      <c r="L617829" s="472"/>
      <c r="M617829" s="472"/>
    </row>
    <row r="617901" spans="12:13" x14ac:dyDescent="0.25">
      <c r="L617901" s="472"/>
      <c r="M617901" s="472"/>
    </row>
    <row r="617902" spans="12:13" x14ac:dyDescent="0.25">
      <c r="L617902" s="472"/>
      <c r="M617902" s="472"/>
    </row>
    <row r="617903" spans="12:13" x14ac:dyDescent="0.25">
      <c r="L617903" s="472"/>
      <c r="M617903" s="472"/>
    </row>
    <row r="617975" spans="12:13" x14ac:dyDescent="0.25">
      <c r="L617975" s="472"/>
      <c r="M617975" s="472"/>
    </row>
    <row r="617976" spans="12:13" x14ac:dyDescent="0.25">
      <c r="L617976" s="472"/>
      <c r="M617976" s="472"/>
    </row>
    <row r="617977" spans="12:13" x14ac:dyDescent="0.25">
      <c r="L617977" s="472"/>
      <c r="M617977" s="472"/>
    </row>
    <row r="618049" spans="12:13" x14ac:dyDescent="0.25">
      <c r="L618049" s="472"/>
      <c r="M618049" s="472"/>
    </row>
    <row r="618050" spans="12:13" x14ac:dyDescent="0.25">
      <c r="L618050" s="472"/>
      <c r="M618050" s="472"/>
    </row>
    <row r="618051" spans="12:13" x14ac:dyDescent="0.25">
      <c r="L618051" s="472"/>
      <c r="M618051" s="472"/>
    </row>
    <row r="618123" spans="12:13" x14ac:dyDescent="0.25">
      <c r="L618123" s="472"/>
      <c r="M618123" s="472"/>
    </row>
    <row r="618124" spans="12:13" x14ac:dyDescent="0.25">
      <c r="L618124" s="472"/>
      <c r="M618124" s="472"/>
    </row>
    <row r="618125" spans="12:13" x14ac:dyDescent="0.25">
      <c r="L618125" s="472"/>
      <c r="M618125" s="472"/>
    </row>
    <row r="618197" spans="12:13" x14ac:dyDescent="0.25">
      <c r="L618197" s="472"/>
      <c r="M618197" s="472"/>
    </row>
    <row r="618198" spans="12:13" x14ac:dyDescent="0.25">
      <c r="L618198" s="472"/>
      <c r="M618198" s="472"/>
    </row>
    <row r="618199" spans="12:13" x14ac:dyDescent="0.25">
      <c r="L618199" s="472"/>
      <c r="M618199" s="472"/>
    </row>
    <row r="618271" spans="12:13" x14ac:dyDescent="0.25">
      <c r="L618271" s="472"/>
      <c r="M618271" s="472"/>
    </row>
    <row r="618272" spans="12:13" x14ac:dyDescent="0.25">
      <c r="L618272" s="472"/>
      <c r="M618272" s="472"/>
    </row>
    <row r="618273" spans="12:13" x14ac:dyDescent="0.25">
      <c r="L618273" s="472"/>
      <c r="M618273" s="472"/>
    </row>
    <row r="618345" spans="12:13" x14ac:dyDescent="0.25">
      <c r="L618345" s="472"/>
      <c r="M618345" s="472"/>
    </row>
    <row r="618346" spans="12:13" x14ac:dyDescent="0.25">
      <c r="L618346" s="472"/>
      <c r="M618346" s="472"/>
    </row>
    <row r="618347" spans="12:13" x14ac:dyDescent="0.25">
      <c r="L618347" s="472"/>
      <c r="M618347" s="472"/>
    </row>
    <row r="618419" spans="12:13" x14ac:dyDescent="0.25">
      <c r="L618419" s="472"/>
      <c r="M618419" s="472"/>
    </row>
    <row r="618420" spans="12:13" x14ac:dyDescent="0.25">
      <c r="L618420" s="472"/>
      <c r="M618420" s="472"/>
    </row>
    <row r="618421" spans="12:13" x14ac:dyDescent="0.25">
      <c r="L618421" s="472"/>
      <c r="M618421" s="472"/>
    </row>
    <row r="618493" spans="12:13" x14ac:dyDescent="0.25">
      <c r="L618493" s="472"/>
      <c r="M618493" s="472"/>
    </row>
    <row r="618494" spans="12:13" x14ac:dyDescent="0.25">
      <c r="L618494" s="472"/>
      <c r="M618494" s="472"/>
    </row>
    <row r="618495" spans="12:13" x14ac:dyDescent="0.25">
      <c r="L618495" s="472"/>
      <c r="M618495" s="472"/>
    </row>
    <row r="618567" spans="12:13" x14ac:dyDescent="0.25">
      <c r="L618567" s="472"/>
      <c r="M618567" s="472"/>
    </row>
    <row r="618568" spans="12:13" x14ac:dyDescent="0.25">
      <c r="L618568" s="472"/>
      <c r="M618568" s="472"/>
    </row>
    <row r="618569" spans="12:13" x14ac:dyDescent="0.25">
      <c r="L618569" s="472"/>
      <c r="M618569" s="472"/>
    </row>
    <row r="618641" spans="12:13" x14ac:dyDescent="0.25">
      <c r="L618641" s="472"/>
      <c r="M618641" s="472"/>
    </row>
    <row r="618642" spans="12:13" x14ac:dyDescent="0.25">
      <c r="L618642" s="472"/>
      <c r="M618642" s="472"/>
    </row>
    <row r="618643" spans="12:13" x14ac:dyDescent="0.25">
      <c r="L618643" s="472"/>
      <c r="M618643" s="472"/>
    </row>
    <row r="618715" spans="12:13" x14ac:dyDescent="0.25">
      <c r="L618715" s="472"/>
      <c r="M618715" s="472"/>
    </row>
    <row r="618716" spans="12:13" x14ac:dyDescent="0.25">
      <c r="L618716" s="472"/>
      <c r="M618716" s="472"/>
    </row>
    <row r="618717" spans="12:13" x14ac:dyDescent="0.25">
      <c r="L618717" s="472"/>
      <c r="M618717" s="472"/>
    </row>
    <row r="618789" spans="12:13" x14ac:dyDescent="0.25">
      <c r="L618789" s="472"/>
      <c r="M618789" s="472"/>
    </row>
    <row r="618790" spans="12:13" x14ac:dyDescent="0.25">
      <c r="L618790" s="472"/>
      <c r="M618790" s="472"/>
    </row>
    <row r="618791" spans="12:13" x14ac:dyDescent="0.25">
      <c r="L618791" s="472"/>
      <c r="M618791" s="472"/>
    </row>
    <row r="618863" spans="12:13" x14ac:dyDescent="0.25">
      <c r="L618863" s="472"/>
      <c r="M618863" s="472"/>
    </row>
    <row r="618864" spans="12:13" x14ac:dyDescent="0.25">
      <c r="L618864" s="472"/>
      <c r="M618864" s="472"/>
    </row>
    <row r="618865" spans="12:13" x14ac:dyDescent="0.25">
      <c r="L618865" s="472"/>
      <c r="M618865" s="472"/>
    </row>
    <row r="618937" spans="12:13" x14ac:dyDescent="0.25">
      <c r="L618937" s="472"/>
      <c r="M618937" s="472"/>
    </row>
    <row r="618938" spans="12:13" x14ac:dyDescent="0.25">
      <c r="L618938" s="472"/>
      <c r="M618938" s="472"/>
    </row>
    <row r="618939" spans="12:13" x14ac:dyDescent="0.25">
      <c r="L618939" s="472"/>
      <c r="M618939" s="472"/>
    </row>
    <row r="619011" spans="12:13" x14ac:dyDescent="0.25">
      <c r="L619011" s="472"/>
      <c r="M619011" s="472"/>
    </row>
    <row r="619012" spans="12:13" x14ac:dyDescent="0.25">
      <c r="L619012" s="472"/>
      <c r="M619012" s="472"/>
    </row>
    <row r="619013" spans="12:13" x14ac:dyDescent="0.25">
      <c r="L619013" s="472"/>
      <c r="M619013" s="472"/>
    </row>
    <row r="619085" spans="12:13" x14ac:dyDescent="0.25">
      <c r="L619085" s="472"/>
      <c r="M619085" s="472"/>
    </row>
    <row r="619086" spans="12:13" x14ac:dyDescent="0.25">
      <c r="L619086" s="472"/>
      <c r="M619086" s="472"/>
    </row>
    <row r="619087" spans="12:13" x14ac:dyDescent="0.25">
      <c r="L619087" s="472"/>
      <c r="M619087" s="472"/>
    </row>
    <row r="619159" spans="12:13" x14ac:dyDescent="0.25">
      <c r="L619159" s="472"/>
      <c r="M619159" s="472"/>
    </row>
    <row r="619160" spans="12:13" x14ac:dyDescent="0.25">
      <c r="L619160" s="472"/>
      <c r="M619160" s="472"/>
    </row>
    <row r="619161" spans="12:13" x14ac:dyDescent="0.25">
      <c r="L619161" s="472"/>
      <c r="M619161" s="472"/>
    </row>
    <row r="619233" spans="12:13" x14ac:dyDescent="0.25">
      <c r="L619233" s="472"/>
      <c r="M619233" s="472"/>
    </row>
    <row r="619234" spans="12:13" x14ac:dyDescent="0.25">
      <c r="L619234" s="472"/>
      <c r="M619234" s="472"/>
    </row>
    <row r="619235" spans="12:13" x14ac:dyDescent="0.25">
      <c r="L619235" s="472"/>
      <c r="M619235" s="472"/>
    </row>
    <row r="619307" spans="12:13" x14ac:dyDescent="0.25">
      <c r="L619307" s="472"/>
      <c r="M619307" s="472"/>
    </row>
    <row r="619308" spans="12:13" x14ac:dyDescent="0.25">
      <c r="L619308" s="472"/>
      <c r="M619308" s="472"/>
    </row>
    <row r="619309" spans="12:13" x14ac:dyDescent="0.25">
      <c r="L619309" s="472"/>
      <c r="M619309" s="472"/>
    </row>
    <row r="619381" spans="12:13" x14ac:dyDescent="0.25">
      <c r="L619381" s="472"/>
      <c r="M619381" s="472"/>
    </row>
    <row r="619382" spans="12:13" x14ac:dyDescent="0.25">
      <c r="L619382" s="472"/>
      <c r="M619382" s="472"/>
    </row>
    <row r="619383" spans="12:13" x14ac:dyDescent="0.25">
      <c r="L619383" s="472"/>
      <c r="M619383" s="472"/>
    </row>
    <row r="619455" spans="12:13" x14ac:dyDescent="0.25">
      <c r="L619455" s="472"/>
      <c r="M619455" s="472"/>
    </row>
    <row r="619456" spans="12:13" x14ac:dyDescent="0.25">
      <c r="L619456" s="472"/>
      <c r="M619456" s="472"/>
    </row>
    <row r="619457" spans="12:13" x14ac:dyDescent="0.25">
      <c r="L619457" s="472"/>
      <c r="M619457" s="472"/>
    </row>
    <row r="619529" spans="12:13" x14ac:dyDescent="0.25">
      <c r="L619529" s="472"/>
      <c r="M619529" s="472"/>
    </row>
    <row r="619530" spans="12:13" x14ac:dyDescent="0.25">
      <c r="L619530" s="472"/>
      <c r="M619530" s="472"/>
    </row>
    <row r="619531" spans="12:13" x14ac:dyDescent="0.25">
      <c r="L619531" s="472"/>
      <c r="M619531" s="472"/>
    </row>
    <row r="619603" spans="12:13" x14ac:dyDescent="0.25">
      <c r="L619603" s="472"/>
      <c r="M619603" s="472"/>
    </row>
    <row r="619604" spans="12:13" x14ac:dyDescent="0.25">
      <c r="L619604" s="472"/>
      <c r="M619604" s="472"/>
    </row>
    <row r="619605" spans="12:13" x14ac:dyDescent="0.25">
      <c r="L619605" s="472"/>
      <c r="M619605" s="472"/>
    </row>
    <row r="619677" spans="12:13" x14ac:dyDescent="0.25">
      <c r="L619677" s="472"/>
      <c r="M619677" s="472"/>
    </row>
    <row r="619678" spans="12:13" x14ac:dyDescent="0.25">
      <c r="L619678" s="472"/>
      <c r="M619678" s="472"/>
    </row>
    <row r="619679" spans="12:13" x14ac:dyDescent="0.25">
      <c r="L619679" s="472"/>
      <c r="M619679" s="472"/>
    </row>
    <row r="619751" spans="12:13" x14ac:dyDescent="0.25">
      <c r="L619751" s="472"/>
      <c r="M619751" s="472"/>
    </row>
    <row r="619752" spans="12:13" x14ac:dyDescent="0.25">
      <c r="L619752" s="472"/>
      <c r="M619752" s="472"/>
    </row>
    <row r="619753" spans="12:13" x14ac:dyDescent="0.25">
      <c r="L619753" s="472"/>
      <c r="M619753" s="472"/>
    </row>
    <row r="619825" spans="12:13" x14ac:dyDescent="0.25">
      <c r="L619825" s="472"/>
      <c r="M619825" s="472"/>
    </row>
    <row r="619826" spans="12:13" x14ac:dyDescent="0.25">
      <c r="L619826" s="472"/>
      <c r="M619826" s="472"/>
    </row>
    <row r="619827" spans="12:13" x14ac:dyDescent="0.25">
      <c r="L619827" s="472"/>
      <c r="M619827" s="472"/>
    </row>
    <row r="619899" spans="12:13" x14ac:dyDescent="0.25">
      <c r="L619899" s="472"/>
      <c r="M619899" s="472"/>
    </row>
    <row r="619900" spans="12:13" x14ac:dyDescent="0.25">
      <c r="L619900" s="472"/>
      <c r="M619900" s="472"/>
    </row>
    <row r="619901" spans="12:13" x14ac:dyDescent="0.25">
      <c r="L619901" s="472"/>
      <c r="M619901" s="472"/>
    </row>
    <row r="619973" spans="12:13" x14ac:dyDescent="0.25">
      <c r="L619973" s="472"/>
      <c r="M619973" s="472"/>
    </row>
    <row r="619974" spans="12:13" x14ac:dyDescent="0.25">
      <c r="L619974" s="472"/>
      <c r="M619974" s="472"/>
    </row>
    <row r="619975" spans="12:13" x14ac:dyDescent="0.25">
      <c r="L619975" s="472"/>
      <c r="M619975" s="472"/>
    </row>
    <row r="620047" spans="12:13" x14ac:dyDescent="0.25">
      <c r="L620047" s="472"/>
      <c r="M620047" s="472"/>
    </row>
    <row r="620048" spans="12:13" x14ac:dyDescent="0.25">
      <c r="L620048" s="472"/>
      <c r="M620048" s="472"/>
    </row>
    <row r="620049" spans="12:13" x14ac:dyDescent="0.25">
      <c r="L620049" s="472"/>
      <c r="M620049" s="472"/>
    </row>
    <row r="620121" spans="12:13" x14ac:dyDescent="0.25">
      <c r="L620121" s="472"/>
      <c r="M620121" s="472"/>
    </row>
    <row r="620122" spans="12:13" x14ac:dyDescent="0.25">
      <c r="L620122" s="472"/>
      <c r="M620122" s="472"/>
    </row>
    <row r="620123" spans="12:13" x14ac:dyDescent="0.25">
      <c r="L620123" s="472"/>
      <c r="M620123" s="472"/>
    </row>
    <row r="620195" spans="12:13" x14ac:dyDescent="0.25">
      <c r="L620195" s="472"/>
      <c r="M620195" s="472"/>
    </row>
    <row r="620196" spans="12:13" x14ac:dyDescent="0.25">
      <c r="L620196" s="472"/>
      <c r="M620196" s="472"/>
    </row>
    <row r="620197" spans="12:13" x14ac:dyDescent="0.25">
      <c r="L620197" s="472"/>
      <c r="M620197" s="472"/>
    </row>
    <row r="620269" spans="12:13" x14ac:dyDescent="0.25">
      <c r="L620269" s="472"/>
      <c r="M620269" s="472"/>
    </row>
    <row r="620270" spans="12:13" x14ac:dyDescent="0.25">
      <c r="L620270" s="472"/>
      <c r="M620270" s="472"/>
    </row>
    <row r="620271" spans="12:13" x14ac:dyDescent="0.25">
      <c r="L620271" s="472"/>
      <c r="M620271" s="472"/>
    </row>
    <row r="620343" spans="12:13" x14ac:dyDescent="0.25">
      <c r="L620343" s="472"/>
      <c r="M620343" s="472"/>
    </row>
    <row r="620344" spans="12:13" x14ac:dyDescent="0.25">
      <c r="L620344" s="472"/>
      <c r="M620344" s="472"/>
    </row>
    <row r="620345" spans="12:13" x14ac:dyDescent="0.25">
      <c r="L620345" s="472"/>
      <c r="M620345" s="472"/>
    </row>
    <row r="620417" spans="12:13" x14ac:dyDescent="0.25">
      <c r="L620417" s="472"/>
      <c r="M620417" s="472"/>
    </row>
    <row r="620418" spans="12:13" x14ac:dyDescent="0.25">
      <c r="L620418" s="472"/>
      <c r="M620418" s="472"/>
    </row>
    <row r="620419" spans="12:13" x14ac:dyDescent="0.25">
      <c r="L620419" s="472"/>
      <c r="M620419" s="472"/>
    </row>
    <row r="620491" spans="12:13" x14ac:dyDescent="0.25">
      <c r="L620491" s="472"/>
      <c r="M620491" s="472"/>
    </row>
    <row r="620492" spans="12:13" x14ac:dyDescent="0.25">
      <c r="L620492" s="472"/>
      <c r="M620492" s="472"/>
    </row>
    <row r="620493" spans="12:13" x14ac:dyDescent="0.25">
      <c r="L620493" s="472"/>
      <c r="M620493" s="472"/>
    </row>
    <row r="620565" spans="12:13" x14ac:dyDescent="0.25">
      <c r="L620565" s="472"/>
      <c r="M620565" s="472"/>
    </row>
    <row r="620566" spans="12:13" x14ac:dyDescent="0.25">
      <c r="L620566" s="472"/>
      <c r="M620566" s="472"/>
    </row>
    <row r="620567" spans="12:13" x14ac:dyDescent="0.25">
      <c r="L620567" s="472"/>
      <c r="M620567" s="472"/>
    </row>
    <row r="620639" spans="12:13" x14ac:dyDescent="0.25">
      <c r="L620639" s="472"/>
      <c r="M620639" s="472"/>
    </row>
    <row r="620640" spans="12:13" x14ac:dyDescent="0.25">
      <c r="L620640" s="472"/>
      <c r="M620640" s="472"/>
    </row>
    <row r="620641" spans="12:13" x14ac:dyDescent="0.25">
      <c r="L620641" s="472"/>
      <c r="M620641" s="472"/>
    </row>
    <row r="620713" spans="12:13" x14ac:dyDescent="0.25">
      <c r="L620713" s="472"/>
      <c r="M620713" s="472"/>
    </row>
    <row r="620714" spans="12:13" x14ac:dyDescent="0.25">
      <c r="L620714" s="472"/>
      <c r="M620714" s="472"/>
    </row>
    <row r="620715" spans="12:13" x14ac:dyDescent="0.25">
      <c r="L620715" s="472"/>
      <c r="M620715" s="472"/>
    </row>
    <row r="620787" spans="12:13" x14ac:dyDescent="0.25">
      <c r="L620787" s="472"/>
      <c r="M620787" s="472"/>
    </row>
    <row r="620788" spans="12:13" x14ac:dyDescent="0.25">
      <c r="L620788" s="472"/>
      <c r="M620788" s="472"/>
    </row>
    <row r="620789" spans="12:13" x14ac:dyDescent="0.25">
      <c r="L620789" s="472"/>
      <c r="M620789" s="472"/>
    </row>
    <row r="620861" spans="12:13" x14ac:dyDescent="0.25">
      <c r="L620861" s="472"/>
      <c r="M620861" s="472"/>
    </row>
    <row r="620862" spans="12:13" x14ac:dyDescent="0.25">
      <c r="L620862" s="472"/>
      <c r="M620862" s="472"/>
    </row>
    <row r="620863" spans="12:13" x14ac:dyDescent="0.25">
      <c r="L620863" s="472"/>
      <c r="M620863" s="472"/>
    </row>
    <row r="620935" spans="12:13" x14ac:dyDescent="0.25">
      <c r="L620935" s="472"/>
      <c r="M620935" s="472"/>
    </row>
    <row r="620936" spans="12:13" x14ac:dyDescent="0.25">
      <c r="L620936" s="472"/>
      <c r="M620936" s="472"/>
    </row>
    <row r="620937" spans="12:13" x14ac:dyDescent="0.25">
      <c r="L620937" s="472"/>
      <c r="M620937" s="472"/>
    </row>
    <row r="621009" spans="12:13" x14ac:dyDescent="0.25">
      <c r="L621009" s="472"/>
      <c r="M621009" s="472"/>
    </row>
    <row r="621010" spans="12:13" x14ac:dyDescent="0.25">
      <c r="L621010" s="472"/>
      <c r="M621010" s="472"/>
    </row>
    <row r="621011" spans="12:13" x14ac:dyDescent="0.25">
      <c r="L621011" s="472"/>
      <c r="M621011" s="472"/>
    </row>
    <row r="621083" spans="12:13" x14ac:dyDescent="0.25">
      <c r="L621083" s="472"/>
      <c r="M621083" s="472"/>
    </row>
    <row r="621084" spans="12:13" x14ac:dyDescent="0.25">
      <c r="L621084" s="472"/>
      <c r="M621084" s="472"/>
    </row>
    <row r="621085" spans="12:13" x14ac:dyDescent="0.25">
      <c r="L621085" s="472"/>
      <c r="M621085" s="472"/>
    </row>
    <row r="621157" spans="12:13" x14ac:dyDescent="0.25">
      <c r="L621157" s="472"/>
      <c r="M621157" s="472"/>
    </row>
    <row r="621158" spans="12:13" x14ac:dyDescent="0.25">
      <c r="L621158" s="472"/>
      <c r="M621158" s="472"/>
    </row>
    <row r="621159" spans="12:13" x14ac:dyDescent="0.25">
      <c r="L621159" s="472"/>
      <c r="M621159" s="472"/>
    </row>
    <row r="621231" spans="12:13" x14ac:dyDescent="0.25">
      <c r="L621231" s="472"/>
      <c r="M621231" s="472"/>
    </row>
    <row r="621232" spans="12:13" x14ac:dyDescent="0.25">
      <c r="L621232" s="472"/>
      <c r="M621232" s="472"/>
    </row>
    <row r="621233" spans="12:13" x14ac:dyDescent="0.25">
      <c r="L621233" s="472"/>
      <c r="M621233" s="472"/>
    </row>
    <row r="621305" spans="12:13" x14ac:dyDescent="0.25">
      <c r="L621305" s="472"/>
      <c r="M621305" s="472"/>
    </row>
    <row r="621306" spans="12:13" x14ac:dyDescent="0.25">
      <c r="L621306" s="472"/>
      <c r="M621306" s="472"/>
    </row>
    <row r="621307" spans="12:13" x14ac:dyDescent="0.25">
      <c r="L621307" s="472"/>
      <c r="M621307" s="472"/>
    </row>
    <row r="621379" spans="12:13" x14ac:dyDescent="0.25">
      <c r="L621379" s="472"/>
      <c r="M621379" s="472"/>
    </row>
    <row r="621380" spans="12:13" x14ac:dyDescent="0.25">
      <c r="L621380" s="472"/>
      <c r="M621380" s="472"/>
    </row>
    <row r="621381" spans="12:13" x14ac:dyDescent="0.25">
      <c r="L621381" s="472"/>
      <c r="M621381" s="472"/>
    </row>
    <row r="621453" spans="12:13" x14ac:dyDescent="0.25">
      <c r="L621453" s="472"/>
      <c r="M621453" s="472"/>
    </row>
    <row r="621454" spans="12:13" x14ac:dyDescent="0.25">
      <c r="L621454" s="472"/>
      <c r="M621454" s="472"/>
    </row>
    <row r="621455" spans="12:13" x14ac:dyDescent="0.25">
      <c r="L621455" s="472"/>
      <c r="M621455" s="472"/>
    </row>
    <row r="621527" spans="12:13" x14ac:dyDescent="0.25">
      <c r="L621527" s="472"/>
      <c r="M621527" s="472"/>
    </row>
    <row r="621528" spans="12:13" x14ac:dyDescent="0.25">
      <c r="L621528" s="472"/>
      <c r="M621528" s="472"/>
    </row>
    <row r="621529" spans="12:13" x14ac:dyDescent="0.25">
      <c r="L621529" s="472"/>
      <c r="M621529" s="472"/>
    </row>
    <row r="621601" spans="12:13" x14ac:dyDescent="0.25">
      <c r="L621601" s="472"/>
      <c r="M621601" s="472"/>
    </row>
    <row r="621602" spans="12:13" x14ac:dyDescent="0.25">
      <c r="L621602" s="472"/>
      <c r="M621602" s="472"/>
    </row>
    <row r="621603" spans="12:13" x14ac:dyDescent="0.25">
      <c r="L621603" s="472"/>
      <c r="M621603" s="472"/>
    </row>
    <row r="621675" spans="12:13" x14ac:dyDescent="0.25">
      <c r="L621675" s="472"/>
      <c r="M621675" s="472"/>
    </row>
    <row r="621676" spans="12:13" x14ac:dyDescent="0.25">
      <c r="L621676" s="472"/>
      <c r="M621676" s="472"/>
    </row>
    <row r="621677" spans="12:13" x14ac:dyDescent="0.25">
      <c r="L621677" s="472"/>
      <c r="M621677" s="472"/>
    </row>
    <row r="621749" spans="12:13" x14ac:dyDescent="0.25">
      <c r="L621749" s="472"/>
      <c r="M621749" s="472"/>
    </row>
    <row r="621750" spans="12:13" x14ac:dyDescent="0.25">
      <c r="L621750" s="472"/>
      <c r="M621750" s="472"/>
    </row>
    <row r="621751" spans="12:13" x14ac:dyDescent="0.25">
      <c r="L621751" s="472"/>
      <c r="M621751" s="472"/>
    </row>
    <row r="621823" spans="12:13" x14ac:dyDescent="0.25">
      <c r="L621823" s="472"/>
      <c r="M621823" s="472"/>
    </row>
    <row r="621824" spans="12:13" x14ac:dyDescent="0.25">
      <c r="L621824" s="472"/>
      <c r="M621824" s="472"/>
    </row>
    <row r="621825" spans="12:13" x14ac:dyDescent="0.25">
      <c r="L621825" s="472"/>
      <c r="M621825" s="472"/>
    </row>
    <row r="621897" spans="12:13" x14ac:dyDescent="0.25">
      <c r="L621897" s="472"/>
      <c r="M621897" s="472"/>
    </row>
    <row r="621898" spans="12:13" x14ac:dyDescent="0.25">
      <c r="L621898" s="472"/>
      <c r="M621898" s="472"/>
    </row>
    <row r="621899" spans="12:13" x14ac:dyDescent="0.25">
      <c r="L621899" s="472"/>
      <c r="M621899" s="472"/>
    </row>
    <row r="621971" spans="12:13" x14ac:dyDescent="0.25">
      <c r="L621971" s="472"/>
      <c r="M621971" s="472"/>
    </row>
    <row r="621972" spans="12:13" x14ac:dyDescent="0.25">
      <c r="L621972" s="472"/>
      <c r="M621972" s="472"/>
    </row>
    <row r="621973" spans="12:13" x14ac:dyDescent="0.25">
      <c r="L621973" s="472"/>
      <c r="M621973" s="472"/>
    </row>
    <row r="622045" spans="12:13" x14ac:dyDescent="0.25">
      <c r="L622045" s="472"/>
      <c r="M622045" s="472"/>
    </row>
    <row r="622046" spans="12:13" x14ac:dyDescent="0.25">
      <c r="L622046" s="472"/>
      <c r="M622046" s="472"/>
    </row>
    <row r="622047" spans="12:13" x14ac:dyDescent="0.25">
      <c r="L622047" s="472"/>
      <c r="M622047" s="472"/>
    </row>
    <row r="622119" spans="12:13" x14ac:dyDescent="0.25">
      <c r="L622119" s="472"/>
      <c r="M622119" s="472"/>
    </row>
    <row r="622120" spans="12:13" x14ac:dyDescent="0.25">
      <c r="L622120" s="472"/>
      <c r="M622120" s="472"/>
    </row>
    <row r="622121" spans="12:13" x14ac:dyDescent="0.25">
      <c r="L622121" s="472"/>
      <c r="M622121" s="472"/>
    </row>
    <row r="622193" spans="12:13" x14ac:dyDescent="0.25">
      <c r="L622193" s="472"/>
      <c r="M622193" s="472"/>
    </row>
    <row r="622194" spans="12:13" x14ac:dyDescent="0.25">
      <c r="L622194" s="472"/>
      <c r="M622194" s="472"/>
    </row>
    <row r="622195" spans="12:13" x14ac:dyDescent="0.25">
      <c r="L622195" s="472"/>
      <c r="M622195" s="472"/>
    </row>
    <row r="622267" spans="12:13" x14ac:dyDescent="0.25">
      <c r="L622267" s="472"/>
      <c r="M622267" s="472"/>
    </row>
    <row r="622268" spans="12:13" x14ac:dyDescent="0.25">
      <c r="L622268" s="472"/>
      <c r="M622268" s="472"/>
    </row>
    <row r="622269" spans="12:13" x14ac:dyDescent="0.25">
      <c r="L622269" s="472"/>
      <c r="M622269" s="472"/>
    </row>
    <row r="622341" spans="12:13" x14ac:dyDescent="0.25">
      <c r="L622341" s="472"/>
      <c r="M622341" s="472"/>
    </row>
    <row r="622342" spans="12:13" x14ac:dyDescent="0.25">
      <c r="L622342" s="472"/>
      <c r="M622342" s="472"/>
    </row>
    <row r="622343" spans="12:13" x14ac:dyDescent="0.25">
      <c r="L622343" s="472"/>
      <c r="M622343" s="472"/>
    </row>
    <row r="622415" spans="12:13" x14ac:dyDescent="0.25">
      <c r="L622415" s="472"/>
      <c r="M622415" s="472"/>
    </row>
    <row r="622416" spans="12:13" x14ac:dyDescent="0.25">
      <c r="L622416" s="472"/>
      <c r="M622416" s="472"/>
    </row>
    <row r="622417" spans="12:13" x14ac:dyDescent="0.25">
      <c r="L622417" s="472"/>
      <c r="M622417" s="472"/>
    </row>
    <row r="622489" spans="12:13" x14ac:dyDescent="0.25">
      <c r="L622489" s="472"/>
      <c r="M622489" s="472"/>
    </row>
    <row r="622490" spans="12:13" x14ac:dyDescent="0.25">
      <c r="L622490" s="472"/>
      <c r="M622490" s="472"/>
    </row>
    <row r="622491" spans="12:13" x14ac:dyDescent="0.25">
      <c r="L622491" s="472"/>
      <c r="M622491" s="472"/>
    </row>
    <row r="622563" spans="12:13" x14ac:dyDescent="0.25">
      <c r="L622563" s="472"/>
      <c r="M622563" s="472"/>
    </row>
    <row r="622564" spans="12:13" x14ac:dyDescent="0.25">
      <c r="L622564" s="472"/>
      <c r="M622564" s="472"/>
    </row>
    <row r="622565" spans="12:13" x14ac:dyDescent="0.25">
      <c r="L622565" s="472"/>
      <c r="M622565" s="472"/>
    </row>
    <row r="622637" spans="12:13" x14ac:dyDescent="0.25">
      <c r="L622637" s="472"/>
      <c r="M622637" s="472"/>
    </row>
    <row r="622638" spans="12:13" x14ac:dyDescent="0.25">
      <c r="L622638" s="472"/>
      <c r="M622638" s="472"/>
    </row>
    <row r="622639" spans="12:13" x14ac:dyDescent="0.25">
      <c r="L622639" s="472"/>
      <c r="M622639" s="472"/>
    </row>
    <row r="622711" spans="12:13" x14ac:dyDescent="0.25">
      <c r="L622711" s="472"/>
      <c r="M622711" s="472"/>
    </row>
    <row r="622712" spans="12:13" x14ac:dyDescent="0.25">
      <c r="L622712" s="472"/>
      <c r="M622712" s="472"/>
    </row>
    <row r="622713" spans="12:13" x14ac:dyDescent="0.25">
      <c r="L622713" s="472"/>
      <c r="M622713" s="472"/>
    </row>
    <row r="622785" spans="12:13" x14ac:dyDescent="0.25">
      <c r="L622785" s="472"/>
      <c r="M622785" s="472"/>
    </row>
    <row r="622786" spans="12:13" x14ac:dyDescent="0.25">
      <c r="L622786" s="472"/>
      <c r="M622786" s="472"/>
    </row>
    <row r="622787" spans="12:13" x14ac:dyDescent="0.25">
      <c r="L622787" s="472"/>
      <c r="M622787" s="472"/>
    </row>
    <row r="622859" spans="12:13" x14ac:dyDescent="0.25">
      <c r="L622859" s="472"/>
      <c r="M622859" s="472"/>
    </row>
    <row r="622860" spans="12:13" x14ac:dyDescent="0.25">
      <c r="L622860" s="472"/>
      <c r="M622860" s="472"/>
    </row>
    <row r="622861" spans="12:13" x14ac:dyDescent="0.25">
      <c r="L622861" s="472"/>
      <c r="M622861" s="472"/>
    </row>
    <row r="622933" spans="12:13" x14ac:dyDescent="0.25">
      <c r="L622933" s="472"/>
      <c r="M622933" s="472"/>
    </row>
    <row r="622934" spans="12:13" x14ac:dyDescent="0.25">
      <c r="L622934" s="472"/>
      <c r="M622934" s="472"/>
    </row>
    <row r="622935" spans="12:13" x14ac:dyDescent="0.25">
      <c r="L622935" s="472"/>
      <c r="M622935" s="472"/>
    </row>
    <row r="623007" spans="12:13" x14ac:dyDescent="0.25">
      <c r="L623007" s="472"/>
      <c r="M623007" s="472"/>
    </row>
    <row r="623008" spans="12:13" x14ac:dyDescent="0.25">
      <c r="L623008" s="472"/>
      <c r="M623008" s="472"/>
    </row>
    <row r="623009" spans="12:13" x14ac:dyDescent="0.25">
      <c r="L623009" s="472"/>
      <c r="M623009" s="472"/>
    </row>
    <row r="623081" spans="12:13" x14ac:dyDescent="0.25">
      <c r="L623081" s="472"/>
      <c r="M623081" s="472"/>
    </row>
    <row r="623082" spans="12:13" x14ac:dyDescent="0.25">
      <c r="L623082" s="472"/>
      <c r="M623082" s="472"/>
    </row>
    <row r="623083" spans="12:13" x14ac:dyDescent="0.25">
      <c r="L623083" s="472"/>
      <c r="M623083" s="472"/>
    </row>
    <row r="623155" spans="12:13" x14ac:dyDescent="0.25">
      <c r="L623155" s="472"/>
      <c r="M623155" s="472"/>
    </row>
    <row r="623156" spans="12:13" x14ac:dyDescent="0.25">
      <c r="L623156" s="472"/>
      <c r="M623156" s="472"/>
    </row>
    <row r="623157" spans="12:13" x14ac:dyDescent="0.25">
      <c r="L623157" s="472"/>
      <c r="M623157" s="472"/>
    </row>
    <row r="623229" spans="12:13" x14ac:dyDescent="0.25">
      <c r="L623229" s="472"/>
      <c r="M623229" s="472"/>
    </row>
    <row r="623230" spans="12:13" x14ac:dyDescent="0.25">
      <c r="L623230" s="472"/>
      <c r="M623230" s="472"/>
    </row>
    <row r="623231" spans="12:13" x14ac:dyDescent="0.25">
      <c r="L623231" s="472"/>
      <c r="M623231" s="472"/>
    </row>
    <row r="623303" spans="12:13" x14ac:dyDescent="0.25">
      <c r="L623303" s="472"/>
      <c r="M623303" s="472"/>
    </row>
    <row r="623304" spans="12:13" x14ac:dyDescent="0.25">
      <c r="L623304" s="472"/>
      <c r="M623304" s="472"/>
    </row>
    <row r="623305" spans="12:13" x14ac:dyDescent="0.25">
      <c r="L623305" s="472"/>
      <c r="M623305" s="472"/>
    </row>
    <row r="623377" spans="12:13" x14ac:dyDescent="0.25">
      <c r="L623377" s="472"/>
      <c r="M623377" s="472"/>
    </row>
    <row r="623378" spans="12:13" x14ac:dyDescent="0.25">
      <c r="L623378" s="472"/>
      <c r="M623378" s="472"/>
    </row>
    <row r="623379" spans="12:13" x14ac:dyDescent="0.25">
      <c r="L623379" s="472"/>
      <c r="M623379" s="472"/>
    </row>
    <row r="623451" spans="12:13" x14ac:dyDescent="0.25">
      <c r="L623451" s="472"/>
      <c r="M623451" s="472"/>
    </row>
    <row r="623452" spans="12:13" x14ac:dyDescent="0.25">
      <c r="L623452" s="472"/>
      <c r="M623452" s="472"/>
    </row>
    <row r="623453" spans="12:13" x14ac:dyDescent="0.25">
      <c r="L623453" s="472"/>
      <c r="M623453" s="472"/>
    </row>
    <row r="623525" spans="12:13" x14ac:dyDescent="0.25">
      <c r="L623525" s="472"/>
      <c r="M623525" s="472"/>
    </row>
    <row r="623526" spans="12:13" x14ac:dyDescent="0.25">
      <c r="L623526" s="472"/>
      <c r="M623526" s="472"/>
    </row>
    <row r="623527" spans="12:13" x14ac:dyDescent="0.25">
      <c r="L623527" s="472"/>
      <c r="M623527" s="472"/>
    </row>
    <row r="623599" spans="12:13" x14ac:dyDescent="0.25">
      <c r="L623599" s="472"/>
      <c r="M623599" s="472"/>
    </row>
    <row r="623600" spans="12:13" x14ac:dyDescent="0.25">
      <c r="L623600" s="472"/>
      <c r="M623600" s="472"/>
    </row>
    <row r="623601" spans="12:13" x14ac:dyDescent="0.25">
      <c r="L623601" s="472"/>
      <c r="M623601" s="472"/>
    </row>
    <row r="623673" spans="12:13" x14ac:dyDescent="0.25">
      <c r="L623673" s="472"/>
      <c r="M623673" s="472"/>
    </row>
    <row r="623674" spans="12:13" x14ac:dyDescent="0.25">
      <c r="L623674" s="472"/>
      <c r="M623674" s="472"/>
    </row>
    <row r="623675" spans="12:13" x14ac:dyDescent="0.25">
      <c r="L623675" s="472"/>
      <c r="M623675" s="472"/>
    </row>
    <row r="623747" spans="12:13" x14ac:dyDescent="0.25">
      <c r="L623747" s="472"/>
      <c r="M623747" s="472"/>
    </row>
    <row r="623748" spans="12:13" x14ac:dyDescent="0.25">
      <c r="L623748" s="472"/>
      <c r="M623748" s="472"/>
    </row>
    <row r="623749" spans="12:13" x14ac:dyDescent="0.25">
      <c r="L623749" s="472"/>
      <c r="M623749" s="472"/>
    </row>
    <row r="623821" spans="12:13" x14ac:dyDescent="0.25">
      <c r="L623821" s="472"/>
      <c r="M623821" s="472"/>
    </row>
    <row r="623822" spans="12:13" x14ac:dyDescent="0.25">
      <c r="L623822" s="472"/>
      <c r="M623822" s="472"/>
    </row>
    <row r="623823" spans="12:13" x14ac:dyDescent="0.25">
      <c r="L623823" s="472"/>
      <c r="M623823" s="472"/>
    </row>
    <row r="623895" spans="12:13" x14ac:dyDescent="0.25">
      <c r="L623895" s="472"/>
      <c r="M623895" s="472"/>
    </row>
    <row r="623896" spans="12:13" x14ac:dyDescent="0.25">
      <c r="L623896" s="472"/>
      <c r="M623896" s="472"/>
    </row>
    <row r="623897" spans="12:13" x14ac:dyDescent="0.25">
      <c r="L623897" s="472"/>
      <c r="M623897" s="472"/>
    </row>
    <row r="623969" spans="12:13" x14ac:dyDescent="0.25">
      <c r="L623969" s="472"/>
      <c r="M623969" s="472"/>
    </row>
    <row r="623970" spans="12:13" x14ac:dyDescent="0.25">
      <c r="L623970" s="472"/>
      <c r="M623970" s="472"/>
    </row>
    <row r="623971" spans="12:13" x14ac:dyDescent="0.25">
      <c r="L623971" s="472"/>
      <c r="M623971" s="472"/>
    </row>
    <row r="624043" spans="12:13" x14ac:dyDescent="0.25">
      <c r="L624043" s="472"/>
      <c r="M624043" s="472"/>
    </row>
    <row r="624044" spans="12:13" x14ac:dyDescent="0.25">
      <c r="L624044" s="472"/>
      <c r="M624044" s="472"/>
    </row>
    <row r="624045" spans="12:13" x14ac:dyDescent="0.25">
      <c r="L624045" s="472"/>
      <c r="M624045" s="472"/>
    </row>
    <row r="624117" spans="12:13" x14ac:dyDescent="0.25">
      <c r="L624117" s="472"/>
      <c r="M624117" s="472"/>
    </row>
    <row r="624118" spans="12:13" x14ac:dyDescent="0.25">
      <c r="L624118" s="472"/>
      <c r="M624118" s="472"/>
    </row>
    <row r="624119" spans="12:13" x14ac:dyDescent="0.25">
      <c r="L624119" s="472"/>
      <c r="M624119" s="472"/>
    </row>
    <row r="624191" spans="12:13" x14ac:dyDescent="0.25">
      <c r="L624191" s="472"/>
      <c r="M624191" s="472"/>
    </row>
    <row r="624192" spans="12:13" x14ac:dyDescent="0.25">
      <c r="L624192" s="472"/>
      <c r="M624192" s="472"/>
    </row>
    <row r="624193" spans="12:13" x14ac:dyDescent="0.25">
      <c r="L624193" s="472"/>
      <c r="M624193" s="472"/>
    </row>
    <row r="624265" spans="12:13" x14ac:dyDescent="0.25">
      <c r="L624265" s="472"/>
      <c r="M624265" s="472"/>
    </row>
    <row r="624266" spans="12:13" x14ac:dyDescent="0.25">
      <c r="L624266" s="472"/>
      <c r="M624266" s="472"/>
    </row>
    <row r="624267" spans="12:13" x14ac:dyDescent="0.25">
      <c r="L624267" s="472"/>
      <c r="M624267" s="472"/>
    </row>
    <row r="624339" spans="12:13" x14ac:dyDescent="0.25">
      <c r="L624339" s="472"/>
      <c r="M624339" s="472"/>
    </row>
    <row r="624340" spans="12:13" x14ac:dyDescent="0.25">
      <c r="L624340" s="472"/>
      <c r="M624340" s="472"/>
    </row>
    <row r="624341" spans="12:13" x14ac:dyDescent="0.25">
      <c r="L624341" s="472"/>
      <c r="M624341" s="472"/>
    </row>
    <row r="624413" spans="12:13" x14ac:dyDescent="0.25">
      <c r="L624413" s="472"/>
      <c r="M624413" s="472"/>
    </row>
    <row r="624414" spans="12:13" x14ac:dyDescent="0.25">
      <c r="L624414" s="472"/>
      <c r="M624414" s="472"/>
    </row>
    <row r="624415" spans="12:13" x14ac:dyDescent="0.25">
      <c r="L624415" s="472"/>
      <c r="M624415" s="472"/>
    </row>
    <row r="624487" spans="12:13" x14ac:dyDescent="0.25">
      <c r="L624487" s="472"/>
      <c r="M624487" s="472"/>
    </row>
    <row r="624488" spans="12:13" x14ac:dyDescent="0.25">
      <c r="L624488" s="472"/>
      <c r="M624488" s="472"/>
    </row>
    <row r="624489" spans="12:13" x14ac:dyDescent="0.25">
      <c r="L624489" s="472"/>
      <c r="M624489" s="472"/>
    </row>
    <row r="624561" spans="12:13" x14ac:dyDescent="0.25">
      <c r="L624561" s="472"/>
      <c r="M624561" s="472"/>
    </row>
    <row r="624562" spans="12:13" x14ac:dyDescent="0.25">
      <c r="L624562" s="472"/>
      <c r="M624562" s="472"/>
    </row>
    <row r="624563" spans="12:13" x14ac:dyDescent="0.25">
      <c r="L624563" s="472"/>
      <c r="M624563" s="472"/>
    </row>
    <row r="624635" spans="12:13" x14ac:dyDescent="0.25">
      <c r="L624635" s="472"/>
      <c r="M624635" s="472"/>
    </row>
    <row r="624636" spans="12:13" x14ac:dyDescent="0.25">
      <c r="L624636" s="472"/>
      <c r="M624636" s="472"/>
    </row>
    <row r="624637" spans="12:13" x14ac:dyDescent="0.25">
      <c r="L624637" s="472"/>
      <c r="M624637" s="472"/>
    </row>
    <row r="624709" spans="12:13" x14ac:dyDescent="0.25">
      <c r="L624709" s="472"/>
      <c r="M624709" s="472"/>
    </row>
    <row r="624710" spans="12:13" x14ac:dyDescent="0.25">
      <c r="L624710" s="472"/>
      <c r="M624710" s="472"/>
    </row>
    <row r="624711" spans="12:13" x14ac:dyDescent="0.25">
      <c r="L624711" s="472"/>
      <c r="M624711" s="472"/>
    </row>
    <row r="624783" spans="12:13" x14ac:dyDescent="0.25">
      <c r="L624783" s="472"/>
      <c r="M624783" s="472"/>
    </row>
    <row r="624784" spans="12:13" x14ac:dyDescent="0.25">
      <c r="L624784" s="472"/>
      <c r="M624784" s="472"/>
    </row>
    <row r="624785" spans="12:13" x14ac:dyDescent="0.25">
      <c r="L624785" s="472"/>
      <c r="M624785" s="472"/>
    </row>
    <row r="624857" spans="12:13" x14ac:dyDescent="0.25">
      <c r="L624857" s="472"/>
      <c r="M624857" s="472"/>
    </row>
    <row r="624858" spans="12:13" x14ac:dyDescent="0.25">
      <c r="L624858" s="472"/>
      <c r="M624858" s="472"/>
    </row>
    <row r="624859" spans="12:13" x14ac:dyDescent="0.25">
      <c r="L624859" s="472"/>
      <c r="M624859" s="472"/>
    </row>
    <row r="624931" spans="12:13" x14ac:dyDescent="0.25">
      <c r="L624931" s="472"/>
      <c r="M624931" s="472"/>
    </row>
    <row r="624932" spans="12:13" x14ac:dyDescent="0.25">
      <c r="L624932" s="472"/>
      <c r="M624932" s="472"/>
    </row>
    <row r="624933" spans="12:13" x14ac:dyDescent="0.25">
      <c r="L624933" s="472"/>
      <c r="M624933" s="472"/>
    </row>
    <row r="625005" spans="12:13" x14ac:dyDescent="0.25">
      <c r="L625005" s="472"/>
      <c r="M625005" s="472"/>
    </row>
    <row r="625006" spans="12:13" x14ac:dyDescent="0.25">
      <c r="L625006" s="472"/>
      <c r="M625006" s="472"/>
    </row>
    <row r="625007" spans="12:13" x14ac:dyDescent="0.25">
      <c r="L625007" s="472"/>
      <c r="M625007" s="472"/>
    </row>
    <row r="625079" spans="12:13" x14ac:dyDescent="0.25">
      <c r="L625079" s="472"/>
      <c r="M625079" s="472"/>
    </row>
    <row r="625080" spans="12:13" x14ac:dyDescent="0.25">
      <c r="L625080" s="472"/>
      <c r="M625080" s="472"/>
    </row>
    <row r="625081" spans="12:13" x14ac:dyDescent="0.25">
      <c r="L625081" s="472"/>
      <c r="M625081" s="472"/>
    </row>
    <row r="625153" spans="12:13" x14ac:dyDescent="0.25">
      <c r="L625153" s="472"/>
      <c r="M625153" s="472"/>
    </row>
    <row r="625154" spans="12:13" x14ac:dyDescent="0.25">
      <c r="L625154" s="472"/>
      <c r="M625154" s="472"/>
    </row>
    <row r="625155" spans="12:13" x14ac:dyDescent="0.25">
      <c r="L625155" s="472"/>
      <c r="M625155" s="472"/>
    </row>
    <row r="625227" spans="12:13" x14ac:dyDescent="0.25">
      <c r="L625227" s="472"/>
      <c r="M625227" s="472"/>
    </row>
    <row r="625228" spans="12:13" x14ac:dyDescent="0.25">
      <c r="L625228" s="472"/>
      <c r="M625228" s="472"/>
    </row>
    <row r="625229" spans="12:13" x14ac:dyDescent="0.25">
      <c r="L625229" s="472"/>
      <c r="M625229" s="472"/>
    </row>
    <row r="625301" spans="12:13" x14ac:dyDescent="0.25">
      <c r="L625301" s="472"/>
      <c r="M625301" s="472"/>
    </row>
    <row r="625302" spans="12:13" x14ac:dyDescent="0.25">
      <c r="L625302" s="472"/>
      <c r="M625302" s="472"/>
    </row>
    <row r="625303" spans="12:13" x14ac:dyDescent="0.25">
      <c r="L625303" s="472"/>
      <c r="M625303" s="472"/>
    </row>
    <row r="625375" spans="12:13" x14ac:dyDescent="0.25">
      <c r="L625375" s="472"/>
      <c r="M625375" s="472"/>
    </row>
    <row r="625376" spans="12:13" x14ac:dyDescent="0.25">
      <c r="L625376" s="472"/>
      <c r="M625376" s="472"/>
    </row>
    <row r="625377" spans="12:13" x14ac:dyDescent="0.25">
      <c r="L625377" s="472"/>
      <c r="M625377" s="472"/>
    </row>
    <row r="625449" spans="12:13" x14ac:dyDescent="0.25">
      <c r="L625449" s="472"/>
      <c r="M625449" s="472"/>
    </row>
    <row r="625450" spans="12:13" x14ac:dyDescent="0.25">
      <c r="L625450" s="472"/>
      <c r="M625450" s="472"/>
    </row>
    <row r="625451" spans="12:13" x14ac:dyDescent="0.25">
      <c r="L625451" s="472"/>
      <c r="M625451" s="472"/>
    </row>
    <row r="625523" spans="12:13" x14ac:dyDescent="0.25">
      <c r="L625523" s="472"/>
      <c r="M625523" s="472"/>
    </row>
    <row r="625524" spans="12:13" x14ac:dyDescent="0.25">
      <c r="L625524" s="472"/>
      <c r="M625524" s="472"/>
    </row>
    <row r="625525" spans="12:13" x14ac:dyDescent="0.25">
      <c r="L625525" s="472"/>
      <c r="M625525" s="472"/>
    </row>
    <row r="625597" spans="12:13" x14ac:dyDescent="0.25">
      <c r="L625597" s="472"/>
      <c r="M625597" s="472"/>
    </row>
    <row r="625598" spans="12:13" x14ac:dyDescent="0.25">
      <c r="L625598" s="472"/>
      <c r="M625598" s="472"/>
    </row>
    <row r="625599" spans="12:13" x14ac:dyDescent="0.25">
      <c r="L625599" s="472"/>
      <c r="M625599" s="472"/>
    </row>
    <row r="625671" spans="12:13" x14ac:dyDescent="0.25">
      <c r="L625671" s="472"/>
      <c r="M625671" s="472"/>
    </row>
    <row r="625672" spans="12:13" x14ac:dyDescent="0.25">
      <c r="L625672" s="472"/>
      <c r="M625672" s="472"/>
    </row>
    <row r="625673" spans="12:13" x14ac:dyDescent="0.25">
      <c r="L625673" s="472"/>
      <c r="M625673" s="472"/>
    </row>
    <row r="625745" spans="12:13" x14ac:dyDescent="0.25">
      <c r="L625745" s="472"/>
      <c r="M625745" s="472"/>
    </row>
    <row r="625746" spans="12:13" x14ac:dyDescent="0.25">
      <c r="L625746" s="472"/>
      <c r="M625746" s="472"/>
    </row>
    <row r="625747" spans="12:13" x14ac:dyDescent="0.25">
      <c r="L625747" s="472"/>
      <c r="M625747" s="472"/>
    </row>
    <row r="625819" spans="12:13" x14ac:dyDescent="0.25">
      <c r="L625819" s="472"/>
      <c r="M625819" s="472"/>
    </row>
    <row r="625820" spans="12:13" x14ac:dyDescent="0.25">
      <c r="L625820" s="472"/>
      <c r="M625820" s="472"/>
    </row>
    <row r="625821" spans="12:13" x14ac:dyDescent="0.25">
      <c r="L625821" s="472"/>
      <c r="M625821" s="472"/>
    </row>
    <row r="625893" spans="12:13" x14ac:dyDescent="0.25">
      <c r="L625893" s="472"/>
      <c r="M625893" s="472"/>
    </row>
    <row r="625894" spans="12:13" x14ac:dyDescent="0.25">
      <c r="L625894" s="472"/>
      <c r="M625894" s="472"/>
    </row>
    <row r="625895" spans="12:13" x14ac:dyDescent="0.25">
      <c r="L625895" s="472"/>
      <c r="M625895" s="472"/>
    </row>
    <row r="625967" spans="12:13" x14ac:dyDescent="0.25">
      <c r="L625967" s="472"/>
      <c r="M625967" s="472"/>
    </row>
    <row r="625968" spans="12:13" x14ac:dyDescent="0.25">
      <c r="L625968" s="472"/>
      <c r="M625968" s="472"/>
    </row>
    <row r="625969" spans="12:13" x14ac:dyDescent="0.25">
      <c r="L625969" s="472"/>
      <c r="M625969" s="472"/>
    </row>
    <row r="626041" spans="12:13" x14ac:dyDescent="0.25">
      <c r="L626041" s="472"/>
      <c r="M626041" s="472"/>
    </row>
    <row r="626042" spans="12:13" x14ac:dyDescent="0.25">
      <c r="L626042" s="472"/>
      <c r="M626042" s="472"/>
    </row>
    <row r="626043" spans="12:13" x14ac:dyDescent="0.25">
      <c r="L626043" s="472"/>
      <c r="M626043" s="472"/>
    </row>
    <row r="626115" spans="12:13" x14ac:dyDescent="0.25">
      <c r="L626115" s="472"/>
      <c r="M626115" s="472"/>
    </row>
    <row r="626116" spans="12:13" x14ac:dyDescent="0.25">
      <c r="L626116" s="472"/>
      <c r="M626116" s="472"/>
    </row>
    <row r="626117" spans="12:13" x14ac:dyDescent="0.25">
      <c r="L626117" s="472"/>
      <c r="M626117" s="472"/>
    </row>
    <row r="626189" spans="12:13" x14ac:dyDescent="0.25">
      <c r="L626189" s="472"/>
      <c r="M626189" s="472"/>
    </row>
    <row r="626190" spans="12:13" x14ac:dyDescent="0.25">
      <c r="L626190" s="472"/>
      <c r="M626190" s="472"/>
    </row>
    <row r="626191" spans="12:13" x14ac:dyDescent="0.25">
      <c r="L626191" s="472"/>
      <c r="M626191" s="472"/>
    </row>
    <row r="626263" spans="12:13" x14ac:dyDescent="0.25">
      <c r="L626263" s="472"/>
      <c r="M626263" s="472"/>
    </row>
    <row r="626264" spans="12:13" x14ac:dyDescent="0.25">
      <c r="L626264" s="472"/>
      <c r="M626264" s="472"/>
    </row>
    <row r="626265" spans="12:13" x14ac:dyDescent="0.25">
      <c r="L626265" s="472"/>
      <c r="M626265" s="472"/>
    </row>
    <row r="626337" spans="12:13" x14ac:dyDescent="0.25">
      <c r="L626337" s="472"/>
      <c r="M626337" s="472"/>
    </row>
    <row r="626338" spans="12:13" x14ac:dyDescent="0.25">
      <c r="L626338" s="472"/>
      <c r="M626338" s="472"/>
    </row>
    <row r="626339" spans="12:13" x14ac:dyDescent="0.25">
      <c r="L626339" s="472"/>
      <c r="M626339" s="472"/>
    </row>
    <row r="626411" spans="12:13" x14ac:dyDescent="0.25">
      <c r="L626411" s="472"/>
      <c r="M626411" s="472"/>
    </row>
    <row r="626412" spans="12:13" x14ac:dyDescent="0.25">
      <c r="L626412" s="472"/>
      <c r="M626412" s="472"/>
    </row>
    <row r="626413" spans="12:13" x14ac:dyDescent="0.25">
      <c r="L626413" s="472"/>
      <c r="M626413" s="472"/>
    </row>
    <row r="626485" spans="12:13" x14ac:dyDescent="0.25">
      <c r="L626485" s="472"/>
      <c r="M626485" s="472"/>
    </row>
    <row r="626486" spans="12:13" x14ac:dyDescent="0.25">
      <c r="L626486" s="472"/>
      <c r="M626486" s="472"/>
    </row>
    <row r="626487" spans="12:13" x14ac:dyDescent="0.25">
      <c r="L626487" s="472"/>
      <c r="M626487" s="472"/>
    </row>
    <row r="626559" spans="12:13" x14ac:dyDescent="0.25">
      <c r="L626559" s="472"/>
      <c r="M626559" s="472"/>
    </row>
    <row r="626560" spans="12:13" x14ac:dyDescent="0.25">
      <c r="L626560" s="472"/>
      <c r="M626560" s="472"/>
    </row>
    <row r="626561" spans="12:13" x14ac:dyDescent="0.25">
      <c r="L626561" s="472"/>
      <c r="M626561" s="472"/>
    </row>
    <row r="626633" spans="12:13" x14ac:dyDescent="0.25">
      <c r="L626633" s="472"/>
      <c r="M626633" s="472"/>
    </row>
    <row r="626634" spans="12:13" x14ac:dyDescent="0.25">
      <c r="L626634" s="472"/>
      <c r="M626634" s="472"/>
    </row>
    <row r="626635" spans="12:13" x14ac:dyDescent="0.25">
      <c r="L626635" s="472"/>
      <c r="M626635" s="472"/>
    </row>
    <row r="626707" spans="12:13" x14ac:dyDescent="0.25">
      <c r="L626707" s="472"/>
      <c r="M626707" s="472"/>
    </row>
    <row r="626708" spans="12:13" x14ac:dyDescent="0.25">
      <c r="L626708" s="472"/>
      <c r="M626708" s="472"/>
    </row>
    <row r="626709" spans="12:13" x14ac:dyDescent="0.25">
      <c r="L626709" s="472"/>
      <c r="M626709" s="472"/>
    </row>
    <row r="626781" spans="12:13" x14ac:dyDescent="0.25">
      <c r="L626781" s="472"/>
      <c r="M626781" s="472"/>
    </row>
    <row r="626782" spans="12:13" x14ac:dyDescent="0.25">
      <c r="L626782" s="472"/>
      <c r="M626782" s="472"/>
    </row>
    <row r="626783" spans="12:13" x14ac:dyDescent="0.25">
      <c r="L626783" s="472"/>
      <c r="M626783" s="472"/>
    </row>
    <row r="626855" spans="12:13" x14ac:dyDescent="0.25">
      <c r="L626855" s="472"/>
      <c r="M626855" s="472"/>
    </row>
    <row r="626856" spans="12:13" x14ac:dyDescent="0.25">
      <c r="L626856" s="472"/>
      <c r="M626856" s="472"/>
    </row>
    <row r="626857" spans="12:13" x14ac:dyDescent="0.25">
      <c r="L626857" s="472"/>
      <c r="M626857" s="472"/>
    </row>
    <row r="626929" spans="12:13" x14ac:dyDescent="0.25">
      <c r="L626929" s="472"/>
      <c r="M626929" s="472"/>
    </row>
    <row r="626930" spans="12:13" x14ac:dyDescent="0.25">
      <c r="L626930" s="472"/>
      <c r="M626930" s="472"/>
    </row>
    <row r="626931" spans="12:13" x14ac:dyDescent="0.25">
      <c r="L626931" s="472"/>
      <c r="M626931" s="472"/>
    </row>
    <row r="627003" spans="12:13" x14ac:dyDescent="0.25">
      <c r="L627003" s="472"/>
      <c r="M627003" s="472"/>
    </row>
    <row r="627004" spans="12:13" x14ac:dyDescent="0.25">
      <c r="L627004" s="472"/>
      <c r="M627004" s="472"/>
    </row>
    <row r="627005" spans="12:13" x14ac:dyDescent="0.25">
      <c r="L627005" s="472"/>
      <c r="M627005" s="472"/>
    </row>
    <row r="627077" spans="12:13" x14ac:dyDescent="0.25">
      <c r="L627077" s="472"/>
      <c r="M627077" s="472"/>
    </row>
    <row r="627078" spans="12:13" x14ac:dyDescent="0.25">
      <c r="L627078" s="472"/>
      <c r="M627078" s="472"/>
    </row>
    <row r="627079" spans="12:13" x14ac:dyDescent="0.25">
      <c r="L627079" s="472"/>
      <c r="M627079" s="472"/>
    </row>
    <row r="627151" spans="12:13" x14ac:dyDescent="0.25">
      <c r="L627151" s="472"/>
      <c r="M627151" s="472"/>
    </row>
    <row r="627152" spans="12:13" x14ac:dyDescent="0.25">
      <c r="L627152" s="472"/>
      <c r="M627152" s="472"/>
    </row>
    <row r="627153" spans="12:13" x14ac:dyDescent="0.25">
      <c r="L627153" s="472"/>
      <c r="M627153" s="472"/>
    </row>
    <row r="627225" spans="12:13" x14ac:dyDescent="0.25">
      <c r="L627225" s="472"/>
      <c r="M627225" s="472"/>
    </row>
    <row r="627226" spans="12:13" x14ac:dyDescent="0.25">
      <c r="L627226" s="472"/>
      <c r="M627226" s="472"/>
    </row>
    <row r="627227" spans="12:13" x14ac:dyDescent="0.25">
      <c r="L627227" s="472"/>
      <c r="M627227" s="472"/>
    </row>
    <row r="627299" spans="12:13" x14ac:dyDescent="0.25">
      <c r="L627299" s="472"/>
      <c r="M627299" s="472"/>
    </row>
    <row r="627300" spans="12:13" x14ac:dyDescent="0.25">
      <c r="L627300" s="472"/>
      <c r="M627300" s="472"/>
    </row>
    <row r="627301" spans="12:13" x14ac:dyDescent="0.25">
      <c r="L627301" s="472"/>
      <c r="M627301" s="472"/>
    </row>
    <row r="627373" spans="12:13" x14ac:dyDescent="0.25">
      <c r="L627373" s="472"/>
      <c r="M627373" s="472"/>
    </row>
    <row r="627374" spans="12:13" x14ac:dyDescent="0.25">
      <c r="L627374" s="472"/>
      <c r="M627374" s="472"/>
    </row>
    <row r="627375" spans="12:13" x14ac:dyDescent="0.25">
      <c r="L627375" s="472"/>
      <c r="M627375" s="472"/>
    </row>
    <row r="627447" spans="12:13" x14ac:dyDescent="0.25">
      <c r="L627447" s="472"/>
      <c r="M627447" s="472"/>
    </row>
    <row r="627448" spans="12:13" x14ac:dyDescent="0.25">
      <c r="L627448" s="472"/>
      <c r="M627448" s="472"/>
    </row>
    <row r="627449" spans="12:13" x14ac:dyDescent="0.25">
      <c r="L627449" s="472"/>
      <c r="M627449" s="472"/>
    </row>
    <row r="627521" spans="12:13" x14ac:dyDescent="0.25">
      <c r="L627521" s="472"/>
      <c r="M627521" s="472"/>
    </row>
    <row r="627522" spans="12:13" x14ac:dyDescent="0.25">
      <c r="L627522" s="472"/>
      <c r="M627522" s="472"/>
    </row>
    <row r="627523" spans="12:13" x14ac:dyDescent="0.25">
      <c r="L627523" s="472"/>
      <c r="M627523" s="472"/>
    </row>
    <row r="627595" spans="12:13" x14ac:dyDescent="0.25">
      <c r="L627595" s="472"/>
      <c r="M627595" s="472"/>
    </row>
    <row r="627596" spans="12:13" x14ac:dyDescent="0.25">
      <c r="L627596" s="472"/>
      <c r="M627596" s="472"/>
    </row>
    <row r="627597" spans="12:13" x14ac:dyDescent="0.25">
      <c r="L627597" s="472"/>
      <c r="M627597" s="472"/>
    </row>
    <row r="627669" spans="12:13" x14ac:dyDescent="0.25">
      <c r="L627669" s="472"/>
      <c r="M627669" s="472"/>
    </row>
    <row r="627670" spans="12:13" x14ac:dyDescent="0.25">
      <c r="L627670" s="472"/>
      <c r="M627670" s="472"/>
    </row>
    <row r="627671" spans="12:13" x14ac:dyDescent="0.25">
      <c r="L627671" s="472"/>
      <c r="M627671" s="472"/>
    </row>
    <row r="627743" spans="12:13" x14ac:dyDescent="0.25">
      <c r="L627743" s="472"/>
      <c r="M627743" s="472"/>
    </row>
    <row r="627744" spans="12:13" x14ac:dyDescent="0.25">
      <c r="L627744" s="472"/>
      <c r="M627744" s="472"/>
    </row>
    <row r="627745" spans="12:13" x14ac:dyDescent="0.25">
      <c r="L627745" s="472"/>
      <c r="M627745" s="472"/>
    </row>
    <row r="627817" spans="12:13" x14ac:dyDescent="0.25">
      <c r="L627817" s="472"/>
      <c r="M627817" s="472"/>
    </row>
    <row r="627818" spans="12:13" x14ac:dyDescent="0.25">
      <c r="L627818" s="472"/>
      <c r="M627818" s="472"/>
    </row>
    <row r="627819" spans="12:13" x14ac:dyDescent="0.25">
      <c r="L627819" s="472"/>
      <c r="M627819" s="472"/>
    </row>
    <row r="627891" spans="12:13" x14ac:dyDescent="0.25">
      <c r="L627891" s="472"/>
      <c r="M627891" s="472"/>
    </row>
    <row r="627892" spans="12:13" x14ac:dyDescent="0.25">
      <c r="L627892" s="472"/>
      <c r="M627892" s="472"/>
    </row>
    <row r="627893" spans="12:13" x14ac:dyDescent="0.25">
      <c r="L627893" s="472"/>
      <c r="M627893" s="472"/>
    </row>
    <row r="627965" spans="12:13" x14ac:dyDescent="0.25">
      <c r="L627965" s="472"/>
      <c r="M627965" s="472"/>
    </row>
    <row r="627966" spans="12:13" x14ac:dyDescent="0.25">
      <c r="L627966" s="472"/>
      <c r="M627966" s="472"/>
    </row>
    <row r="627967" spans="12:13" x14ac:dyDescent="0.25">
      <c r="L627967" s="472"/>
      <c r="M627967" s="472"/>
    </row>
    <row r="628039" spans="12:13" x14ac:dyDescent="0.25">
      <c r="L628039" s="472"/>
      <c r="M628039" s="472"/>
    </row>
    <row r="628040" spans="12:13" x14ac:dyDescent="0.25">
      <c r="L628040" s="472"/>
      <c r="M628040" s="472"/>
    </row>
    <row r="628041" spans="12:13" x14ac:dyDescent="0.25">
      <c r="L628041" s="472"/>
      <c r="M628041" s="472"/>
    </row>
    <row r="628113" spans="12:13" x14ac:dyDescent="0.25">
      <c r="L628113" s="472"/>
      <c r="M628113" s="472"/>
    </row>
    <row r="628114" spans="12:13" x14ac:dyDescent="0.25">
      <c r="L628114" s="472"/>
      <c r="M628114" s="472"/>
    </row>
    <row r="628115" spans="12:13" x14ac:dyDescent="0.25">
      <c r="L628115" s="472"/>
      <c r="M628115" s="472"/>
    </row>
    <row r="628187" spans="12:13" x14ac:dyDescent="0.25">
      <c r="L628187" s="472"/>
      <c r="M628187" s="472"/>
    </row>
    <row r="628188" spans="12:13" x14ac:dyDescent="0.25">
      <c r="L628188" s="472"/>
      <c r="M628188" s="472"/>
    </row>
    <row r="628189" spans="12:13" x14ac:dyDescent="0.25">
      <c r="L628189" s="472"/>
      <c r="M628189" s="472"/>
    </row>
    <row r="628261" spans="12:13" x14ac:dyDescent="0.25">
      <c r="L628261" s="472"/>
      <c r="M628261" s="472"/>
    </row>
    <row r="628262" spans="12:13" x14ac:dyDescent="0.25">
      <c r="L628262" s="472"/>
      <c r="M628262" s="472"/>
    </row>
    <row r="628263" spans="12:13" x14ac:dyDescent="0.25">
      <c r="L628263" s="472"/>
      <c r="M628263" s="472"/>
    </row>
    <row r="628335" spans="12:13" x14ac:dyDescent="0.25">
      <c r="L628335" s="472"/>
      <c r="M628335" s="472"/>
    </row>
    <row r="628336" spans="12:13" x14ac:dyDescent="0.25">
      <c r="L628336" s="472"/>
      <c r="M628336" s="472"/>
    </row>
    <row r="628337" spans="12:13" x14ac:dyDescent="0.25">
      <c r="L628337" s="472"/>
      <c r="M628337" s="472"/>
    </row>
    <row r="628409" spans="12:13" x14ac:dyDescent="0.25">
      <c r="L628409" s="472"/>
      <c r="M628409" s="472"/>
    </row>
    <row r="628410" spans="12:13" x14ac:dyDescent="0.25">
      <c r="L628410" s="472"/>
      <c r="M628410" s="472"/>
    </row>
    <row r="628411" spans="12:13" x14ac:dyDescent="0.25">
      <c r="L628411" s="472"/>
      <c r="M628411" s="472"/>
    </row>
    <row r="628483" spans="12:13" x14ac:dyDescent="0.25">
      <c r="L628483" s="472"/>
      <c r="M628483" s="472"/>
    </row>
    <row r="628484" spans="12:13" x14ac:dyDescent="0.25">
      <c r="L628484" s="472"/>
      <c r="M628484" s="472"/>
    </row>
    <row r="628485" spans="12:13" x14ac:dyDescent="0.25">
      <c r="L628485" s="472"/>
      <c r="M628485" s="472"/>
    </row>
    <row r="628557" spans="12:13" x14ac:dyDescent="0.25">
      <c r="L628557" s="472"/>
      <c r="M628557" s="472"/>
    </row>
    <row r="628558" spans="12:13" x14ac:dyDescent="0.25">
      <c r="L628558" s="472"/>
      <c r="M628558" s="472"/>
    </row>
    <row r="628559" spans="12:13" x14ac:dyDescent="0.25">
      <c r="L628559" s="472"/>
      <c r="M628559" s="472"/>
    </row>
    <row r="628631" spans="12:13" x14ac:dyDescent="0.25">
      <c r="L628631" s="472"/>
      <c r="M628631" s="472"/>
    </row>
    <row r="628632" spans="12:13" x14ac:dyDescent="0.25">
      <c r="L628632" s="472"/>
      <c r="M628632" s="472"/>
    </row>
    <row r="628633" spans="12:13" x14ac:dyDescent="0.25">
      <c r="L628633" s="472"/>
      <c r="M628633" s="472"/>
    </row>
    <row r="628705" spans="12:13" x14ac:dyDescent="0.25">
      <c r="L628705" s="472"/>
      <c r="M628705" s="472"/>
    </row>
    <row r="628706" spans="12:13" x14ac:dyDescent="0.25">
      <c r="L628706" s="472"/>
      <c r="M628706" s="472"/>
    </row>
    <row r="628707" spans="12:13" x14ac:dyDescent="0.25">
      <c r="L628707" s="472"/>
      <c r="M628707" s="472"/>
    </row>
    <row r="628779" spans="12:13" x14ac:dyDescent="0.25">
      <c r="L628779" s="472"/>
      <c r="M628779" s="472"/>
    </row>
    <row r="628780" spans="12:13" x14ac:dyDescent="0.25">
      <c r="L628780" s="472"/>
      <c r="M628780" s="472"/>
    </row>
    <row r="628781" spans="12:13" x14ac:dyDescent="0.25">
      <c r="L628781" s="472"/>
      <c r="M628781" s="472"/>
    </row>
    <row r="628853" spans="12:13" x14ac:dyDescent="0.25">
      <c r="L628853" s="472"/>
      <c r="M628853" s="472"/>
    </row>
    <row r="628854" spans="12:13" x14ac:dyDescent="0.25">
      <c r="L628854" s="472"/>
      <c r="M628854" s="472"/>
    </row>
    <row r="628855" spans="12:13" x14ac:dyDescent="0.25">
      <c r="L628855" s="472"/>
      <c r="M628855" s="472"/>
    </row>
    <row r="628927" spans="12:13" x14ac:dyDescent="0.25">
      <c r="L628927" s="472"/>
      <c r="M628927" s="472"/>
    </row>
    <row r="628928" spans="12:13" x14ac:dyDescent="0.25">
      <c r="L628928" s="472"/>
      <c r="M628928" s="472"/>
    </row>
    <row r="628929" spans="12:13" x14ac:dyDescent="0.25">
      <c r="L628929" s="472"/>
      <c r="M628929" s="472"/>
    </row>
    <row r="629001" spans="12:13" x14ac:dyDescent="0.25">
      <c r="L629001" s="472"/>
      <c r="M629001" s="472"/>
    </row>
    <row r="629002" spans="12:13" x14ac:dyDescent="0.25">
      <c r="L629002" s="472"/>
      <c r="M629002" s="472"/>
    </row>
    <row r="629003" spans="12:13" x14ac:dyDescent="0.25">
      <c r="L629003" s="472"/>
      <c r="M629003" s="472"/>
    </row>
    <row r="629075" spans="12:13" x14ac:dyDescent="0.25">
      <c r="L629075" s="472"/>
      <c r="M629075" s="472"/>
    </row>
    <row r="629076" spans="12:13" x14ac:dyDescent="0.25">
      <c r="L629076" s="472"/>
      <c r="M629076" s="472"/>
    </row>
    <row r="629077" spans="12:13" x14ac:dyDescent="0.25">
      <c r="L629077" s="472"/>
      <c r="M629077" s="472"/>
    </row>
    <row r="629149" spans="12:13" x14ac:dyDescent="0.25">
      <c r="L629149" s="472"/>
      <c r="M629149" s="472"/>
    </row>
    <row r="629150" spans="12:13" x14ac:dyDescent="0.25">
      <c r="L629150" s="472"/>
      <c r="M629150" s="472"/>
    </row>
    <row r="629151" spans="12:13" x14ac:dyDescent="0.25">
      <c r="L629151" s="472"/>
      <c r="M629151" s="472"/>
    </row>
    <row r="629223" spans="12:13" x14ac:dyDescent="0.25">
      <c r="L629223" s="472"/>
      <c r="M629223" s="472"/>
    </row>
    <row r="629224" spans="12:13" x14ac:dyDescent="0.25">
      <c r="L629224" s="472"/>
      <c r="M629224" s="472"/>
    </row>
    <row r="629225" spans="12:13" x14ac:dyDescent="0.25">
      <c r="L629225" s="472"/>
      <c r="M629225" s="472"/>
    </row>
    <row r="629297" spans="12:13" x14ac:dyDescent="0.25">
      <c r="L629297" s="472"/>
      <c r="M629297" s="472"/>
    </row>
    <row r="629298" spans="12:13" x14ac:dyDescent="0.25">
      <c r="L629298" s="472"/>
      <c r="M629298" s="472"/>
    </row>
    <row r="629299" spans="12:13" x14ac:dyDescent="0.25">
      <c r="L629299" s="472"/>
      <c r="M629299" s="472"/>
    </row>
    <row r="629371" spans="12:13" x14ac:dyDescent="0.25">
      <c r="L629371" s="472"/>
      <c r="M629371" s="472"/>
    </row>
    <row r="629372" spans="12:13" x14ac:dyDescent="0.25">
      <c r="L629372" s="472"/>
      <c r="M629372" s="472"/>
    </row>
    <row r="629373" spans="12:13" x14ac:dyDescent="0.25">
      <c r="L629373" s="472"/>
      <c r="M629373" s="472"/>
    </row>
    <row r="629445" spans="12:13" x14ac:dyDescent="0.25">
      <c r="L629445" s="472"/>
      <c r="M629445" s="472"/>
    </row>
    <row r="629446" spans="12:13" x14ac:dyDescent="0.25">
      <c r="L629446" s="472"/>
      <c r="M629446" s="472"/>
    </row>
    <row r="629447" spans="12:13" x14ac:dyDescent="0.25">
      <c r="L629447" s="472"/>
      <c r="M629447" s="472"/>
    </row>
    <row r="629519" spans="12:13" x14ac:dyDescent="0.25">
      <c r="L629519" s="472"/>
      <c r="M629519" s="472"/>
    </row>
    <row r="629520" spans="12:13" x14ac:dyDescent="0.25">
      <c r="L629520" s="472"/>
      <c r="M629520" s="472"/>
    </row>
    <row r="629521" spans="12:13" x14ac:dyDescent="0.25">
      <c r="L629521" s="472"/>
      <c r="M629521" s="472"/>
    </row>
    <row r="629593" spans="12:13" x14ac:dyDescent="0.25">
      <c r="L629593" s="472"/>
      <c r="M629593" s="472"/>
    </row>
    <row r="629594" spans="12:13" x14ac:dyDescent="0.25">
      <c r="L629594" s="472"/>
      <c r="M629594" s="472"/>
    </row>
    <row r="629595" spans="12:13" x14ac:dyDescent="0.25">
      <c r="L629595" s="472"/>
      <c r="M629595" s="472"/>
    </row>
    <row r="629667" spans="12:13" x14ac:dyDescent="0.25">
      <c r="L629667" s="472"/>
      <c r="M629667" s="472"/>
    </row>
    <row r="629668" spans="12:13" x14ac:dyDescent="0.25">
      <c r="L629668" s="472"/>
      <c r="M629668" s="472"/>
    </row>
    <row r="629669" spans="12:13" x14ac:dyDescent="0.25">
      <c r="L629669" s="472"/>
      <c r="M629669" s="472"/>
    </row>
    <row r="629741" spans="12:13" x14ac:dyDescent="0.25">
      <c r="L629741" s="472"/>
      <c r="M629741" s="472"/>
    </row>
    <row r="629742" spans="12:13" x14ac:dyDescent="0.25">
      <c r="L629742" s="472"/>
      <c r="M629742" s="472"/>
    </row>
    <row r="629743" spans="12:13" x14ac:dyDescent="0.25">
      <c r="L629743" s="472"/>
      <c r="M629743" s="472"/>
    </row>
    <row r="629815" spans="12:13" x14ac:dyDescent="0.25">
      <c r="L629815" s="472"/>
      <c r="M629815" s="472"/>
    </row>
    <row r="629816" spans="12:13" x14ac:dyDescent="0.25">
      <c r="L629816" s="472"/>
      <c r="M629816" s="472"/>
    </row>
    <row r="629817" spans="12:13" x14ac:dyDescent="0.25">
      <c r="L629817" s="472"/>
      <c r="M629817" s="472"/>
    </row>
    <row r="629889" spans="12:13" x14ac:dyDescent="0.25">
      <c r="L629889" s="472"/>
      <c r="M629889" s="472"/>
    </row>
    <row r="629890" spans="12:13" x14ac:dyDescent="0.25">
      <c r="L629890" s="472"/>
      <c r="M629890" s="472"/>
    </row>
    <row r="629891" spans="12:13" x14ac:dyDescent="0.25">
      <c r="L629891" s="472"/>
      <c r="M629891" s="472"/>
    </row>
    <row r="629963" spans="12:13" x14ac:dyDescent="0.25">
      <c r="L629963" s="472"/>
      <c r="M629963" s="472"/>
    </row>
    <row r="629964" spans="12:13" x14ac:dyDescent="0.25">
      <c r="L629964" s="472"/>
      <c r="M629964" s="472"/>
    </row>
    <row r="629965" spans="12:13" x14ac:dyDescent="0.25">
      <c r="L629965" s="472"/>
      <c r="M629965" s="472"/>
    </row>
    <row r="630037" spans="12:13" x14ac:dyDescent="0.25">
      <c r="L630037" s="472"/>
      <c r="M630037" s="472"/>
    </row>
    <row r="630038" spans="12:13" x14ac:dyDescent="0.25">
      <c r="L630038" s="472"/>
      <c r="M630038" s="472"/>
    </row>
    <row r="630039" spans="12:13" x14ac:dyDescent="0.25">
      <c r="L630039" s="472"/>
      <c r="M630039" s="472"/>
    </row>
    <row r="630111" spans="12:13" x14ac:dyDescent="0.25">
      <c r="L630111" s="472"/>
      <c r="M630111" s="472"/>
    </row>
    <row r="630112" spans="12:13" x14ac:dyDescent="0.25">
      <c r="L630112" s="472"/>
      <c r="M630112" s="472"/>
    </row>
    <row r="630113" spans="12:13" x14ac:dyDescent="0.25">
      <c r="L630113" s="472"/>
      <c r="M630113" s="472"/>
    </row>
    <row r="630185" spans="12:13" x14ac:dyDescent="0.25">
      <c r="L630185" s="472"/>
      <c r="M630185" s="472"/>
    </row>
    <row r="630186" spans="12:13" x14ac:dyDescent="0.25">
      <c r="L630186" s="472"/>
      <c r="M630186" s="472"/>
    </row>
    <row r="630187" spans="12:13" x14ac:dyDescent="0.25">
      <c r="L630187" s="472"/>
      <c r="M630187" s="472"/>
    </row>
    <row r="630259" spans="12:13" x14ac:dyDescent="0.25">
      <c r="L630259" s="472"/>
      <c r="M630259" s="472"/>
    </row>
    <row r="630260" spans="12:13" x14ac:dyDescent="0.25">
      <c r="L630260" s="472"/>
      <c r="M630260" s="472"/>
    </row>
    <row r="630261" spans="12:13" x14ac:dyDescent="0.25">
      <c r="L630261" s="472"/>
      <c r="M630261" s="472"/>
    </row>
    <row r="630333" spans="12:13" x14ac:dyDescent="0.25">
      <c r="L630333" s="472"/>
      <c r="M630333" s="472"/>
    </row>
    <row r="630334" spans="12:13" x14ac:dyDescent="0.25">
      <c r="L630334" s="472"/>
      <c r="M630334" s="472"/>
    </row>
    <row r="630335" spans="12:13" x14ac:dyDescent="0.25">
      <c r="L630335" s="472"/>
      <c r="M630335" s="472"/>
    </row>
    <row r="630407" spans="12:13" x14ac:dyDescent="0.25">
      <c r="L630407" s="472"/>
      <c r="M630407" s="472"/>
    </row>
    <row r="630408" spans="12:13" x14ac:dyDescent="0.25">
      <c r="L630408" s="472"/>
      <c r="M630408" s="472"/>
    </row>
    <row r="630409" spans="12:13" x14ac:dyDescent="0.25">
      <c r="L630409" s="472"/>
      <c r="M630409" s="472"/>
    </row>
    <row r="630481" spans="12:13" x14ac:dyDescent="0.25">
      <c r="L630481" s="472"/>
      <c r="M630481" s="472"/>
    </row>
    <row r="630482" spans="12:13" x14ac:dyDescent="0.25">
      <c r="L630482" s="472"/>
      <c r="M630482" s="472"/>
    </row>
    <row r="630483" spans="12:13" x14ac:dyDescent="0.25">
      <c r="L630483" s="472"/>
      <c r="M630483" s="472"/>
    </row>
    <row r="630555" spans="12:13" x14ac:dyDescent="0.25">
      <c r="L630555" s="472"/>
      <c r="M630555" s="472"/>
    </row>
    <row r="630556" spans="12:13" x14ac:dyDescent="0.25">
      <c r="L630556" s="472"/>
      <c r="M630556" s="472"/>
    </row>
    <row r="630557" spans="12:13" x14ac:dyDescent="0.25">
      <c r="L630557" s="472"/>
      <c r="M630557" s="472"/>
    </row>
    <row r="630629" spans="12:13" x14ac:dyDescent="0.25">
      <c r="L630629" s="472"/>
      <c r="M630629" s="472"/>
    </row>
    <row r="630630" spans="12:13" x14ac:dyDescent="0.25">
      <c r="L630630" s="472"/>
      <c r="M630630" s="472"/>
    </row>
    <row r="630631" spans="12:13" x14ac:dyDescent="0.25">
      <c r="L630631" s="472"/>
      <c r="M630631" s="472"/>
    </row>
    <row r="630703" spans="12:13" x14ac:dyDescent="0.25">
      <c r="L630703" s="472"/>
      <c r="M630703" s="472"/>
    </row>
    <row r="630704" spans="12:13" x14ac:dyDescent="0.25">
      <c r="L630704" s="472"/>
      <c r="M630704" s="472"/>
    </row>
    <row r="630705" spans="12:13" x14ac:dyDescent="0.25">
      <c r="L630705" s="472"/>
      <c r="M630705" s="472"/>
    </row>
    <row r="630777" spans="12:13" x14ac:dyDescent="0.25">
      <c r="L630777" s="472"/>
      <c r="M630777" s="472"/>
    </row>
    <row r="630778" spans="12:13" x14ac:dyDescent="0.25">
      <c r="L630778" s="472"/>
      <c r="M630778" s="472"/>
    </row>
    <row r="630779" spans="12:13" x14ac:dyDescent="0.25">
      <c r="L630779" s="472"/>
      <c r="M630779" s="472"/>
    </row>
    <row r="630851" spans="12:13" x14ac:dyDescent="0.25">
      <c r="L630851" s="472"/>
      <c r="M630851" s="472"/>
    </row>
    <row r="630852" spans="12:13" x14ac:dyDescent="0.25">
      <c r="L630852" s="472"/>
      <c r="M630852" s="472"/>
    </row>
    <row r="630853" spans="12:13" x14ac:dyDescent="0.25">
      <c r="L630853" s="472"/>
      <c r="M630853" s="472"/>
    </row>
    <row r="630925" spans="12:13" x14ac:dyDescent="0.25">
      <c r="L630925" s="472"/>
      <c r="M630925" s="472"/>
    </row>
    <row r="630926" spans="12:13" x14ac:dyDescent="0.25">
      <c r="L630926" s="472"/>
      <c r="M630926" s="472"/>
    </row>
    <row r="630927" spans="12:13" x14ac:dyDescent="0.25">
      <c r="L630927" s="472"/>
      <c r="M630927" s="472"/>
    </row>
    <row r="630999" spans="12:13" x14ac:dyDescent="0.25">
      <c r="L630999" s="472"/>
      <c r="M630999" s="472"/>
    </row>
    <row r="631000" spans="12:13" x14ac:dyDescent="0.25">
      <c r="L631000" s="472"/>
      <c r="M631000" s="472"/>
    </row>
    <row r="631001" spans="12:13" x14ac:dyDescent="0.25">
      <c r="L631001" s="472"/>
      <c r="M631001" s="472"/>
    </row>
    <row r="631073" spans="12:13" x14ac:dyDescent="0.25">
      <c r="L631073" s="472"/>
      <c r="M631073" s="472"/>
    </row>
    <row r="631074" spans="12:13" x14ac:dyDescent="0.25">
      <c r="L631074" s="472"/>
      <c r="M631074" s="472"/>
    </row>
    <row r="631075" spans="12:13" x14ac:dyDescent="0.25">
      <c r="L631075" s="472"/>
      <c r="M631075" s="472"/>
    </row>
    <row r="631147" spans="12:13" x14ac:dyDescent="0.25">
      <c r="L631147" s="472"/>
      <c r="M631147" s="472"/>
    </row>
    <row r="631148" spans="12:13" x14ac:dyDescent="0.25">
      <c r="L631148" s="472"/>
      <c r="M631148" s="472"/>
    </row>
    <row r="631149" spans="12:13" x14ac:dyDescent="0.25">
      <c r="L631149" s="472"/>
      <c r="M631149" s="472"/>
    </row>
    <row r="631221" spans="12:13" x14ac:dyDescent="0.25">
      <c r="L631221" s="472"/>
      <c r="M631221" s="472"/>
    </row>
    <row r="631222" spans="12:13" x14ac:dyDescent="0.25">
      <c r="L631222" s="472"/>
      <c r="M631222" s="472"/>
    </row>
    <row r="631223" spans="12:13" x14ac:dyDescent="0.25">
      <c r="L631223" s="472"/>
      <c r="M631223" s="472"/>
    </row>
    <row r="631295" spans="12:13" x14ac:dyDescent="0.25">
      <c r="L631295" s="472"/>
      <c r="M631295" s="472"/>
    </row>
    <row r="631296" spans="12:13" x14ac:dyDescent="0.25">
      <c r="L631296" s="472"/>
      <c r="M631296" s="472"/>
    </row>
    <row r="631297" spans="12:13" x14ac:dyDescent="0.25">
      <c r="L631297" s="472"/>
      <c r="M631297" s="472"/>
    </row>
    <row r="631369" spans="12:13" x14ac:dyDescent="0.25">
      <c r="L631369" s="472"/>
      <c r="M631369" s="472"/>
    </row>
    <row r="631370" spans="12:13" x14ac:dyDescent="0.25">
      <c r="L631370" s="472"/>
      <c r="M631370" s="472"/>
    </row>
    <row r="631371" spans="12:13" x14ac:dyDescent="0.25">
      <c r="L631371" s="472"/>
      <c r="M631371" s="472"/>
    </row>
    <row r="631443" spans="12:13" x14ac:dyDescent="0.25">
      <c r="L631443" s="472"/>
      <c r="M631443" s="472"/>
    </row>
    <row r="631444" spans="12:13" x14ac:dyDescent="0.25">
      <c r="L631444" s="472"/>
      <c r="M631444" s="472"/>
    </row>
    <row r="631445" spans="12:13" x14ac:dyDescent="0.25">
      <c r="L631445" s="472"/>
      <c r="M631445" s="472"/>
    </row>
    <row r="631517" spans="12:13" x14ac:dyDescent="0.25">
      <c r="L631517" s="472"/>
      <c r="M631517" s="472"/>
    </row>
    <row r="631518" spans="12:13" x14ac:dyDescent="0.25">
      <c r="L631518" s="472"/>
      <c r="M631518" s="472"/>
    </row>
    <row r="631519" spans="12:13" x14ac:dyDescent="0.25">
      <c r="L631519" s="472"/>
      <c r="M631519" s="472"/>
    </row>
    <row r="631591" spans="12:13" x14ac:dyDescent="0.25">
      <c r="L631591" s="472"/>
      <c r="M631591" s="472"/>
    </row>
    <row r="631592" spans="12:13" x14ac:dyDescent="0.25">
      <c r="L631592" s="472"/>
      <c r="M631592" s="472"/>
    </row>
    <row r="631593" spans="12:13" x14ac:dyDescent="0.25">
      <c r="L631593" s="472"/>
      <c r="M631593" s="472"/>
    </row>
    <row r="631665" spans="12:13" x14ac:dyDescent="0.25">
      <c r="L631665" s="472"/>
      <c r="M631665" s="472"/>
    </row>
    <row r="631666" spans="12:13" x14ac:dyDescent="0.25">
      <c r="L631666" s="472"/>
      <c r="M631666" s="472"/>
    </row>
    <row r="631667" spans="12:13" x14ac:dyDescent="0.25">
      <c r="L631667" s="472"/>
      <c r="M631667" s="472"/>
    </row>
    <row r="631739" spans="12:13" x14ac:dyDescent="0.25">
      <c r="L631739" s="472"/>
      <c r="M631739" s="472"/>
    </row>
    <row r="631740" spans="12:13" x14ac:dyDescent="0.25">
      <c r="L631740" s="472"/>
      <c r="M631740" s="472"/>
    </row>
    <row r="631741" spans="12:13" x14ac:dyDescent="0.25">
      <c r="L631741" s="472"/>
      <c r="M631741" s="472"/>
    </row>
    <row r="631813" spans="12:13" x14ac:dyDescent="0.25">
      <c r="L631813" s="472"/>
      <c r="M631813" s="472"/>
    </row>
    <row r="631814" spans="12:13" x14ac:dyDescent="0.25">
      <c r="L631814" s="472"/>
      <c r="M631814" s="472"/>
    </row>
    <row r="631815" spans="12:13" x14ac:dyDescent="0.25">
      <c r="L631815" s="472"/>
      <c r="M631815" s="472"/>
    </row>
    <row r="631887" spans="12:13" x14ac:dyDescent="0.25">
      <c r="L631887" s="472"/>
      <c r="M631887" s="472"/>
    </row>
    <row r="631888" spans="12:13" x14ac:dyDescent="0.25">
      <c r="L631888" s="472"/>
      <c r="M631888" s="472"/>
    </row>
    <row r="631889" spans="12:13" x14ac:dyDescent="0.25">
      <c r="L631889" s="472"/>
      <c r="M631889" s="472"/>
    </row>
    <row r="631961" spans="12:13" x14ac:dyDescent="0.25">
      <c r="L631961" s="472"/>
      <c r="M631961" s="472"/>
    </row>
    <row r="631962" spans="12:13" x14ac:dyDescent="0.25">
      <c r="L631962" s="472"/>
      <c r="M631962" s="472"/>
    </row>
    <row r="631963" spans="12:13" x14ac:dyDescent="0.25">
      <c r="L631963" s="472"/>
      <c r="M631963" s="472"/>
    </row>
    <row r="632035" spans="12:13" x14ac:dyDescent="0.25">
      <c r="L632035" s="472"/>
      <c r="M632035" s="472"/>
    </row>
    <row r="632036" spans="12:13" x14ac:dyDescent="0.25">
      <c r="L632036" s="472"/>
      <c r="M632036" s="472"/>
    </row>
    <row r="632037" spans="12:13" x14ac:dyDescent="0.25">
      <c r="L632037" s="472"/>
      <c r="M632037" s="472"/>
    </row>
    <row r="632109" spans="12:13" x14ac:dyDescent="0.25">
      <c r="L632109" s="472"/>
      <c r="M632109" s="472"/>
    </row>
    <row r="632110" spans="12:13" x14ac:dyDescent="0.25">
      <c r="L632110" s="472"/>
      <c r="M632110" s="472"/>
    </row>
    <row r="632111" spans="12:13" x14ac:dyDescent="0.25">
      <c r="L632111" s="472"/>
      <c r="M632111" s="472"/>
    </row>
    <row r="632183" spans="12:13" x14ac:dyDescent="0.25">
      <c r="L632183" s="472"/>
      <c r="M632183" s="472"/>
    </row>
    <row r="632184" spans="12:13" x14ac:dyDescent="0.25">
      <c r="L632184" s="472"/>
      <c r="M632184" s="472"/>
    </row>
    <row r="632185" spans="12:13" x14ac:dyDescent="0.25">
      <c r="L632185" s="472"/>
      <c r="M632185" s="472"/>
    </row>
    <row r="632257" spans="12:13" x14ac:dyDescent="0.25">
      <c r="L632257" s="472"/>
      <c r="M632257" s="472"/>
    </row>
    <row r="632258" spans="12:13" x14ac:dyDescent="0.25">
      <c r="L632258" s="472"/>
      <c r="M632258" s="472"/>
    </row>
    <row r="632259" spans="12:13" x14ac:dyDescent="0.25">
      <c r="L632259" s="472"/>
      <c r="M632259" s="472"/>
    </row>
    <row r="632331" spans="12:13" x14ac:dyDescent="0.25">
      <c r="L632331" s="472"/>
      <c r="M632331" s="472"/>
    </row>
    <row r="632332" spans="12:13" x14ac:dyDescent="0.25">
      <c r="L632332" s="472"/>
      <c r="M632332" s="472"/>
    </row>
    <row r="632333" spans="12:13" x14ac:dyDescent="0.25">
      <c r="L632333" s="472"/>
      <c r="M632333" s="472"/>
    </row>
    <row r="632405" spans="12:13" x14ac:dyDescent="0.25">
      <c r="L632405" s="472"/>
      <c r="M632405" s="472"/>
    </row>
    <row r="632406" spans="12:13" x14ac:dyDescent="0.25">
      <c r="L632406" s="472"/>
      <c r="M632406" s="472"/>
    </row>
    <row r="632407" spans="12:13" x14ac:dyDescent="0.25">
      <c r="L632407" s="472"/>
      <c r="M632407" s="472"/>
    </row>
    <row r="632479" spans="12:13" x14ac:dyDescent="0.25">
      <c r="L632479" s="472"/>
      <c r="M632479" s="472"/>
    </row>
    <row r="632480" spans="12:13" x14ac:dyDescent="0.25">
      <c r="L632480" s="472"/>
      <c r="M632480" s="472"/>
    </row>
    <row r="632481" spans="12:13" x14ac:dyDescent="0.25">
      <c r="L632481" s="472"/>
      <c r="M632481" s="472"/>
    </row>
    <row r="632553" spans="12:13" x14ac:dyDescent="0.25">
      <c r="L632553" s="472"/>
      <c r="M632553" s="472"/>
    </row>
    <row r="632554" spans="12:13" x14ac:dyDescent="0.25">
      <c r="L632554" s="472"/>
      <c r="M632554" s="472"/>
    </row>
    <row r="632555" spans="12:13" x14ac:dyDescent="0.25">
      <c r="L632555" s="472"/>
      <c r="M632555" s="472"/>
    </row>
    <row r="632627" spans="12:13" x14ac:dyDescent="0.25">
      <c r="L632627" s="472"/>
      <c r="M632627" s="472"/>
    </row>
    <row r="632628" spans="12:13" x14ac:dyDescent="0.25">
      <c r="L632628" s="472"/>
      <c r="M632628" s="472"/>
    </row>
    <row r="632629" spans="12:13" x14ac:dyDescent="0.25">
      <c r="L632629" s="472"/>
      <c r="M632629" s="472"/>
    </row>
    <row r="632701" spans="12:13" x14ac:dyDescent="0.25">
      <c r="L632701" s="472"/>
      <c r="M632701" s="472"/>
    </row>
    <row r="632702" spans="12:13" x14ac:dyDescent="0.25">
      <c r="L632702" s="472"/>
      <c r="M632702" s="472"/>
    </row>
    <row r="632703" spans="12:13" x14ac:dyDescent="0.25">
      <c r="L632703" s="472"/>
      <c r="M632703" s="472"/>
    </row>
    <row r="632775" spans="12:13" x14ac:dyDescent="0.25">
      <c r="L632775" s="472"/>
      <c r="M632775" s="472"/>
    </row>
    <row r="632776" spans="12:13" x14ac:dyDescent="0.25">
      <c r="L632776" s="472"/>
      <c r="M632776" s="472"/>
    </row>
    <row r="632777" spans="12:13" x14ac:dyDescent="0.25">
      <c r="L632777" s="472"/>
      <c r="M632777" s="472"/>
    </row>
    <row r="632849" spans="12:13" x14ac:dyDescent="0.25">
      <c r="L632849" s="472"/>
      <c r="M632849" s="472"/>
    </row>
    <row r="632850" spans="12:13" x14ac:dyDescent="0.25">
      <c r="L632850" s="472"/>
      <c r="M632850" s="472"/>
    </row>
    <row r="632851" spans="12:13" x14ac:dyDescent="0.25">
      <c r="L632851" s="472"/>
      <c r="M632851" s="472"/>
    </row>
    <row r="632923" spans="12:13" x14ac:dyDescent="0.25">
      <c r="L632923" s="472"/>
      <c r="M632923" s="472"/>
    </row>
    <row r="632924" spans="12:13" x14ac:dyDescent="0.25">
      <c r="L632924" s="472"/>
      <c r="M632924" s="472"/>
    </row>
    <row r="632925" spans="12:13" x14ac:dyDescent="0.25">
      <c r="L632925" s="472"/>
      <c r="M632925" s="472"/>
    </row>
    <row r="632997" spans="12:13" x14ac:dyDescent="0.25">
      <c r="L632997" s="472"/>
      <c r="M632997" s="472"/>
    </row>
    <row r="632998" spans="12:13" x14ac:dyDescent="0.25">
      <c r="L632998" s="472"/>
      <c r="M632998" s="472"/>
    </row>
    <row r="632999" spans="12:13" x14ac:dyDescent="0.25">
      <c r="L632999" s="472"/>
      <c r="M632999" s="472"/>
    </row>
    <row r="633071" spans="12:13" x14ac:dyDescent="0.25">
      <c r="L633071" s="472"/>
      <c r="M633071" s="472"/>
    </row>
    <row r="633072" spans="12:13" x14ac:dyDescent="0.25">
      <c r="L633072" s="472"/>
      <c r="M633072" s="472"/>
    </row>
    <row r="633073" spans="12:13" x14ac:dyDescent="0.25">
      <c r="L633073" s="472"/>
      <c r="M633073" s="472"/>
    </row>
    <row r="633145" spans="12:13" x14ac:dyDescent="0.25">
      <c r="L633145" s="472"/>
      <c r="M633145" s="472"/>
    </row>
    <row r="633146" spans="12:13" x14ac:dyDescent="0.25">
      <c r="L633146" s="472"/>
      <c r="M633146" s="472"/>
    </row>
    <row r="633147" spans="12:13" x14ac:dyDescent="0.25">
      <c r="L633147" s="472"/>
      <c r="M633147" s="472"/>
    </row>
    <row r="633219" spans="12:13" x14ac:dyDescent="0.25">
      <c r="L633219" s="472"/>
      <c r="M633219" s="472"/>
    </row>
    <row r="633220" spans="12:13" x14ac:dyDescent="0.25">
      <c r="L633220" s="472"/>
      <c r="M633220" s="472"/>
    </row>
    <row r="633221" spans="12:13" x14ac:dyDescent="0.25">
      <c r="L633221" s="472"/>
      <c r="M633221" s="472"/>
    </row>
    <row r="633293" spans="12:13" x14ac:dyDescent="0.25">
      <c r="L633293" s="472"/>
      <c r="M633293" s="472"/>
    </row>
    <row r="633294" spans="12:13" x14ac:dyDescent="0.25">
      <c r="L633294" s="472"/>
      <c r="M633294" s="472"/>
    </row>
    <row r="633295" spans="12:13" x14ac:dyDescent="0.25">
      <c r="L633295" s="472"/>
      <c r="M633295" s="472"/>
    </row>
    <row r="633367" spans="12:13" x14ac:dyDescent="0.25">
      <c r="L633367" s="472"/>
      <c r="M633367" s="472"/>
    </row>
    <row r="633368" spans="12:13" x14ac:dyDescent="0.25">
      <c r="L633368" s="472"/>
      <c r="M633368" s="472"/>
    </row>
    <row r="633369" spans="12:13" x14ac:dyDescent="0.25">
      <c r="L633369" s="472"/>
      <c r="M633369" s="472"/>
    </row>
    <row r="633441" spans="12:13" x14ac:dyDescent="0.25">
      <c r="L633441" s="472"/>
      <c r="M633441" s="472"/>
    </row>
    <row r="633442" spans="12:13" x14ac:dyDescent="0.25">
      <c r="L633442" s="472"/>
      <c r="M633442" s="472"/>
    </row>
    <row r="633443" spans="12:13" x14ac:dyDescent="0.25">
      <c r="L633443" s="472"/>
      <c r="M633443" s="472"/>
    </row>
    <row r="633515" spans="12:13" x14ac:dyDescent="0.25">
      <c r="L633515" s="472"/>
      <c r="M633515" s="472"/>
    </row>
    <row r="633516" spans="12:13" x14ac:dyDescent="0.25">
      <c r="L633516" s="472"/>
      <c r="M633516" s="472"/>
    </row>
    <row r="633517" spans="12:13" x14ac:dyDescent="0.25">
      <c r="L633517" s="472"/>
      <c r="M633517" s="472"/>
    </row>
    <row r="633589" spans="12:13" x14ac:dyDescent="0.25">
      <c r="L633589" s="472"/>
      <c r="M633589" s="472"/>
    </row>
    <row r="633590" spans="12:13" x14ac:dyDescent="0.25">
      <c r="L633590" s="472"/>
      <c r="M633590" s="472"/>
    </row>
    <row r="633591" spans="12:13" x14ac:dyDescent="0.25">
      <c r="L633591" s="472"/>
      <c r="M633591" s="472"/>
    </row>
    <row r="633663" spans="12:13" x14ac:dyDescent="0.25">
      <c r="L633663" s="472"/>
      <c r="M633663" s="472"/>
    </row>
    <row r="633664" spans="12:13" x14ac:dyDescent="0.25">
      <c r="L633664" s="472"/>
      <c r="M633664" s="472"/>
    </row>
    <row r="633665" spans="12:13" x14ac:dyDescent="0.25">
      <c r="L633665" s="472"/>
      <c r="M633665" s="472"/>
    </row>
    <row r="633737" spans="12:13" x14ac:dyDescent="0.25">
      <c r="L633737" s="472"/>
      <c r="M633737" s="472"/>
    </row>
    <row r="633738" spans="12:13" x14ac:dyDescent="0.25">
      <c r="L633738" s="472"/>
      <c r="M633738" s="472"/>
    </row>
    <row r="633739" spans="12:13" x14ac:dyDescent="0.25">
      <c r="L633739" s="472"/>
      <c r="M633739" s="472"/>
    </row>
    <row r="633811" spans="12:13" x14ac:dyDescent="0.25">
      <c r="L633811" s="472"/>
      <c r="M633811" s="472"/>
    </row>
    <row r="633812" spans="12:13" x14ac:dyDescent="0.25">
      <c r="L633812" s="472"/>
      <c r="M633812" s="472"/>
    </row>
    <row r="633813" spans="12:13" x14ac:dyDescent="0.25">
      <c r="L633813" s="472"/>
      <c r="M633813" s="472"/>
    </row>
    <row r="633885" spans="12:13" x14ac:dyDescent="0.25">
      <c r="L633885" s="472"/>
      <c r="M633885" s="472"/>
    </row>
    <row r="633886" spans="12:13" x14ac:dyDescent="0.25">
      <c r="L633886" s="472"/>
      <c r="M633886" s="472"/>
    </row>
    <row r="633887" spans="12:13" x14ac:dyDescent="0.25">
      <c r="L633887" s="472"/>
      <c r="M633887" s="472"/>
    </row>
    <row r="633959" spans="12:13" x14ac:dyDescent="0.25">
      <c r="L633959" s="472"/>
      <c r="M633959" s="472"/>
    </row>
    <row r="633960" spans="12:13" x14ac:dyDescent="0.25">
      <c r="L633960" s="472"/>
      <c r="M633960" s="472"/>
    </row>
    <row r="633961" spans="12:13" x14ac:dyDescent="0.25">
      <c r="L633961" s="472"/>
      <c r="M633961" s="472"/>
    </row>
    <row r="634033" spans="12:13" x14ac:dyDescent="0.25">
      <c r="L634033" s="472"/>
      <c r="M634033" s="472"/>
    </row>
    <row r="634034" spans="12:13" x14ac:dyDescent="0.25">
      <c r="L634034" s="472"/>
      <c r="M634034" s="472"/>
    </row>
    <row r="634035" spans="12:13" x14ac:dyDescent="0.25">
      <c r="L634035" s="472"/>
      <c r="M634035" s="472"/>
    </row>
    <row r="634107" spans="12:13" x14ac:dyDescent="0.25">
      <c r="L634107" s="472"/>
      <c r="M634107" s="472"/>
    </row>
    <row r="634108" spans="12:13" x14ac:dyDescent="0.25">
      <c r="L634108" s="472"/>
      <c r="M634108" s="472"/>
    </row>
    <row r="634109" spans="12:13" x14ac:dyDescent="0.25">
      <c r="L634109" s="472"/>
      <c r="M634109" s="472"/>
    </row>
    <row r="634181" spans="12:13" x14ac:dyDescent="0.25">
      <c r="L634181" s="472"/>
      <c r="M634181" s="472"/>
    </row>
    <row r="634182" spans="12:13" x14ac:dyDescent="0.25">
      <c r="L634182" s="472"/>
      <c r="M634182" s="472"/>
    </row>
    <row r="634183" spans="12:13" x14ac:dyDescent="0.25">
      <c r="L634183" s="472"/>
      <c r="M634183" s="472"/>
    </row>
    <row r="634255" spans="12:13" x14ac:dyDescent="0.25">
      <c r="L634255" s="472"/>
      <c r="M634255" s="472"/>
    </row>
    <row r="634256" spans="12:13" x14ac:dyDescent="0.25">
      <c r="L634256" s="472"/>
      <c r="M634256" s="472"/>
    </row>
    <row r="634257" spans="12:13" x14ac:dyDescent="0.25">
      <c r="L634257" s="472"/>
      <c r="M634257" s="472"/>
    </row>
    <row r="634329" spans="12:13" x14ac:dyDescent="0.25">
      <c r="L634329" s="472"/>
      <c r="M634329" s="472"/>
    </row>
    <row r="634330" spans="12:13" x14ac:dyDescent="0.25">
      <c r="L634330" s="472"/>
      <c r="M634330" s="472"/>
    </row>
    <row r="634331" spans="12:13" x14ac:dyDescent="0.25">
      <c r="L634331" s="472"/>
      <c r="M634331" s="472"/>
    </row>
    <row r="634403" spans="12:13" x14ac:dyDescent="0.25">
      <c r="L634403" s="472"/>
      <c r="M634403" s="472"/>
    </row>
    <row r="634404" spans="12:13" x14ac:dyDescent="0.25">
      <c r="L634404" s="472"/>
      <c r="M634404" s="472"/>
    </row>
    <row r="634405" spans="12:13" x14ac:dyDescent="0.25">
      <c r="L634405" s="472"/>
      <c r="M634405" s="472"/>
    </row>
    <row r="634477" spans="12:13" x14ac:dyDescent="0.25">
      <c r="L634477" s="472"/>
      <c r="M634477" s="472"/>
    </row>
    <row r="634478" spans="12:13" x14ac:dyDescent="0.25">
      <c r="L634478" s="472"/>
      <c r="M634478" s="472"/>
    </row>
    <row r="634479" spans="12:13" x14ac:dyDescent="0.25">
      <c r="L634479" s="472"/>
      <c r="M634479" s="472"/>
    </row>
    <row r="634551" spans="12:13" x14ac:dyDescent="0.25">
      <c r="L634551" s="472"/>
      <c r="M634551" s="472"/>
    </row>
    <row r="634552" spans="12:13" x14ac:dyDescent="0.25">
      <c r="L634552" s="472"/>
      <c r="M634552" s="472"/>
    </row>
    <row r="634553" spans="12:13" x14ac:dyDescent="0.25">
      <c r="L634553" s="472"/>
      <c r="M634553" s="472"/>
    </row>
    <row r="634625" spans="12:13" x14ac:dyDescent="0.25">
      <c r="L634625" s="472"/>
      <c r="M634625" s="472"/>
    </row>
    <row r="634626" spans="12:13" x14ac:dyDescent="0.25">
      <c r="L634626" s="472"/>
      <c r="M634626" s="472"/>
    </row>
    <row r="634627" spans="12:13" x14ac:dyDescent="0.25">
      <c r="L634627" s="472"/>
      <c r="M634627" s="472"/>
    </row>
    <row r="634699" spans="12:13" x14ac:dyDescent="0.25">
      <c r="L634699" s="472"/>
      <c r="M634699" s="472"/>
    </row>
    <row r="634700" spans="12:13" x14ac:dyDescent="0.25">
      <c r="L634700" s="472"/>
      <c r="M634700" s="472"/>
    </row>
    <row r="634701" spans="12:13" x14ac:dyDescent="0.25">
      <c r="L634701" s="472"/>
      <c r="M634701" s="472"/>
    </row>
    <row r="634773" spans="12:13" x14ac:dyDescent="0.25">
      <c r="L634773" s="472"/>
      <c r="M634773" s="472"/>
    </row>
    <row r="634774" spans="12:13" x14ac:dyDescent="0.25">
      <c r="L634774" s="472"/>
      <c r="M634774" s="472"/>
    </row>
    <row r="634775" spans="12:13" x14ac:dyDescent="0.25">
      <c r="L634775" s="472"/>
      <c r="M634775" s="472"/>
    </row>
    <row r="634847" spans="12:13" x14ac:dyDescent="0.25">
      <c r="L634847" s="472"/>
      <c r="M634847" s="472"/>
    </row>
    <row r="634848" spans="12:13" x14ac:dyDescent="0.25">
      <c r="L634848" s="472"/>
      <c r="M634848" s="472"/>
    </row>
    <row r="634849" spans="12:13" x14ac:dyDescent="0.25">
      <c r="L634849" s="472"/>
      <c r="M634849" s="472"/>
    </row>
    <row r="634921" spans="12:13" x14ac:dyDescent="0.25">
      <c r="L634921" s="472"/>
      <c r="M634921" s="472"/>
    </row>
    <row r="634922" spans="12:13" x14ac:dyDescent="0.25">
      <c r="L634922" s="472"/>
      <c r="M634922" s="472"/>
    </row>
    <row r="634923" spans="12:13" x14ac:dyDescent="0.25">
      <c r="L634923" s="472"/>
      <c r="M634923" s="472"/>
    </row>
    <row r="634995" spans="12:13" x14ac:dyDescent="0.25">
      <c r="L634995" s="472"/>
      <c r="M634995" s="472"/>
    </row>
    <row r="634996" spans="12:13" x14ac:dyDescent="0.25">
      <c r="L634996" s="472"/>
      <c r="M634996" s="472"/>
    </row>
    <row r="634997" spans="12:13" x14ac:dyDescent="0.25">
      <c r="L634997" s="472"/>
      <c r="M634997" s="472"/>
    </row>
    <row r="635069" spans="12:13" x14ac:dyDescent="0.25">
      <c r="L635069" s="472"/>
      <c r="M635069" s="472"/>
    </row>
    <row r="635070" spans="12:13" x14ac:dyDescent="0.25">
      <c r="L635070" s="472"/>
      <c r="M635070" s="472"/>
    </row>
    <row r="635071" spans="12:13" x14ac:dyDescent="0.25">
      <c r="L635071" s="472"/>
      <c r="M635071" s="472"/>
    </row>
    <row r="635143" spans="12:13" x14ac:dyDescent="0.25">
      <c r="L635143" s="472"/>
      <c r="M635143" s="472"/>
    </row>
    <row r="635144" spans="12:13" x14ac:dyDescent="0.25">
      <c r="L635144" s="472"/>
      <c r="M635144" s="472"/>
    </row>
    <row r="635145" spans="12:13" x14ac:dyDescent="0.25">
      <c r="L635145" s="472"/>
      <c r="M635145" s="472"/>
    </row>
    <row r="635217" spans="12:13" x14ac:dyDescent="0.25">
      <c r="L635217" s="472"/>
      <c r="M635217" s="472"/>
    </row>
    <row r="635218" spans="12:13" x14ac:dyDescent="0.25">
      <c r="L635218" s="472"/>
      <c r="M635218" s="472"/>
    </row>
    <row r="635219" spans="12:13" x14ac:dyDescent="0.25">
      <c r="L635219" s="472"/>
      <c r="M635219" s="472"/>
    </row>
    <row r="635291" spans="12:13" x14ac:dyDescent="0.25">
      <c r="L635291" s="472"/>
      <c r="M635291" s="472"/>
    </row>
    <row r="635292" spans="12:13" x14ac:dyDescent="0.25">
      <c r="L635292" s="472"/>
      <c r="M635292" s="472"/>
    </row>
    <row r="635293" spans="12:13" x14ac:dyDescent="0.25">
      <c r="L635293" s="472"/>
      <c r="M635293" s="472"/>
    </row>
    <row r="635365" spans="12:13" x14ac:dyDescent="0.25">
      <c r="L635365" s="472"/>
      <c r="M635365" s="472"/>
    </row>
    <row r="635366" spans="12:13" x14ac:dyDescent="0.25">
      <c r="L635366" s="472"/>
      <c r="M635366" s="472"/>
    </row>
    <row r="635367" spans="12:13" x14ac:dyDescent="0.25">
      <c r="L635367" s="472"/>
      <c r="M635367" s="472"/>
    </row>
    <row r="635439" spans="12:13" x14ac:dyDescent="0.25">
      <c r="L635439" s="472"/>
      <c r="M635439" s="472"/>
    </row>
    <row r="635440" spans="12:13" x14ac:dyDescent="0.25">
      <c r="L635440" s="472"/>
      <c r="M635440" s="472"/>
    </row>
    <row r="635441" spans="12:13" x14ac:dyDescent="0.25">
      <c r="L635441" s="472"/>
      <c r="M635441" s="472"/>
    </row>
    <row r="635513" spans="12:13" x14ac:dyDescent="0.25">
      <c r="L635513" s="472"/>
      <c r="M635513" s="472"/>
    </row>
    <row r="635514" spans="12:13" x14ac:dyDescent="0.25">
      <c r="L635514" s="472"/>
      <c r="M635514" s="472"/>
    </row>
    <row r="635515" spans="12:13" x14ac:dyDescent="0.25">
      <c r="L635515" s="472"/>
      <c r="M635515" s="472"/>
    </row>
    <row r="635587" spans="12:13" x14ac:dyDescent="0.25">
      <c r="L635587" s="472"/>
      <c r="M635587" s="472"/>
    </row>
    <row r="635588" spans="12:13" x14ac:dyDescent="0.25">
      <c r="L635588" s="472"/>
      <c r="M635588" s="472"/>
    </row>
    <row r="635589" spans="12:13" x14ac:dyDescent="0.25">
      <c r="L635589" s="472"/>
      <c r="M635589" s="472"/>
    </row>
    <row r="635661" spans="12:13" x14ac:dyDescent="0.25">
      <c r="L635661" s="472"/>
      <c r="M635661" s="472"/>
    </row>
    <row r="635662" spans="12:13" x14ac:dyDescent="0.25">
      <c r="L635662" s="472"/>
      <c r="M635662" s="472"/>
    </row>
    <row r="635663" spans="12:13" x14ac:dyDescent="0.25">
      <c r="L635663" s="472"/>
      <c r="M635663" s="472"/>
    </row>
    <row r="635735" spans="12:13" x14ac:dyDescent="0.25">
      <c r="L635735" s="472"/>
      <c r="M635735" s="472"/>
    </row>
    <row r="635736" spans="12:13" x14ac:dyDescent="0.25">
      <c r="L635736" s="472"/>
      <c r="M635736" s="472"/>
    </row>
    <row r="635737" spans="12:13" x14ac:dyDescent="0.25">
      <c r="L635737" s="472"/>
      <c r="M635737" s="472"/>
    </row>
    <row r="635809" spans="12:13" x14ac:dyDescent="0.25">
      <c r="L635809" s="472"/>
      <c r="M635809" s="472"/>
    </row>
    <row r="635810" spans="12:13" x14ac:dyDescent="0.25">
      <c r="L635810" s="472"/>
      <c r="M635810" s="472"/>
    </row>
    <row r="635811" spans="12:13" x14ac:dyDescent="0.25">
      <c r="L635811" s="472"/>
      <c r="M635811" s="472"/>
    </row>
    <row r="635883" spans="12:13" x14ac:dyDescent="0.25">
      <c r="L635883" s="472"/>
      <c r="M635883" s="472"/>
    </row>
    <row r="635884" spans="12:13" x14ac:dyDescent="0.25">
      <c r="L635884" s="472"/>
      <c r="M635884" s="472"/>
    </row>
    <row r="635885" spans="12:13" x14ac:dyDescent="0.25">
      <c r="L635885" s="472"/>
      <c r="M635885" s="472"/>
    </row>
    <row r="635957" spans="12:13" x14ac:dyDescent="0.25">
      <c r="L635957" s="472"/>
      <c r="M635957" s="472"/>
    </row>
    <row r="635958" spans="12:13" x14ac:dyDescent="0.25">
      <c r="L635958" s="472"/>
      <c r="M635958" s="472"/>
    </row>
    <row r="635959" spans="12:13" x14ac:dyDescent="0.25">
      <c r="L635959" s="472"/>
      <c r="M635959" s="472"/>
    </row>
    <row r="636031" spans="12:13" x14ac:dyDescent="0.25">
      <c r="L636031" s="472"/>
      <c r="M636031" s="472"/>
    </row>
    <row r="636032" spans="12:13" x14ac:dyDescent="0.25">
      <c r="L636032" s="472"/>
      <c r="M636032" s="472"/>
    </row>
    <row r="636033" spans="12:13" x14ac:dyDescent="0.25">
      <c r="L636033" s="472"/>
      <c r="M636033" s="472"/>
    </row>
    <row r="636105" spans="12:13" x14ac:dyDescent="0.25">
      <c r="L636105" s="472"/>
      <c r="M636105" s="472"/>
    </row>
    <row r="636106" spans="12:13" x14ac:dyDescent="0.25">
      <c r="L636106" s="472"/>
      <c r="M636106" s="472"/>
    </row>
    <row r="636107" spans="12:13" x14ac:dyDescent="0.25">
      <c r="L636107" s="472"/>
      <c r="M636107" s="472"/>
    </row>
    <row r="636179" spans="12:13" x14ac:dyDescent="0.25">
      <c r="L636179" s="472"/>
      <c r="M636179" s="472"/>
    </row>
    <row r="636180" spans="12:13" x14ac:dyDescent="0.25">
      <c r="L636180" s="472"/>
      <c r="M636180" s="472"/>
    </row>
    <row r="636181" spans="12:13" x14ac:dyDescent="0.25">
      <c r="L636181" s="472"/>
      <c r="M636181" s="472"/>
    </row>
    <row r="636253" spans="12:13" x14ac:dyDescent="0.25">
      <c r="L636253" s="472"/>
      <c r="M636253" s="472"/>
    </row>
    <row r="636254" spans="12:13" x14ac:dyDescent="0.25">
      <c r="L636254" s="472"/>
      <c r="M636254" s="472"/>
    </row>
    <row r="636255" spans="12:13" x14ac:dyDescent="0.25">
      <c r="L636255" s="472"/>
      <c r="M636255" s="472"/>
    </row>
    <row r="636327" spans="12:13" x14ac:dyDescent="0.25">
      <c r="L636327" s="472"/>
      <c r="M636327" s="472"/>
    </row>
    <row r="636328" spans="12:13" x14ac:dyDescent="0.25">
      <c r="L636328" s="472"/>
      <c r="M636328" s="472"/>
    </row>
    <row r="636329" spans="12:13" x14ac:dyDescent="0.25">
      <c r="L636329" s="472"/>
      <c r="M636329" s="472"/>
    </row>
    <row r="636401" spans="12:13" x14ac:dyDescent="0.25">
      <c r="L636401" s="472"/>
      <c r="M636401" s="472"/>
    </row>
    <row r="636402" spans="12:13" x14ac:dyDescent="0.25">
      <c r="L636402" s="472"/>
      <c r="M636402" s="472"/>
    </row>
    <row r="636403" spans="12:13" x14ac:dyDescent="0.25">
      <c r="L636403" s="472"/>
      <c r="M636403" s="472"/>
    </row>
    <row r="636475" spans="12:13" x14ac:dyDescent="0.25">
      <c r="L636475" s="472"/>
      <c r="M636475" s="472"/>
    </row>
    <row r="636476" spans="12:13" x14ac:dyDescent="0.25">
      <c r="L636476" s="472"/>
      <c r="M636476" s="472"/>
    </row>
    <row r="636477" spans="12:13" x14ac:dyDescent="0.25">
      <c r="L636477" s="472"/>
      <c r="M636477" s="472"/>
    </row>
    <row r="636549" spans="12:13" x14ac:dyDescent="0.25">
      <c r="L636549" s="472"/>
      <c r="M636549" s="472"/>
    </row>
    <row r="636550" spans="12:13" x14ac:dyDescent="0.25">
      <c r="L636550" s="472"/>
      <c r="M636550" s="472"/>
    </row>
    <row r="636551" spans="12:13" x14ac:dyDescent="0.25">
      <c r="L636551" s="472"/>
      <c r="M636551" s="472"/>
    </row>
    <row r="636623" spans="12:13" x14ac:dyDescent="0.25">
      <c r="L636623" s="472"/>
      <c r="M636623" s="472"/>
    </row>
    <row r="636624" spans="12:13" x14ac:dyDescent="0.25">
      <c r="L636624" s="472"/>
      <c r="M636624" s="472"/>
    </row>
    <row r="636625" spans="12:13" x14ac:dyDescent="0.25">
      <c r="L636625" s="472"/>
      <c r="M636625" s="472"/>
    </row>
    <row r="636697" spans="12:13" x14ac:dyDescent="0.25">
      <c r="L636697" s="472"/>
      <c r="M636697" s="472"/>
    </row>
    <row r="636698" spans="12:13" x14ac:dyDescent="0.25">
      <c r="L636698" s="472"/>
      <c r="M636698" s="472"/>
    </row>
    <row r="636699" spans="12:13" x14ac:dyDescent="0.25">
      <c r="L636699" s="472"/>
      <c r="M636699" s="472"/>
    </row>
    <row r="636771" spans="12:13" x14ac:dyDescent="0.25">
      <c r="L636771" s="472"/>
      <c r="M636771" s="472"/>
    </row>
    <row r="636772" spans="12:13" x14ac:dyDescent="0.25">
      <c r="L636772" s="472"/>
      <c r="M636772" s="472"/>
    </row>
    <row r="636773" spans="12:13" x14ac:dyDescent="0.25">
      <c r="L636773" s="472"/>
      <c r="M636773" s="472"/>
    </row>
    <row r="636845" spans="12:13" x14ac:dyDescent="0.25">
      <c r="L636845" s="472"/>
      <c r="M636845" s="472"/>
    </row>
    <row r="636846" spans="12:13" x14ac:dyDescent="0.25">
      <c r="L636846" s="472"/>
      <c r="M636846" s="472"/>
    </row>
    <row r="636847" spans="12:13" x14ac:dyDescent="0.25">
      <c r="L636847" s="472"/>
      <c r="M636847" s="472"/>
    </row>
    <row r="636919" spans="12:13" x14ac:dyDescent="0.25">
      <c r="L636919" s="472"/>
      <c r="M636919" s="472"/>
    </row>
    <row r="636920" spans="12:13" x14ac:dyDescent="0.25">
      <c r="L636920" s="472"/>
      <c r="M636920" s="472"/>
    </row>
    <row r="636921" spans="12:13" x14ac:dyDescent="0.25">
      <c r="L636921" s="472"/>
      <c r="M636921" s="472"/>
    </row>
    <row r="636993" spans="12:13" x14ac:dyDescent="0.25">
      <c r="L636993" s="472"/>
      <c r="M636993" s="472"/>
    </row>
    <row r="636994" spans="12:13" x14ac:dyDescent="0.25">
      <c r="L636994" s="472"/>
      <c r="M636994" s="472"/>
    </row>
    <row r="636995" spans="12:13" x14ac:dyDescent="0.25">
      <c r="L636995" s="472"/>
      <c r="M636995" s="472"/>
    </row>
    <row r="637067" spans="12:13" x14ac:dyDescent="0.25">
      <c r="L637067" s="472"/>
      <c r="M637067" s="472"/>
    </row>
    <row r="637068" spans="12:13" x14ac:dyDescent="0.25">
      <c r="L637068" s="472"/>
      <c r="M637068" s="472"/>
    </row>
    <row r="637069" spans="12:13" x14ac:dyDescent="0.25">
      <c r="L637069" s="472"/>
      <c r="M637069" s="472"/>
    </row>
    <row r="637141" spans="12:13" x14ac:dyDescent="0.25">
      <c r="L637141" s="472"/>
      <c r="M637141" s="472"/>
    </row>
    <row r="637142" spans="12:13" x14ac:dyDescent="0.25">
      <c r="L637142" s="472"/>
      <c r="M637142" s="472"/>
    </row>
    <row r="637143" spans="12:13" x14ac:dyDescent="0.25">
      <c r="L637143" s="472"/>
      <c r="M637143" s="472"/>
    </row>
    <row r="637215" spans="12:13" x14ac:dyDescent="0.25">
      <c r="L637215" s="472"/>
      <c r="M637215" s="472"/>
    </row>
    <row r="637216" spans="12:13" x14ac:dyDescent="0.25">
      <c r="L637216" s="472"/>
      <c r="M637216" s="472"/>
    </row>
    <row r="637217" spans="12:13" x14ac:dyDescent="0.25">
      <c r="L637217" s="472"/>
      <c r="M637217" s="472"/>
    </row>
    <row r="637289" spans="12:13" x14ac:dyDescent="0.25">
      <c r="L637289" s="472"/>
      <c r="M637289" s="472"/>
    </row>
    <row r="637290" spans="12:13" x14ac:dyDescent="0.25">
      <c r="L637290" s="472"/>
      <c r="M637290" s="472"/>
    </row>
    <row r="637291" spans="12:13" x14ac:dyDescent="0.25">
      <c r="L637291" s="472"/>
      <c r="M637291" s="472"/>
    </row>
    <row r="637363" spans="12:13" x14ac:dyDescent="0.25">
      <c r="L637363" s="472"/>
      <c r="M637363" s="472"/>
    </row>
    <row r="637364" spans="12:13" x14ac:dyDescent="0.25">
      <c r="L637364" s="472"/>
      <c r="M637364" s="472"/>
    </row>
    <row r="637365" spans="12:13" x14ac:dyDescent="0.25">
      <c r="L637365" s="472"/>
      <c r="M637365" s="472"/>
    </row>
    <row r="637437" spans="12:13" x14ac:dyDescent="0.25">
      <c r="L637437" s="472"/>
      <c r="M637437" s="472"/>
    </row>
    <row r="637438" spans="12:13" x14ac:dyDescent="0.25">
      <c r="L637438" s="472"/>
      <c r="M637438" s="472"/>
    </row>
    <row r="637439" spans="12:13" x14ac:dyDescent="0.25">
      <c r="L637439" s="472"/>
      <c r="M637439" s="472"/>
    </row>
    <row r="637511" spans="12:13" x14ac:dyDescent="0.25">
      <c r="L637511" s="472"/>
      <c r="M637511" s="472"/>
    </row>
    <row r="637512" spans="12:13" x14ac:dyDescent="0.25">
      <c r="L637512" s="472"/>
      <c r="M637512" s="472"/>
    </row>
    <row r="637513" spans="12:13" x14ac:dyDescent="0.25">
      <c r="L637513" s="472"/>
      <c r="M637513" s="472"/>
    </row>
    <row r="637585" spans="12:13" x14ac:dyDescent="0.25">
      <c r="L637585" s="472"/>
      <c r="M637585" s="472"/>
    </row>
    <row r="637586" spans="12:13" x14ac:dyDescent="0.25">
      <c r="L637586" s="472"/>
      <c r="M637586" s="472"/>
    </row>
    <row r="637587" spans="12:13" x14ac:dyDescent="0.25">
      <c r="L637587" s="472"/>
      <c r="M637587" s="472"/>
    </row>
    <row r="637659" spans="12:13" x14ac:dyDescent="0.25">
      <c r="L637659" s="472"/>
      <c r="M637659" s="472"/>
    </row>
    <row r="637660" spans="12:13" x14ac:dyDescent="0.25">
      <c r="L637660" s="472"/>
      <c r="M637660" s="472"/>
    </row>
    <row r="637661" spans="12:13" x14ac:dyDescent="0.25">
      <c r="L637661" s="472"/>
      <c r="M637661" s="472"/>
    </row>
    <row r="637733" spans="12:13" x14ac:dyDescent="0.25">
      <c r="L637733" s="472"/>
      <c r="M637733" s="472"/>
    </row>
    <row r="637734" spans="12:13" x14ac:dyDescent="0.25">
      <c r="L637734" s="472"/>
      <c r="M637734" s="472"/>
    </row>
    <row r="637735" spans="12:13" x14ac:dyDescent="0.25">
      <c r="L637735" s="472"/>
      <c r="M637735" s="472"/>
    </row>
    <row r="637807" spans="12:13" x14ac:dyDescent="0.25">
      <c r="L637807" s="472"/>
      <c r="M637807" s="472"/>
    </row>
    <row r="637808" spans="12:13" x14ac:dyDescent="0.25">
      <c r="L637808" s="472"/>
      <c r="M637808" s="472"/>
    </row>
    <row r="637809" spans="12:13" x14ac:dyDescent="0.25">
      <c r="L637809" s="472"/>
      <c r="M637809" s="472"/>
    </row>
    <row r="637881" spans="12:13" x14ac:dyDescent="0.25">
      <c r="L637881" s="472"/>
      <c r="M637881" s="472"/>
    </row>
    <row r="637882" spans="12:13" x14ac:dyDescent="0.25">
      <c r="L637882" s="472"/>
      <c r="M637882" s="472"/>
    </row>
    <row r="637883" spans="12:13" x14ac:dyDescent="0.25">
      <c r="L637883" s="472"/>
      <c r="M637883" s="472"/>
    </row>
    <row r="637955" spans="12:13" x14ac:dyDescent="0.25">
      <c r="L637955" s="472"/>
      <c r="M637955" s="472"/>
    </row>
    <row r="637956" spans="12:13" x14ac:dyDescent="0.25">
      <c r="L637956" s="472"/>
      <c r="M637956" s="472"/>
    </row>
    <row r="637957" spans="12:13" x14ac:dyDescent="0.25">
      <c r="L637957" s="472"/>
      <c r="M637957" s="472"/>
    </row>
    <row r="638029" spans="12:13" x14ac:dyDescent="0.25">
      <c r="L638029" s="472"/>
      <c r="M638029" s="472"/>
    </row>
    <row r="638030" spans="12:13" x14ac:dyDescent="0.25">
      <c r="L638030" s="472"/>
      <c r="M638030" s="472"/>
    </row>
    <row r="638031" spans="12:13" x14ac:dyDescent="0.25">
      <c r="L638031" s="472"/>
      <c r="M638031" s="472"/>
    </row>
    <row r="638103" spans="12:13" x14ac:dyDescent="0.25">
      <c r="L638103" s="472"/>
      <c r="M638103" s="472"/>
    </row>
    <row r="638104" spans="12:13" x14ac:dyDescent="0.25">
      <c r="L638104" s="472"/>
      <c r="M638104" s="472"/>
    </row>
    <row r="638105" spans="12:13" x14ac:dyDescent="0.25">
      <c r="L638105" s="472"/>
      <c r="M638105" s="472"/>
    </row>
    <row r="638177" spans="12:13" x14ac:dyDescent="0.25">
      <c r="L638177" s="472"/>
      <c r="M638177" s="472"/>
    </row>
    <row r="638178" spans="12:13" x14ac:dyDescent="0.25">
      <c r="L638178" s="472"/>
      <c r="M638178" s="472"/>
    </row>
    <row r="638179" spans="12:13" x14ac:dyDescent="0.25">
      <c r="L638179" s="472"/>
      <c r="M638179" s="472"/>
    </row>
    <row r="638251" spans="12:13" x14ac:dyDescent="0.25">
      <c r="L638251" s="472"/>
      <c r="M638251" s="472"/>
    </row>
    <row r="638252" spans="12:13" x14ac:dyDescent="0.25">
      <c r="L638252" s="472"/>
      <c r="M638252" s="472"/>
    </row>
    <row r="638253" spans="12:13" x14ac:dyDescent="0.25">
      <c r="L638253" s="472"/>
      <c r="M638253" s="472"/>
    </row>
    <row r="638325" spans="12:13" x14ac:dyDescent="0.25">
      <c r="L638325" s="472"/>
      <c r="M638325" s="472"/>
    </row>
    <row r="638326" spans="12:13" x14ac:dyDescent="0.25">
      <c r="L638326" s="472"/>
      <c r="M638326" s="472"/>
    </row>
    <row r="638327" spans="12:13" x14ac:dyDescent="0.25">
      <c r="L638327" s="472"/>
      <c r="M638327" s="472"/>
    </row>
    <row r="638399" spans="12:13" x14ac:dyDescent="0.25">
      <c r="L638399" s="472"/>
      <c r="M638399" s="472"/>
    </row>
    <row r="638400" spans="12:13" x14ac:dyDescent="0.25">
      <c r="L638400" s="472"/>
      <c r="M638400" s="472"/>
    </row>
    <row r="638401" spans="12:13" x14ac:dyDescent="0.25">
      <c r="L638401" s="472"/>
      <c r="M638401" s="472"/>
    </row>
    <row r="638473" spans="12:13" x14ac:dyDescent="0.25">
      <c r="L638473" s="472"/>
      <c r="M638473" s="472"/>
    </row>
    <row r="638474" spans="12:13" x14ac:dyDescent="0.25">
      <c r="L638474" s="472"/>
      <c r="M638474" s="472"/>
    </row>
    <row r="638475" spans="12:13" x14ac:dyDescent="0.25">
      <c r="L638475" s="472"/>
      <c r="M638475" s="472"/>
    </row>
    <row r="638547" spans="12:13" x14ac:dyDescent="0.25">
      <c r="L638547" s="472"/>
      <c r="M638547" s="472"/>
    </row>
    <row r="638548" spans="12:13" x14ac:dyDescent="0.25">
      <c r="L638548" s="472"/>
      <c r="M638548" s="472"/>
    </row>
    <row r="638549" spans="12:13" x14ac:dyDescent="0.25">
      <c r="L638549" s="472"/>
      <c r="M638549" s="472"/>
    </row>
    <row r="638621" spans="12:13" x14ac:dyDescent="0.25">
      <c r="L638621" s="472"/>
      <c r="M638621" s="472"/>
    </row>
    <row r="638622" spans="12:13" x14ac:dyDescent="0.25">
      <c r="L638622" s="472"/>
      <c r="M638622" s="472"/>
    </row>
    <row r="638623" spans="12:13" x14ac:dyDescent="0.25">
      <c r="L638623" s="472"/>
      <c r="M638623" s="472"/>
    </row>
    <row r="638695" spans="12:13" x14ac:dyDescent="0.25">
      <c r="L638695" s="472"/>
      <c r="M638695" s="472"/>
    </row>
    <row r="638696" spans="12:13" x14ac:dyDescent="0.25">
      <c r="L638696" s="472"/>
      <c r="M638696" s="472"/>
    </row>
    <row r="638697" spans="12:13" x14ac:dyDescent="0.25">
      <c r="L638697" s="472"/>
      <c r="M638697" s="472"/>
    </row>
    <row r="638769" spans="12:13" x14ac:dyDescent="0.25">
      <c r="L638769" s="472"/>
      <c r="M638769" s="472"/>
    </row>
    <row r="638770" spans="12:13" x14ac:dyDescent="0.25">
      <c r="L638770" s="472"/>
      <c r="M638770" s="472"/>
    </row>
    <row r="638771" spans="12:13" x14ac:dyDescent="0.25">
      <c r="L638771" s="472"/>
      <c r="M638771" s="472"/>
    </row>
    <row r="638843" spans="12:13" x14ac:dyDescent="0.25">
      <c r="L638843" s="472"/>
      <c r="M638843" s="472"/>
    </row>
    <row r="638844" spans="12:13" x14ac:dyDescent="0.25">
      <c r="L638844" s="472"/>
      <c r="M638844" s="472"/>
    </row>
    <row r="638845" spans="12:13" x14ac:dyDescent="0.25">
      <c r="L638845" s="472"/>
      <c r="M638845" s="472"/>
    </row>
    <row r="638917" spans="12:13" x14ac:dyDescent="0.25">
      <c r="L638917" s="472"/>
      <c r="M638917" s="472"/>
    </row>
    <row r="638918" spans="12:13" x14ac:dyDescent="0.25">
      <c r="L638918" s="472"/>
      <c r="M638918" s="472"/>
    </row>
    <row r="638919" spans="12:13" x14ac:dyDescent="0.25">
      <c r="L638919" s="472"/>
      <c r="M638919" s="472"/>
    </row>
    <row r="638991" spans="12:13" x14ac:dyDescent="0.25">
      <c r="L638991" s="472"/>
      <c r="M638991" s="472"/>
    </row>
    <row r="638992" spans="12:13" x14ac:dyDescent="0.25">
      <c r="L638992" s="472"/>
      <c r="M638992" s="472"/>
    </row>
    <row r="638993" spans="12:13" x14ac:dyDescent="0.25">
      <c r="L638993" s="472"/>
      <c r="M638993" s="472"/>
    </row>
    <row r="639065" spans="12:13" x14ac:dyDescent="0.25">
      <c r="L639065" s="472"/>
      <c r="M639065" s="472"/>
    </row>
    <row r="639066" spans="12:13" x14ac:dyDescent="0.25">
      <c r="L639066" s="472"/>
      <c r="M639066" s="472"/>
    </row>
    <row r="639067" spans="12:13" x14ac:dyDescent="0.25">
      <c r="L639067" s="472"/>
      <c r="M639067" s="472"/>
    </row>
    <row r="639139" spans="12:13" x14ac:dyDescent="0.25">
      <c r="L639139" s="472"/>
      <c r="M639139" s="472"/>
    </row>
    <row r="639140" spans="12:13" x14ac:dyDescent="0.25">
      <c r="L639140" s="472"/>
      <c r="M639140" s="472"/>
    </row>
    <row r="639141" spans="12:13" x14ac:dyDescent="0.25">
      <c r="L639141" s="472"/>
      <c r="M639141" s="472"/>
    </row>
    <row r="639213" spans="12:13" x14ac:dyDescent="0.25">
      <c r="L639213" s="472"/>
      <c r="M639213" s="472"/>
    </row>
    <row r="639214" spans="12:13" x14ac:dyDescent="0.25">
      <c r="L639214" s="472"/>
      <c r="M639214" s="472"/>
    </row>
    <row r="639215" spans="12:13" x14ac:dyDescent="0.25">
      <c r="L639215" s="472"/>
      <c r="M639215" s="472"/>
    </row>
    <row r="639287" spans="12:13" x14ac:dyDescent="0.25">
      <c r="L639287" s="472"/>
      <c r="M639287" s="472"/>
    </row>
    <row r="639288" spans="12:13" x14ac:dyDescent="0.25">
      <c r="L639288" s="472"/>
      <c r="M639288" s="472"/>
    </row>
    <row r="639289" spans="12:13" x14ac:dyDescent="0.25">
      <c r="L639289" s="472"/>
      <c r="M639289" s="472"/>
    </row>
    <row r="639361" spans="12:13" x14ac:dyDescent="0.25">
      <c r="L639361" s="472"/>
      <c r="M639361" s="472"/>
    </row>
    <row r="639362" spans="12:13" x14ac:dyDescent="0.25">
      <c r="L639362" s="472"/>
      <c r="M639362" s="472"/>
    </row>
    <row r="639363" spans="12:13" x14ac:dyDescent="0.25">
      <c r="L639363" s="472"/>
      <c r="M639363" s="472"/>
    </row>
    <row r="639435" spans="12:13" x14ac:dyDescent="0.25">
      <c r="L639435" s="472"/>
      <c r="M639435" s="472"/>
    </row>
    <row r="639436" spans="12:13" x14ac:dyDescent="0.25">
      <c r="L639436" s="472"/>
      <c r="M639436" s="472"/>
    </row>
    <row r="639437" spans="12:13" x14ac:dyDescent="0.25">
      <c r="L639437" s="472"/>
      <c r="M639437" s="472"/>
    </row>
    <row r="639509" spans="12:13" x14ac:dyDescent="0.25">
      <c r="L639509" s="472"/>
      <c r="M639509" s="472"/>
    </row>
    <row r="639510" spans="12:13" x14ac:dyDescent="0.25">
      <c r="L639510" s="472"/>
      <c r="M639510" s="472"/>
    </row>
    <row r="639511" spans="12:13" x14ac:dyDescent="0.25">
      <c r="L639511" s="472"/>
      <c r="M639511" s="472"/>
    </row>
    <row r="639583" spans="12:13" x14ac:dyDescent="0.25">
      <c r="L639583" s="472"/>
      <c r="M639583" s="472"/>
    </row>
    <row r="639584" spans="12:13" x14ac:dyDescent="0.25">
      <c r="L639584" s="472"/>
      <c r="M639584" s="472"/>
    </row>
    <row r="639585" spans="12:13" x14ac:dyDescent="0.25">
      <c r="L639585" s="472"/>
      <c r="M639585" s="472"/>
    </row>
    <row r="639657" spans="12:13" x14ac:dyDescent="0.25">
      <c r="L639657" s="472"/>
      <c r="M639657" s="472"/>
    </row>
    <row r="639658" spans="12:13" x14ac:dyDescent="0.25">
      <c r="L639658" s="472"/>
      <c r="M639658" s="472"/>
    </row>
    <row r="639659" spans="12:13" x14ac:dyDescent="0.25">
      <c r="L639659" s="472"/>
      <c r="M639659" s="472"/>
    </row>
    <row r="639731" spans="12:13" x14ac:dyDescent="0.25">
      <c r="L639731" s="472"/>
      <c r="M639731" s="472"/>
    </row>
    <row r="639732" spans="12:13" x14ac:dyDescent="0.25">
      <c r="L639732" s="472"/>
      <c r="M639732" s="472"/>
    </row>
    <row r="639733" spans="12:13" x14ac:dyDescent="0.25">
      <c r="L639733" s="472"/>
      <c r="M639733" s="472"/>
    </row>
    <row r="639805" spans="12:13" x14ac:dyDescent="0.25">
      <c r="L639805" s="472"/>
      <c r="M639805" s="472"/>
    </row>
    <row r="639806" spans="12:13" x14ac:dyDescent="0.25">
      <c r="L639806" s="472"/>
      <c r="M639806" s="472"/>
    </row>
    <row r="639807" spans="12:13" x14ac:dyDescent="0.25">
      <c r="L639807" s="472"/>
      <c r="M639807" s="472"/>
    </row>
    <row r="639879" spans="12:13" x14ac:dyDescent="0.25">
      <c r="L639879" s="472"/>
      <c r="M639879" s="472"/>
    </row>
    <row r="639880" spans="12:13" x14ac:dyDescent="0.25">
      <c r="L639880" s="472"/>
      <c r="M639880" s="472"/>
    </row>
    <row r="639881" spans="12:13" x14ac:dyDescent="0.25">
      <c r="L639881" s="472"/>
      <c r="M639881" s="472"/>
    </row>
    <row r="639953" spans="12:13" x14ac:dyDescent="0.25">
      <c r="L639953" s="472"/>
      <c r="M639953" s="472"/>
    </row>
    <row r="639954" spans="12:13" x14ac:dyDescent="0.25">
      <c r="L639954" s="472"/>
      <c r="M639954" s="472"/>
    </row>
    <row r="639955" spans="12:13" x14ac:dyDescent="0.25">
      <c r="L639955" s="472"/>
      <c r="M639955" s="472"/>
    </row>
    <row r="640027" spans="12:13" x14ac:dyDescent="0.25">
      <c r="L640027" s="472"/>
      <c r="M640027" s="472"/>
    </row>
    <row r="640028" spans="12:13" x14ac:dyDescent="0.25">
      <c r="L640028" s="472"/>
      <c r="M640028" s="472"/>
    </row>
    <row r="640029" spans="12:13" x14ac:dyDescent="0.25">
      <c r="L640029" s="472"/>
      <c r="M640029" s="472"/>
    </row>
    <row r="640101" spans="12:13" x14ac:dyDescent="0.25">
      <c r="L640101" s="472"/>
      <c r="M640101" s="472"/>
    </row>
    <row r="640102" spans="12:13" x14ac:dyDescent="0.25">
      <c r="L640102" s="472"/>
      <c r="M640102" s="472"/>
    </row>
    <row r="640103" spans="12:13" x14ac:dyDescent="0.25">
      <c r="L640103" s="472"/>
      <c r="M640103" s="472"/>
    </row>
    <row r="640175" spans="12:13" x14ac:dyDescent="0.25">
      <c r="L640175" s="472"/>
      <c r="M640175" s="472"/>
    </row>
    <row r="640176" spans="12:13" x14ac:dyDescent="0.25">
      <c r="L640176" s="472"/>
      <c r="M640176" s="472"/>
    </row>
    <row r="640177" spans="12:13" x14ac:dyDescent="0.25">
      <c r="L640177" s="472"/>
      <c r="M640177" s="472"/>
    </row>
    <row r="640249" spans="12:13" x14ac:dyDescent="0.25">
      <c r="L640249" s="472"/>
      <c r="M640249" s="472"/>
    </row>
    <row r="640250" spans="12:13" x14ac:dyDescent="0.25">
      <c r="L640250" s="472"/>
      <c r="M640250" s="472"/>
    </row>
    <row r="640251" spans="12:13" x14ac:dyDescent="0.25">
      <c r="L640251" s="472"/>
      <c r="M640251" s="472"/>
    </row>
    <row r="640323" spans="12:13" x14ac:dyDescent="0.25">
      <c r="L640323" s="472"/>
      <c r="M640323" s="472"/>
    </row>
    <row r="640324" spans="12:13" x14ac:dyDescent="0.25">
      <c r="L640324" s="472"/>
      <c r="M640324" s="472"/>
    </row>
    <row r="640325" spans="12:13" x14ac:dyDescent="0.25">
      <c r="L640325" s="472"/>
      <c r="M640325" s="472"/>
    </row>
    <row r="640397" spans="12:13" x14ac:dyDescent="0.25">
      <c r="L640397" s="472"/>
      <c r="M640397" s="472"/>
    </row>
    <row r="640398" spans="12:13" x14ac:dyDescent="0.25">
      <c r="L640398" s="472"/>
      <c r="M640398" s="472"/>
    </row>
    <row r="640399" spans="12:13" x14ac:dyDescent="0.25">
      <c r="L640399" s="472"/>
      <c r="M640399" s="472"/>
    </row>
    <row r="640471" spans="12:13" x14ac:dyDescent="0.25">
      <c r="L640471" s="472"/>
      <c r="M640471" s="472"/>
    </row>
    <row r="640472" spans="12:13" x14ac:dyDescent="0.25">
      <c r="L640472" s="472"/>
      <c r="M640472" s="472"/>
    </row>
    <row r="640473" spans="12:13" x14ac:dyDescent="0.25">
      <c r="L640473" s="472"/>
      <c r="M640473" s="472"/>
    </row>
    <row r="640545" spans="12:13" x14ac:dyDescent="0.25">
      <c r="L640545" s="472"/>
      <c r="M640545" s="472"/>
    </row>
    <row r="640546" spans="12:13" x14ac:dyDescent="0.25">
      <c r="L640546" s="472"/>
      <c r="M640546" s="472"/>
    </row>
    <row r="640547" spans="12:13" x14ac:dyDescent="0.25">
      <c r="L640547" s="472"/>
      <c r="M640547" s="472"/>
    </row>
    <row r="640619" spans="12:13" x14ac:dyDescent="0.25">
      <c r="L640619" s="472"/>
      <c r="M640619" s="472"/>
    </row>
    <row r="640620" spans="12:13" x14ac:dyDescent="0.25">
      <c r="L640620" s="472"/>
      <c r="M640620" s="472"/>
    </row>
    <row r="640621" spans="12:13" x14ac:dyDescent="0.25">
      <c r="L640621" s="472"/>
      <c r="M640621" s="472"/>
    </row>
    <row r="640693" spans="12:13" x14ac:dyDescent="0.25">
      <c r="L640693" s="472"/>
      <c r="M640693" s="472"/>
    </row>
    <row r="640694" spans="12:13" x14ac:dyDescent="0.25">
      <c r="L640694" s="472"/>
      <c r="M640694" s="472"/>
    </row>
    <row r="640695" spans="12:13" x14ac:dyDescent="0.25">
      <c r="L640695" s="472"/>
      <c r="M640695" s="472"/>
    </row>
    <row r="640767" spans="12:13" x14ac:dyDescent="0.25">
      <c r="L640767" s="472"/>
      <c r="M640767" s="472"/>
    </row>
    <row r="640768" spans="12:13" x14ac:dyDescent="0.25">
      <c r="L640768" s="472"/>
      <c r="M640768" s="472"/>
    </row>
    <row r="640769" spans="12:13" x14ac:dyDescent="0.25">
      <c r="L640769" s="472"/>
      <c r="M640769" s="472"/>
    </row>
    <row r="640841" spans="12:13" x14ac:dyDescent="0.25">
      <c r="L640841" s="472"/>
      <c r="M640841" s="472"/>
    </row>
    <row r="640842" spans="12:13" x14ac:dyDescent="0.25">
      <c r="L640842" s="472"/>
      <c r="M640842" s="472"/>
    </row>
    <row r="640843" spans="12:13" x14ac:dyDescent="0.25">
      <c r="L640843" s="472"/>
      <c r="M640843" s="472"/>
    </row>
    <row r="640915" spans="12:13" x14ac:dyDescent="0.25">
      <c r="L640915" s="472"/>
      <c r="M640915" s="472"/>
    </row>
    <row r="640916" spans="12:13" x14ac:dyDescent="0.25">
      <c r="L640916" s="472"/>
      <c r="M640916" s="472"/>
    </row>
    <row r="640917" spans="12:13" x14ac:dyDescent="0.25">
      <c r="L640917" s="472"/>
      <c r="M640917" s="472"/>
    </row>
    <row r="640989" spans="12:13" x14ac:dyDescent="0.25">
      <c r="L640989" s="472"/>
      <c r="M640989" s="472"/>
    </row>
    <row r="640990" spans="12:13" x14ac:dyDescent="0.25">
      <c r="L640990" s="472"/>
      <c r="M640990" s="472"/>
    </row>
    <row r="640991" spans="12:13" x14ac:dyDescent="0.25">
      <c r="L640991" s="472"/>
      <c r="M640991" s="472"/>
    </row>
    <row r="641063" spans="12:13" x14ac:dyDescent="0.25">
      <c r="L641063" s="472"/>
      <c r="M641063" s="472"/>
    </row>
    <row r="641064" spans="12:13" x14ac:dyDescent="0.25">
      <c r="L641064" s="472"/>
      <c r="M641064" s="472"/>
    </row>
    <row r="641065" spans="12:13" x14ac:dyDescent="0.25">
      <c r="L641065" s="472"/>
      <c r="M641065" s="472"/>
    </row>
    <row r="641137" spans="12:13" x14ac:dyDescent="0.25">
      <c r="L641137" s="472"/>
      <c r="M641137" s="472"/>
    </row>
    <row r="641138" spans="12:13" x14ac:dyDescent="0.25">
      <c r="L641138" s="472"/>
      <c r="M641138" s="472"/>
    </row>
    <row r="641139" spans="12:13" x14ac:dyDescent="0.25">
      <c r="L641139" s="472"/>
      <c r="M641139" s="472"/>
    </row>
    <row r="641211" spans="12:13" x14ac:dyDescent="0.25">
      <c r="L641211" s="472"/>
      <c r="M641211" s="472"/>
    </row>
    <row r="641212" spans="12:13" x14ac:dyDescent="0.25">
      <c r="L641212" s="472"/>
      <c r="M641212" s="472"/>
    </row>
    <row r="641213" spans="12:13" x14ac:dyDescent="0.25">
      <c r="L641213" s="472"/>
      <c r="M641213" s="472"/>
    </row>
    <row r="641285" spans="12:13" x14ac:dyDescent="0.25">
      <c r="L641285" s="472"/>
      <c r="M641285" s="472"/>
    </row>
    <row r="641286" spans="12:13" x14ac:dyDescent="0.25">
      <c r="L641286" s="472"/>
      <c r="M641286" s="472"/>
    </row>
    <row r="641287" spans="12:13" x14ac:dyDescent="0.25">
      <c r="L641287" s="472"/>
      <c r="M641287" s="472"/>
    </row>
    <row r="641359" spans="12:13" x14ac:dyDescent="0.25">
      <c r="L641359" s="472"/>
      <c r="M641359" s="472"/>
    </row>
    <row r="641360" spans="12:13" x14ac:dyDescent="0.25">
      <c r="L641360" s="472"/>
      <c r="M641360" s="472"/>
    </row>
    <row r="641361" spans="12:13" x14ac:dyDescent="0.25">
      <c r="L641361" s="472"/>
      <c r="M641361" s="472"/>
    </row>
    <row r="641433" spans="12:13" x14ac:dyDescent="0.25">
      <c r="L641433" s="472"/>
      <c r="M641433" s="472"/>
    </row>
    <row r="641434" spans="12:13" x14ac:dyDescent="0.25">
      <c r="L641434" s="472"/>
      <c r="M641434" s="472"/>
    </row>
    <row r="641435" spans="12:13" x14ac:dyDescent="0.25">
      <c r="L641435" s="472"/>
      <c r="M641435" s="472"/>
    </row>
    <row r="641507" spans="12:13" x14ac:dyDescent="0.25">
      <c r="L641507" s="472"/>
      <c r="M641507" s="472"/>
    </row>
    <row r="641508" spans="12:13" x14ac:dyDescent="0.25">
      <c r="L641508" s="472"/>
      <c r="M641508" s="472"/>
    </row>
    <row r="641509" spans="12:13" x14ac:dyDescent="0.25">
      <c r="L641509" s="472"/>
      <c r="M641509" s="472"/>
    </row>
    <row r="641581" spans="12:13" x14ac:dyDescent="0.25">
      <c r="L641581" s="472"/>
      <c r="M641581" s="472"/>
    </row>
    <row r="641582" spans="12:13" x14ac:dyDescent="0.25">
      <c r="L641582" s="472"/>
      <c r="M641582" s="472"/>
    </row>
    <row r="641583" spans="12:13" x14ac:dyDescent="0.25">
      <c r="L641583" s="472"/>
      <c r="M641583" s="472"/>
    </row>
    <row r="641655" spans="12:13" x14ac:dyDescent="0.25">
      <c r="L641655" s="472"/>
      <c r="M641655" s="472"/>
    </row>
    <row r="641656" spans="12:13" x14ac:dyDescent="0.25">
      <c r="L641656" s="472"/>
      <c r="M641656" s="472"/>
    </row>
    <row r="641657" spans="12:13" x14ac:dyDescent="0.25">
      <c r="L641657" s="472"/>
      <c r="M641657" s="472"/>
    </row>
    <row r="641729" spans="12:13" x14ac:dyDescent="0.25">
      <c r="L641729" s="472"/>
      <c r="M641729" s="472"/>
    </row>
    <row r="641730" spans="12:13" x14ac:dyDescent="0.25">
      <c r="L641730" s="472"/>
      <c r="M641730" s="472"/>
    </row>
    <row r="641731" spans="12:13" x14ac:dyDescent="0.25">
      <c r="L641731" s="472"/>
      <c r="M641731" s="472"/>
    </row>
    <row r="641803" spans="12:13" x14ac:dyDescent="0.25">
      <c r="L641803" s="472"/>
      <c r="M641803" s="472"/>
    </row>
    <row r="641804" spans="12:13" x14ac:dyDescent="0.25">
      <c r="L641804" s="472"/>
      <c r="M641804" s="472"/>
    </row>
    <row r="641805" spans="12:13" x14ac:dyDescent="0.25">
      <c r="L641805" s="472"/>
      <c r="M641805" s="472"/>
    </row>
    <row r="641877" spans="12:13" x14ac:dyDescent="0.25">
      <c r="L641877" s="472"/>
      <c r="M641877" s="472"/>
    </row>
    <row r="641878" spans="12:13" x14ac:dyDescent="0.25">
      <c r="L641878" s="472"/>
      <c r="M641878" s="472"/>
    </row>
    <row r="641879" spans="12:13" x14ac:dyDescent="0.25">
      <c r="L641879" s="472"/>
      <c r="M641879" s="472"/>
    </row>
    <row r="641951" spans="12:13" x14ac:dyDescent="0.25">
      <c r="L641951" s="472"/>
      <c r="M641951" s="472"/>
    </row>
    <row r="641952" spans="12:13" x14ac:dyDescent="0.25">
      <c r="L641952" s="472"/>
      <c r="M641952" s="472"/>
    </row>
    <row r="641953" spans="12:13" x14ac:dyDescent="0.25">
      <c r="L641953" s="472"/>
      <c r="M641953" s="472"/>
    </row>
    <row r="642025" spans="12:13" x14ac:dyDescent="0.25">
      <c r="L642025" s="472"/>
      <c r="M642025" s="472"/>
    </row>
    <row r="642026" spans="12:13" x14ac:dyDescent="0.25">
      <c r="L642026" s="472"/>
      <c r="M642026" s="472"/>
    </row>
    <row r="642027" spans="12:13" x14ac:dyDescent="0.25">
      <c r="L642027" s="472"/>
      <c r="M642027" s="472"/>
    </row>
    <row r="642099" spans="12:13" x14ac:dyDescent="0.25">
      <c r="L642099" s="472"/>
      <c r="M642099" s="472"/>
    </row>
    <row r="642100" spans="12:13" x14ac:dyDescent="0.25">
      <c r="L642100" s="472"/>
      <c r="M642100" s="472"/>
    </row>
    <row r="642101" spans="12:13" x14ac:dyDescent="0.25">
      <c r="L642101" s="472"/>
      <c r="M642101" s="472"/>
    </row>
    <row r="642173" spans="12:13" x14ac:dyDescent="0.25">
      <c r="L642173" s="472"/>
      <c r="M642173" s="472"/>
    </row>
    <row r="642174" spans="12:13" x14ac:dyDescent="0.25">
      <c r="L642174" s="472"/>
      <c r="M642174" s="472"/>
    </row>
    <row r="642175" spans="12:13" x14ac:dyDescent="0.25">
      <c r="L642175" s="472"/>
      <c r="M642175" s="472"/>
    </row>
    <row r="642247" spans="12:13" x14ac:dyDescent="0.25">
      <c r="L642247" s="472"/>
      <c r="M642247" s="472"/>
    </row>
    <row r="642248" spans="12:13" x14ac:dyDescent="0.25">
      <c r="L642248" s="472"/>
      <c r="M642248" s="472"/>
    </row>
    <row r="642249" spans="12:13" x14ac:dyDescent="0.25">
      <c r="L642249" s="472"/>
      <c r="M642249" s="472"/>
    </row>
    <row r="642321" spans="12:13" x14ac:dyDescent="0.25">
      <c r="L642321" s="472"/>
      <c r="M642321" s="472"/>
    </row>
    <row r="642322" spans="12:13" x14ac:dyDescent="0.25">
      <c r="L642322" s="472"/>
      <c r="M642322" s="472"/>
    </row>
    <row r="642323" spans="12:13" x14ac:dyDescent="0.25">
      <c r="L642323" s="472"/>
      <c r="M642323" s="472"/>
    </row>
    <row r="642395" spans="12:13" x14ac:dyDescent="0.25">
      <c r="L642395" s="472"/>
      <c r="M642395" s="472"/>
    </row>
    <row r="642396" spans="12:13" x14ac:dyDescent="0.25">
      <c r="L642396" s="472"/>
      <c r="M642396" s="472"/>
    </row>
    <row r="642397" spans="12:13" x14ac:dyDescent="0.25">
      <c r="L642397" s="472"/>
      <c r="M642397" s="472"/>
    </row>
    <row r="642469" spans="12:13" x14ac:dyDescent="0.25">
      <c r="L642469" s="472"/>
      <c r="M642469" s="472"/>
    </row>
    <row r="642470" spans="12:13" x14ac:dyDescent="0.25">
      <c r="L642470" s="472"/>
      <c r="M642470" s="472"/>
    </row>
    <row r="642471" spans="12:13" x14ac:dyDescent="0.25">
      <c r="L642471" s="472"/>
      <c r="M642471" s="472"/>
    </row>
    <row r="642543" spans="12:13" x14ac:dyDescent="0.25">
      <c r="L642543" s="472"/>
      <c r="M642543" s="472"/>
    </row>
    <row r="642544" spans="12:13" x14ac:dyDescent="0.25">
      <c r="L642544" s="472"/>
      <c r="M642544" s="472"/>
    </row>
    <row r="642545" spans="12:13" x14ac:dyDescent="0.25">
      <c r="L642545" s="472"/>
      <c r="M642545" s="472"/>
    </row>
    <row r="642617" spans="12:13" x14ac:dyDescent="0.25">
      <c r="L642617" s="472"/>
      <c r="M642617" s="472"/>
    </row>
    <row r="642618" spans="12:13" x14ac:dyDescent="0.25">
      <c r="L642618" s="472"/>
      <c r="M642618" s="472"/>
    </row>
    <row r="642619" spans="12:13" x14ac:dyDescent="0.25">
      <c r="L642619" s="472"/>
      <c r="M642619" s="472"/>
    </row>
    <row r="642691" spans="12:13" x14ac:dyDescent="0.25">
      <c r="L642691" s="472"/>
      <c r="M642691" s="472"/>
    </row>
    <row r="642692" spans="12:13" x14ac:dyDescent="0.25">
      <c r="L642692" s="472"/>
      <c r="M642692" s="472"/>
    </row>
    <row r="642693" spans="12:13" x14ac:dyDescent="0.25">
      <c r="L642693" s="472"/>
      <c r="M642693" s="472"/>
    </row>
    <row r="642765" spans="12:13" x14ac:dyDescent="0.25">
      <c r="L642765" s="472"/>
      <c r="M642765" s="472"/>
    </row>
    <row r="642766" spans="12:13" x14ac:dyDescent="0.25">
      <c r="L642766" s="472"/>
      <c r="M642766" s="472"/>
    </row>
    <row r="642767" spans="12:13" x14ac:dyDescent="0.25">
      <c r="L642767" s="472"/>
      <c r="M642767" s="472"/>
    </row>
    <row r="642839" spans="12:13" x14ac:dyDescent="0.25">
      <c r="L642839" s="472"/>
      <c r="M642839" s="472"/>
    </row>
    <row r="642840" spans="12:13" x14ac:dyDescent="0.25">
      <c r="L642840" s="472"/>
      <c r="M642840" s="472"/>
    </row>
    <row r="642841" spans="12:13" x14ac:dyDescent="0.25">
      <c r="L642841" s="472"/>
      <c r="M642841" s="472"/>
    </row>
    <row r="642913" spans="12:13" x14ac:dyDescent="0.25">
      <c r="L642913" s="472"/>
      <c r="M642913" s="472"/>
    </row>
    <row r="642914" spans="12:13" x14ac:dyDescent="0.25">
      <c r="L642914" s="472"/>
      <c r="M642914" s="472"/>
    </row>
    <row r="642915" spans="12:13" x14ac:dyDescent="0.25">
      <c r="L642915" s="472"/>
      <c r="M642915" s="472"/>
    </row>
    <row r="642987" spans="12:13" x14ac:dyDescent="0.25">
      <c r="L642987" s="472"/>
      <c r="M642987" s="472"/>
    </row>
    <row r="642988" spans="12:13" x14ac:dyDescent="0.25">
      <c r="L642988" s="472"/>
      <c r="M642988" s="472"/>
    </row>
    <row r="642989" spans="12:13" x14ac:dyDescent="0.25">
      <c r="L642989" s="472"/>
      <c r="M642989" s="472"/>
    </row>
    <row r="643061" spans="12:13" x14ac:dyDescent="0.25">
      <c r="L643061" s="472"/>
      <c r="M643061" s="472"/>
    </row>
    <row r="643062" spans="12:13" x14ac:dyDescent="0.25">
      <c r="L643062" s="472"/>
      <c r="M643062" s="472"/>
    </row>
    <row r="643063" spans="12:13" x14ac:dyDescent="0.25">
      <c r="L643063" s="472"/>
      <c r="M643063" s="472"/>
    </row>
    <row r="643135" spans="12:13" x14ac:dyDescent="0.25">
      <c r="L643135" s="472"/>
      <c r="M643135" s="472"/>
    </row>
    <row r="643136" spans="12:13" x14ac:dyDescent="0.25">
      <c r="L643136" s="472"/>
      <c r="M643136" s="472"/>
    </row>
    <row r="643137" spans="12:13" x14ac:dyDescent="0.25">
      <c r="L643137" s="472"/>
      <c r="M643137" s="472"/>
    </row>
    <row r="643209" spans="12:13" x14ac:dyDescent="0.25">
      <c r="L643209" s="472"/>
      <c r="M643209" s="472"/>
    </row>
    <row r="643210" spans="12:13" x14ac:dyDescent="0.25">
      <c r="L643210" s="472"/>
      <c r="M643210" s="472"/>
    </row>
    <row r="643211" spans="12:13" x14ac:dyDescent="0.25">
      <c r="L643211" s="472"/>
      <c r="M643211" s="472"/>
    </row>
    <row r="643283" spans="12:13" x14ac:dyDescent="0.25">
      <c r="L643283" s="472"/>
      <c r="M643283" s="472"/>
    </row>
    <row r="643284" spans="12:13" x14ac:dyDescent="0.25">
      <c r="L643284" s="472"/>
      <c r="M643284" s="472"/>
    </row>
    <row r="643285" spans="12:13" x14ac:dyDescent="0.25">
      <c r="L643285" s="472"/>
      <c r="M643285" s="472"/>
    </row>
    <row r="643357" spans="12:13" x14ac:dyDescent="0.25">
      <c r="L643357" s="472"/>
      <c r="M643357" s="472"/>
    </row>
    <row r="643358" spans="12:13" x14ac:dyDescent="0.25">
      <c r="L643358" s="472"/>
      <c r="M643358" s="472"/>
    </row>
    <row r="643359" spans="12:13" x14ac:dyDescent="0.25">
      <c r="L643359" s="472"/>
      <c r="M643359" s="472"/>
    </row>
    <row r="643431" spans="12:13" x14ac:dyDescent="0.25">
      <c r="L643431" s="472"/>
      <c r="M643431" s="472"/>
    </row>
    <row r="643432" spans="12:13" x14ac:dyDescent="0.25">
      <c r="L643432" s="472"/>
      <c r="M643432" s="472"/>
    </row>
    <row r="643433" spans="12:13" x14ac:dyDescent="0.25">
      <c r="L643433" s="472"/>
      <c r="M643433" s="472"/>
    </row>
    <row r="643505" spans="12:13" x14ac:dyDescent="0.25">
      <c r="L643505" s="472"/>
      <c r="M643505" s="472"/>
    </row>
    <row r="643506" spans="12:13" x14ac:dyDescent="0.25">
      <c r="L643506" s="472"/>
      <c r="M643506" s="472"/>
    </row>
    <row r="643507" spans="12:13" x14ac:dyDescent="0.25">
      <c r="L643507" s="472"/>
      <c r="M643507" s="472"/>
    </row>
    <row r="643579" spans="12:13" x14ac:dyDescent="0.25">
      <c r="L643579" s="472"/>
      <c r="M643579" s="472"/>
    </row>
    <row r="643580" spans="12:13" x14ac:dyDescent="0.25">
      <c r="L643580" s="472"/>
      <c r="M643580" s="472"/>
    </row>
    <row r="643581" spans="12:13" x14ac:dyDescent="0.25">
      <c r="L643581" s="472"/>
      <c r="M643581" s="472"/>
    </row>
    <row r="643653" spans="12:13" x14ac:dyDescent="0.25">
      <c r="L643653" s="472"/>
      <c r="M643653" s="472"/>
    </row>
    <row r="643654" spans="12:13" x14ac:dyDescent="0.25">
      <c r="L643654" s="472"/>
      <c r="M643654" s="472"/>
    </row>
    <row r="643655" spans="12:13" x14ac:dyDescent="0.25">
      <c r="L643655" s="472"/>
      <c r="M643655" s="472"/>
    </row>
    <row r="643727" spans="12:13" x14ac:dyDescent="0.25">
      <c r="L643727" s="472"/>
      <c r="M643727" s="472"/>
    </row>
    <row r="643728" spans="12:13" x14ac:dyDescent="0.25">
      <c r="L643728" s="472"/>
      <c r="M643728" s="472"/>
    </row>
    <row r="643729" spans="12:13" x14ac:dyDescent="0.25">
      <c r="L643729" s="472"/>
      <c r="M643729" s="472"/>
    </row>
    <row r="643801" spans="12:13" x14ac:dyDescent="0.25">
      <c r="L643801" s="472"/>
      <c r="M643801" s="472"/>
    </row>
    <row r="643802" spans="12:13" x14ac:dyDescent="0.25">
      <c r="L643802" s="472"/>
      <c r="M643802" s="472"/>
    </row>
    <row r="643803" spans="12:13" x14ac:dyDescent="0.25">
      <c r="L643803" s="472"/>
      <c r="M643803" s="472"/>
    </row>
    <row r="643875" spans="12:13" x14ac:dyDescent="0.25">
      <c r="L643875" s="472"/>
      <c r="M643875" s="472"/>
    </row>
    <row r="643876" spans="12:13" x14ac:dyDescent="0.25">
      <c r="L643876" s="472"/>
      <c r="M643876" s="472"/>
    </row>
    <row r="643877" spans="12:13" x14ac:dyDescent="0.25">
      <c r="L643877" s="472"/>
      <c r="M643877" s="472"/>
    </row>
    <row r="643949" spans="12:13" x14ac:dyDescent="0.25">
      <c r="L643949" s="472"/>
      <c r="M643949" s="472"/>
    </row>
    <row r="643950" spans="12:13" x14ac:dyDescent="0.25">
      <c r="L643950" s="472"/>
      <c r="M643950" s="472"/>
    </row>
    <row r="643951" spans="12:13" x14ac:dyDescent="0.25">
      <c r="L643951" s="472"/>
      <c r="M643951" s="472"/>
    </row>
    <row r="644023" spans="12:13" x14ac:dyDescent="0.25">
      <c r="L644023" s="472"/>
      <c r="M644023" s="472"/>
    </row>
    <row r="644024" spans="12:13" x14ac:dyDescent="0.25">
      <c r="L644024" s="472"/>
      <c r="M644024" s="472"/>
    </row>
    <row r="644025" spans="12:13" x14ac:dyDescent="0.25">
      <c r="L644025" s="472"/>
      <c r="M644025" s="472"/>
    </row>
    <row r="644097" spans="12:13" x14ac:dyDescent="0.25">
      <c r="L644097" s="472"/>
      <c r="M644097" s="472"/>
    </row>
    <row r="644098" spans="12:13" x14ac:dyDescent="0.25">
      <c r="L644098" s="472"/>
      <c r="M644098" s="472"/>
    </row>
    <row r="644099" spans="12:13" x14ac:dyDescent="0.25">
      <c r="L644099" s="472"/>
      <c r="M644099" s="472"/>
    </row>
    <row r="644171" spans="12:13" x14ac:dyDescent="0.25">
      <c r="L644171" s="472"/>
      <c r="M644171" s="472"/>
    </row>
    <row r="644172" spans="12:13" x14ac:dyDescent="0.25">
      <c r="L644172" s="472"/>
      <c r="M644172" s="472"/>
    </row>
    <row r="644173" spans="12:13" x14ac:dyDescent="0.25">
      <c r="L644173" s="472"/>
      <c r="M644173" s="472"/>
    </row>
    <row r="644245" spans="12:13" x14ac:dyDescent="0.25">
      <c r="L644245" s="472"/>
      <c r="M644245" s="472"/>
    </row>
    <row r="644246" spans="12:13" x14ac:dyDescent="0.25">
      <c r="L644246" s="472"/>
      <c r="M644246" s="472"/>
    </row>
    <row r="644247" spans="12:13" x14ac:dyDescent="0.25">
      <c r="L644247" s="472"/>
      <c r="M644247" s="472"/>
    </row>
    <row r="644319" spans="12:13" x14ac:dyDescent="0.25">
      <c r="L644319" s="472"/>
      <c r="M644319" s="472"/>
    </row>
    <row r="644320" spans="12:13" x14ac:dyDescent="0.25">
      <c r="L644320" s="472"/>
      <c r="M644320" s="472"/>
    </row>
    <row r="644321" spans="12:13" x14ac:dyDescent="0.25">
      <c r="L644321" s="472"/>
      <c r="M644321" s="472"/>
    </row>
    <row r="644393" spans="12:13" x14ac:dyDescent="0.25">
      <c r="L644393" s="472"/>
      <c r="M644393" s="472"/>
    </row>
    <row r="644394" spans="12:13" x14ac:dyDescent="0.25">
      <c r="L644394" s="472"/>
      <c r="M644394" s="472"/>
    </row>
    <row r="644395" spans="12:13" x14ac:dyDescent="0.25">
      <c r="L644395" s="472"/>
      <c r="M644395" s="472"/>
    </row>
    <row r="644467" spans="12:13" x14ac:dyDescent="0.25">
      <c r="L644467" s="472"/>
      <c r="M644467" s="472"/>
    </row>
    <row r="644468" spans="12:13" x14ac:dyDescent="0.25">
      <c r="L644468" s="472"/>
      <c r="M644468" s="472"/>
    </row>
    <row r="644469" spans="12:13" x14ac:dyDescent="0.25">
      <c r="L644469" s="472"/>
      <c r="M644469" s="472"/>
    </row>
    <row r="644541" spans="12:13" x14ac:dyDescent="0.25">
      <c r="L644541" s="472"/>
      <c r="M644541" s="472"/>
    </row>
    <row r="644542" spans="12:13" x14ac:dyDescent="0.25">
      <c r="L644542" s="472"/>
      <c r="M644542" s="472"/>
    </row>
    <row r="644543" spans="12:13" x14ac:dyDescent="0.25">
      <c r="L644543" s="472"/>
      <c r="M644543" s="472"/>
    </row>
    <row r="644615" spans="12:13" x14ac:dyDescent="0.25">
      <c r="L644615" s="472"/>
      <c r="M644615" s="472"/>
    </row>
    <row r="644616" spans="12:13" x14ac:dyDescent="0.25">
      <c r="L644616" s="472"/>
      <c r="M644616" s="472"/>
    </row>
    <row r="644617" spans="12:13" x14ac:dyDescent="0.25">
      <c r="L644617" s="472"/>
      <c r="M644617" s="472"/>
    </row>
    <row r="644689" spans="12:13" x14ac:dyDescent="0.25">
      <c r="L644689" s="472"/>
      <c r="M644689" s="472"/>
    </row>
    <row r="644690" spans="12:13" x14ac:dyDescent="0.25">
      <c r="L644690" s="472"/>
      <c r="M644690" s="472"/>
    </row>
    <row r="644691" spans="12:13" x14ac:dyDescent="0.25">
      <c r="L644691" s="472"/>
      <c r="M644691" s="472"/>
    </row>
    <row r="644763" spans="12:13" x14ac:dyDescent="0.25">
      <c r="L644763" s="472"/>
      <c r="M644763" s="472"/>
    </row>
    <row r="644764" spans="12:13" x14ac:dyDescent="0.25">
      <c r="L644764" s="472"/>
      <c r="M644764" s="472"/>
    </row>
    <row r="644765" spans="12:13" x14ac:dyDescent="0.25">
      <c r="L644765" s="472"/>
      <c r="M644765" s="472"/>
    </row>
    <row r="644837" spans="12:13" x14ac:dyDescent="0.25">
      <c r="L644837" s="472"/>
      <c r="M644837" s="472"/>
    </row>
    <row r="644838" spans="12:13" x14ac:dyDescent="0.25">
      <c r="L644838" s="472"/>
      <c r="M644838" s="472"/>
    </row>
    <row r="644839" spans="12:13" x14ac:dyDescent="0.25">
      <c r="L644839" s="472"/>
      <c r="M644839" s="472"/>
    </row>
    <row r="644911" spans="12:13" x14ac:dyDescent="0.25">
      <c r="L644911" s="472"/>
      <c r="M644911" s="472"/>
    </row>
    <row r="644912" spans="12:13" x14ac:dyDescent="0.25">
      <c r="L644912" s="472"/>
      <c r="M644912" s="472"/>
    </row>
    <row r="644913" spans="12:13" x14ac:dyDescent="0.25">
      <c r="L644913" s="472"/>
      <c r="M644913" s="472"/>
    </row>
    <row r="644985" spans="12:13" x14ac:dyDescent="0.25">
      <c r="L644985" s="472"/>
      <c r="M644985" s="472"/>
    </row>
    <row r="644986" spans="12:13" x14ac:dyDescent="0.25">
      <c r="L644986" s="472"/>
      <c r="M644986" s="472"/>
    </row>
    <row r="644987" spans="12:13" x14ac:dyDescent="0.25">
      <c r="L644987" s="472"/>
      <c r="M644987" s="472"/>
    </row>
    <row r="645059" spans="12:13" x14ac:dyDescent="0.25">
      <c r="L645059" s="472"/>
      <c r="M645059" s="472"/>
    </row>
    <row r="645060" spans="12:13" x14ac:dyDescent="0.25">
      <c r="L645060" s="472"/>
      <c r="M645060" s="472"/>
    </row>
    <row r="645061" spans="12:13" x14ac:dyDescent="0.25">
      <c r="L645061" s="472"/>
      <c r="M645061" s="472"/>
    </row>
    <row r="645133" spans="12:13" x14ac:dyDescent="0.25">
      <c r="L645133" s="472"/>
      <c r="M645133" s="472"/>
    </row>
    <row r="645134" spans="12:13" x14ac:dyDescent="0.25">
      <c r="L645134" s="472"/>
      <c r="M645134" s="472"/>
    </row>
    <row r="645135" spans="12:13" x14ac:dyDescent="0.25">
      <c r="L645135" s="472"/>
      <c r="M645135" s="472"/>
    </row>
    <row r="645207" spans="12:13" x14ac:dyDescent="0.25">
      <c r="L645207" s="472"/>
      <c r="M645207" s="472"/>
    </row>
    <row r="645208" spans="12:13" x14ac:dyDescent="0.25">
      <c r="L645208" s="472"/>
      <c r="M645208" s="472"/>
    </row>
    <row r="645209" spans="12:13" x14ac:dyDescent="0.25">
      <c r="L645209" s="472"/>
      <c r="M645209" s="472"/>
    </row>
    <row r="645281" spans="12:13" x14ac:dyDescent="0.25">
      <c r="L645281" s="472"/>
      <c r="M645281" s="472"/>
    </row>
    <row r="645282" spans="12:13" x14ac:dyDescent="0.25">
      <c r="L645282" s="472"/>
      <c r="M645282" s="472"/>
    </row>
    <row r="645283" spans="12:13" x14ac:dyDescent="0.25">
      <c r="L645283" s="472"/>
      <c r="M645283" s="472"/>
    </row>
    <row r="645355" spans="12:13" x14ac:dyDescent="0.25">
      <c r="L645355" s="472"/>
      <c r="M645355" s="472"/>
    </row>
    <row r="645356" spans="12:13" x14ac:dyDescent="0.25">
      <c r="L645356" s="472"/>
      <c r="M645356" s="472"/>
    </row>
    <row r="645357" spans="12:13" x14ac:dyDescent="0.25">
      <c r="L645357" s="472"/>
      <c r="M645357" s="472"/>
    </row>
    <row r="645429" spans="12:13" x14ac:dyDescent="0.25">
      <c r="L645429" s="472"/>
      <c r="M645429" s="472"/>
    </row>
    <row r="645430" spans="12:13" x14ac:dyDescent="0.25">
      <c r="L645430" s="472"/>
      <c r="M645430" s="472"/>
    </row>
    <row r="645431" spans="12:13" x14ac:dyDescent="0.25">
      <c r="L645431" s="472"/>
      <c r="M645431" s="472"/>
    </row>
    <row r="645503" spans="12:13" x14ac:dyDescent="0.25">
      <c r="L645503" s="472"/>
      <c r="M645503" s="472"/>
    </row>
    <row r="645504" spans="12:13" x14ac:dyDescent="0.25">
      <c r="L645504" s="472"/>
      <c r="M645504" s="472"/>
    </row>
    <row r="645505" spans="12:13" x14ac:dyDescent="0.25">
      <c r="L645505" s="472"/>
      <c r="M645505" s="472"/>
    </row>
    <row r="645577" spans="12:13" x14ac:dyDescent="0.25">
      <c r="L645577" s="472"/>
      <c r="M645577" s="472"/>
    </row>
    <row r="645578" spans="12:13" x14ac:dyDescent="0.25">
      <c r="L645578" s="472"/>
      <c r="M645578" s="472"/>
    </row>
    <row r="645579" spans="12:13" x14ac:dyDescent="0.25">
      <c r="L645579" s="472"/>
      <c r="M645579" s="472"/>
    </row>
    <row r="645651" spans="12:13" x14ac:dyDescent="0.25">
      <c r="L645651" s="472"/>
      <c r="M645651" s="472"/>
    </row>
    <row r="645652" spans="12:13" x14ac:dyDescent="0.25">
      <c r="L645652" s="472"/>
      <c r="M645652" s="472"/>
    </row>
    <row r="645653" spans="12:13" x14ac:dyDescent="0.25">
      <c r="L645653" s="472"/>
      <c r="M645653" s="472"/>
    </row>
    <row r="645725" spans="12:13" x14ac:dyDescent="0.25">
      <c r="L645725" s="472"/>
      <c r="M645725" s="472"/>
    </row>
    <row r="645726" spans="12:13" x14ac:dyDescent="0.25">
      <c r="L645726" s="472"/>
      <c r="M645726" s="472"/>
    </row>
    <row r="645727" spans="12:13" x14ac:dyDescent="0.25">
      <c r="L645727" s="472"/>
      <c r="M645727" s="472"/>
    </row>
    <row r="645799" spans="12:13" x14ac:dyDescent="0.25">
      <c r="L645799" s="472"/>
      <c r="M645799" s="472"/>
    </row>
    <row r="645800" spans="12:13" x14ac:dyDescent="0.25">
      <c r="L645800" s="472"/>
      <c r="M645800" s="472"/>
    </row>
    <row r="645801" spans="12:13" x14ac:dyDescent="0.25">
      <c r="L645801" s="472"/>
      <c r="M645801" s="472"/>
    </row>
    <row r="645873" spans="12:13" x14ac:dyDescent="0.25">
      <c r="L645873" s="472"/>
      <c r="M645873" s="472"/>
    </row>
    <row r="645874" spans="12:13" x14ac:dyDescent="0.25">
      <c r="L645874" s="472"/>
      <c r="M645874" s="472"/>
    </row>
    <row r="645875" spans="12:13" x14ac:dyDescent="0.25">
      <c r="L645875" s="472"/>
      <c r="M645875" s="472"/>
    </row>
    <row r="645947" spans="12:13" x14ac:dyDescent="0.25">
      <c r="L645947" s="472"/>
      <c r="M645947" s="472"/>
    </row>
    <row r="645948" spans="12:13" x14ac:dyDescent="0.25">
      <c r="L645948" s="472"/>
      <c r="M645948" s="472"/>
    </row>
    <row r="645949" spans="12:13" x14ac:dyDescent="0.25">
      <c r="L645949" s="472"/>
      <c r="M645949" s="472"/>
    </row>
    <row r="646021" spans="12:13" x14ac:dyDescent="0.25">
      <c r="L646021" s="472"/>
      <c r="M646021" s="472"/>
    </row>
    <row r="646022" spans="12:13" x14ac:dyDescent="0.25">
      <c r="L646022" s="472"/>
      <c r="M646022" s="472"/>
    </row>
    <row r="646023" spans="12:13" x14ac:dyDescent="0.25">
      <c r="L646023" s="472"/>
      <c r="M646023" s="472"/>
    </row>
    <row r="646095" spans="12:13" x14ac:dyDescent="0.25">
      <c r="L646095" s="472"/>
      <c r="M646095" s="472"/>
    </row>
    <row r="646096" spans="12:13" x14ac:dyDescent="0.25">
      <c r="L646096" s="472"/>
      <c r="M646096" s="472"/>
    </row>
    <row r="646097" spans="12:13" x14ac:dyDescent="0.25">
      <c r="L646097" s="472"/>
      <c r="M646097" s="472"/>
    </row>
    <row r="646169" spans="12:13" x14ac:dyDescent="0.25">
      <c r="L646169" s="472"/>
      <c r="M646169" s="472"/>
    </row>
    <row r="646170" spans="12:13" x14ac:dyDescent="0.25">
      <c r="L646170" s="472"/>
      <c r="M646170" s="472"/>
    </row>
    <row r="646171" spans="12:13" x14ac:dyDescent="0.25">
      <c r="L646171" s="472"/>
      <c r="M646171" s="472"/>
    </row>
    <row r="646243" spans="12:13" x14ac:dyDescent="0.25">
      <c r="L646243" s="472"/>
      <c r="M646243" s="472"/>
    </row>
    <row r="646244" spans="12:13" x14ac:dyDescent="0.25">
      <c r="L646244" s="472"/>
      <c r="M646244" s="472"/>
    </row>
    <row r="646245" spans="12:13" x14ac:dyDescent="0.25">
      <c r="L646245" s="472"/>
      <c r="M646245" s="472"/>
    </row>
    <row r="646317" spans="12:13" x14ac:dyDescent="0.25">
      <c r="L646317" s="472"/>
      <c r="M646317" s="472"/>
    </row>
    <row r="646318" spans="12:13" x14ac:dyDescent="0.25">
      <c r="L646318" s="472"/>
      <c r="M646318" s="472"/>
    </row>
    <row r="646319" spans="12:13" x14ac:dyDescent="0.25">
      <c r="L646319" s="472"/>
      <c r="M646319" s="472"/>
    </row>
    <row r="646391" spans="12:13" x14ac:dyDescent="0.25">
      <c r="L646391" s="472"/>
      <c r="M646391" s="472"/>
    </row>
    <row r="646392" spans="12:13" x14ac:dyDescent="0.25">
      <c r="L646392" s="472"/>
      <c r="M646392" s="472"/>
    </row>
    <row r="646393" spans="12:13" x14ac:dyDescent="0.25">
      <c r="L646393" s="472"/>
      <c r="M646393" s="472"/>
    </row>
    <row r="646465" spans="12:13" x14ac:dyDescent="0.25">
      <c r="L646465" s="472"/>
      <c r="M646465" s="472"/>
    </row>
    <row r="646466" spans="12:13" x14ac:dyDescent="0.25">
      <c r="L646466" s="472"/>
      <c r="M646466" s="472"/>
    </row>
    <row r="646467" spans="12:13" x14ac:dyDescent="0.25">
      <c r="L646467" s="472"/>
      <c r="M646467" s="472"/>
    </row>
    <row r="646539" spans="12:13" x14ac:dyDescent="0.25">
      <c r="L646539" s="472"/>
      <c r="M646539" s="472"/>
    </row>
    <row r="646540" spans="12:13" x14ac:dyDescent="0.25">
      <c r="L646540" s="472"/>
      <c r="M646540" s="472"/>
    </row>
    <row r="646541" spans="12:13" x14ac:dyDescent="0.25">
      <c r="L646541" s="472"/>
      <c r="M646541" s="472"/>
    </row>
    <row r="646613" spans="12:13" x14ac:dyDescent="0.25">
      <c r="L646613" s="472"/>
      <c r="M646613" s="472"/>
    </row>
    <row r="646614" spans="12:13" x14ac:dyDescent="0.25">
      <c r="L646614" s="472"/>
      <c r="M646614" s="472"/>
    </row>
    <row r="646615" spans="12:13" x14ac:dyDescent="0.25">
      <c r="L646615" s="472"/>
      <c r="M646615" s="472"/>
    </row>
    <row r="646687" spans="12:13" x14ac:dyDescent="0.25">
      <c r="L646687" s="472"/>
      <c r="M646687" s="472"/>
    </row>
    <row r="646688" spans="12:13" x14ac:dyDescent="0.25">
      <c r="L646688" s="472"/>
      <c r="M646688" s="472"/>
    </row>
    <row r="646689" spans="12:13" x14ac:dyDescent="0.25">
      <c r="L646689" s="472"/>
      <c r="M646689" s="472"/>
    </row>
    <row r="646761" spans="12:13" x14ac:dyDescent="0.25">
      <c r="L646761" s="472"/>
      <c r="M646761" s="472"/>
    </row>
    <row r="646762" spans="12:13" x14ac:dyDescent="0.25">
      <c r="L646762" s="472"/>
      <c r="M646762" s="472"/>
    </row>
    <row r="646763" spans="12:13" x14ac:dyDescent="0.25">
      <c r="L646763" s="472"/>
      <c r="M646763" s="472"/>
    </row>
    <row r="646835" spans="12:13" x14ac:dyDescent="0.25">
      <c r="L646835" s="472"/>
      <c r="M646835" s="472"/>
    </row>
    <row r="646836" spans="12:13" x14ac:dyDescent="0.25">
      <c r="L646836" s="472"/>
      <c r="M646836" s="472"/>
    </row>
    <row r="646837" spans="12:13" x14ac:dyDescent="0.25">
      <c r="L646837" s="472"/>
      <c r="M646837" s="472"/>
    </row>
    <row r="646909" spans="12:13" x14ac:dyDescent="0.25">
      <c r="L646909" s="472"/>
      <c r="M646909" s="472"/>
    </row>
    <row r="646910" spans="12:13" x14ac:dyDescent="0.25">
      <c r="L646910" s="472"/>
      <c r="M646910" s="472"/>
    </row>
    <row r="646911" spans="12:13" x14ac:dyDescent="0.25">
      <c r="L646911" s="472"/>
      <c r="M646911" s="472"/>
    </row>
    <row r="646983" spans="12:13" x14ac:dyDescent="0.25">
      <c r="L646983" s="472"/>
      <c r="M646983" s="472"/>
    </row>
    <row r="646984" spans="12:13" x14ac:dyDescent="0.25">
      <c r="L646984" s="472"/>
      <c r="M646984" s="472"/>
    </row>
    <row r="646985" spans="12:13" x14ac:dyDescent="0.25">
      <c r="L646985" s="472"/>
      <c r="M646985" s="472"/>
    </row>
    <row r="647057" spans="12:13" x14ac:dyDescent="0.25">
      <c r="L647057" s="472"/>
      <c r="M647057" s="472"/>
    </row>
    <row r="647058" spans="12:13" x14ac:dyDescent="0.25">
      <c r="L647058" s="472"/>
      <c r="M647058" s="472"/>
    </row>
    <row r="647059" spans="12:13" x14ac:dyDescent="0.25">
      <c r="L647059" s="472"/>
      <c r="M647059" s="472"/>
    </row>
    <row r="647131" spans="12:13" x14ac:dyDescent="0.25">
      <c r="L647131" s="472"/>
      <c r="M647131" s="472"/>
    </row>
    <row r="647132" spans="12:13" x14ac:dyDescent="0.25">
      <c r="L647132" s="472"/>
      <c r="M647132" s="472"/>
    </row>
    <row r="647133" spans="12:13" x14ac:dyDescent="0.25">
      <c r="L647133" s="472"/>
      <c r="M647133" s="472"/>
    </row>
    <row r="647205" spans="12:13" x14ac:dyDescent="0.25">
      <c r="L647205" s="472"/>
      <c r="M647205" s="472"/>
    </row>
    <row r="647206" spans="12:13" x14ac:dyDescent="0.25">
      <c r="L647206" s="472"/>
      <c r="M647206" s="472"/>
    </row>
    <row r="647207" spans="12:13" x14ac:dyDescent="0.25">
      <c r="L647207" s="472"/>
      <c r="M647207" s="472"/>
    </row>
    <row r="647279" spans="12:13" x14ac:dyDescent="0.25">
      <c r="L647279" s="472"/>
      <c r="M647279" s="472"/>
    </row>
    <row r="647280" spans="12:13" x14ac:dyDescent="0.25">
      <c r="L647280" s="472"/>
      <c r="M647280" s="472"/>
    </row>
    <row r="647281" spans="12:13" x14ac:dyDescent="0.25">
      <c r="L647281" s="472"/>
      <c r="M647281" s="472"/>
    </row>
    <row r="647353" spans="12:13" x14ac:dyDescent="0.25">
      <c r="L647353" s="472"/>
      <c r="M647353" s="472"/>
    </row>
    <row r="647354" spans="12:13" x14ac:dyDescent="0.25">
      <c r="L647354" s="472"/>
      <c r="M647354" s="472"/>
    </row>
    <row r="647355" spans="12:13" x14ac:dyDescent="0.25">
      <c r="L647355" s="472"/>
      <c r="M647355" s="472"/>
    </row>
    <row r="647427" spans="12:13" x14ac:dyDescent="0.25">
      <c r="L647427" s="472"/>
      <c r="M647427" s="472"/>
    </row>
    <row r="647428" spans="12:13" x14ac:dyDescent="0.25">
      <c r="L647428" s="472"/>
      <c r="M647428" s="472"/>
    </row>
    <row r="647429" spans="12:13" x14ac:dyDescent="0.25">
      <c r="L647429" s="472"/>
      <c r="M647429" s="472"/>
    </row>
    <row r="647501" spans="12:13" x14ac:dyDescent="0.25">
      <c r="L647501" s="472"/>
      <c r="M647501" s="472"/>
    </row>
    <row r="647502" spans="12:13" x14ac:dyDescent="0.25">
      <c r="L647502" s="472"/>
      <c r="M647502" s="472"/>
    </row>
    <row r="647503" spans="12:13" x14ac:dyDescent="0.25">
      <c r="L647503" s="472"/>
      <c r="M647503" s="472"/>
    </row>
    <row r="647575" spans="12:13" x14ac:dyDescent="0.25">
      <c r="L647575" s="472"/>
      <c r="M647575" s="472"/>
    </row>
    <row r="647576" spans="12:13" x14ac:dyDescent="0.25">
      <c r="L647576" s="472"/>
      <c r="M647576" s="472"/>
    </row>
    <row r="647577" spans="12:13" x14ac:dyDescent="0.25">
      <c r="L647577" s="472"/>
      <c r="M647577" s="472"/>
    </row>
    <row r="647649" spans="12:13" x14ac:dyDescent="0.25">
      <c r="L647649" s="472"/>
      <c r="M647649" s="472"/>
    </row>
    <row r="647650" spans="12:13" x14ac:dyDescent="0.25">
      <c r="L647650" s="472"/>
      <c r="M647650" s="472"/>
    </row>
    <row r="647651" spans="12:13" x14ac:dyDescent="0.25">
      <c r="L647651" s="472"/>
      <c r="M647651" s="472"/>
    </row>
    <row r="647723" spans="12:13" x14ac:dyDescent="0.25">
      <c r="L647723" s="472"/>
      <c r="M647723" s="472"/>
    </row>
    <row r="647724" spans="12:13" x14ac:dyDescent="0.25">
      <c r="L647724" s="472"/>
      <c r="M647724" s="472"/>
    </row>
    <row r="647725" spans="12:13" x14ac:dyDescent="0.25">
      <c r="L647725" s="472"/>
      <c r="M647725" s="472"/>
    </row>
    <row r="647797" spans="12:13" x14ac:dyDescent="0.25">
      <c r="L647797" s="472"/>
      <c r="M647797" s="472"/>
    </row>
    <row r="647798" spans="12:13" x14ac:dyDescent="0.25">
      <c r="L647798" s="472"/>
      <c r="M647798" s="472"/>
    </row>
    <row r="647799" spans="12:13" x14ac:dyDescent="0.25">
      <c r="L647799" s="472"/>
      <c r="M647799" s="472"/>
    </row>
    <row r="647871" spans="12:13" x14ac:dyDescent="0.25">
      <c r="L647871" s="472"/>
      <c r="M647871" s="472"/>
    </row>
    <row r="647872" spans="12:13" x14ac:dyDescent="0.25">
      <c r="L647872" s="472"/>
      <c r="M647872" s="472"/>
    </row>
    <row r="647873" spans="12:13" x14ac:dyDescent="0.25">
      <c r="L647873" s="472"/>
      <c r="M647873" s="472"/>
    </row>
    <row r="647945" spans="12:13" x14ac:dyDescent="0.25">
      <c r="L647945" s="472"/>
      <c r="M647945" s="472"/>
    </row>
    <row r="647946" spans="12:13" x14ac:dyDescent="0.25">
      <c r="L647946" s="472"/>
      <c r="M647946" s="472"/>
    </row>
    <row r="647947" spans="12:13" x14ac:dyDescent="0.25">
      <c r="L647947" s="472"/>
      <c r="M647947" s="472"/>
    </row>
    <row r="648019" spans="12:13" x14ac:dyDescent="0.25">
      <c r="L648019" s="472"/>
      <c r="M648019" s="472"/>
    </row>
    <row r="648020" spans="12:13" x14ac:dyDescent="0.25">
      <c r="L648020" s="472"/>
      <c r="M648020" s="472"/>
    </row>
    <row r="648021" spans="12:13" x14ac:dyDescent="0.25">
      <c r="L648021" s="472"/>
      <c r="M648021" s="472"/>
    </row>
    <row r="648093" spans="12:13" x14ac:dyDescent="0.25">
      <c r="L648093" s="472"/>
      <c r="M648093" s="472"/>
    </row>
    <row r="648094" spans="12:13" x14ac:dyDescent="0.25">
      <c r="L648094" s="472"/>
      <c r="M648094" s="472"/>
    </row>
    <row r="648095" spans="12:13" x14ac:dyDescent="0.25">
      <c r="L648095" s="472"/>
      <c r="M648095" s="472"/>
    </row>
    <row r="648167" spans="12:13" x14ac:dyDescent="0.25">
      <c r="L648167" s="472"/>
      <c r="M648167" s="472"/>
    </row>
    <row r="648168" spans="12:13" x14ac:dyDescent="0.25">
      <c r="L648168" s="472"/>
      <c r="M648168" s="472"/>
    </row>
    <row r="648169" spans="12:13" x14ac:dyDescent="0.25">
      <c r="L648169" s="472"/>
      <c r="M648169" s="472"/>
    </row>
    <row r="648241" spans="12:13" x14ac:dyDescent="0.25">
      <c r="L648241" s="472"/>
      <c r="M648241" s="472"/>
    </row>
    <row r="648242" spans="12:13" x14ac:dyDescent="0.25">
      <c r="L648242" s="472"/>
      <c r="M648242" s="472"/>
    </row>
    <row r="648243" spans="12:13" x14ac:dyDescent="0.25">
      <c r="L648243" s="472"/>
      <c r="M648243" s="472"/>
    </row>
    <row r="648315" spans="12:13" x14ac:dyDescent="0.25">
      <c r="L648315" s="472"/>
      <c r="M648315" s="472"/>
    </row>
    <row r="648316" spans="12:13" x14ac:dyDescent="0.25">
      <c r="L648316" s="472"/>
      <c r="M648316" s="472"/>
    </row>
    <row r="648317" spans="12:13" x14ac:dyDescent="0.25">
      <c r="L648317" s="472"/>
      <c r="M648317" s="472"/>
    </row>
    <row r="648389" spans="12:13" x14ac:dyDescent="0.25">
      <c r="L648389" s="472"/>
      <c r="M648389" s="472"/>
    </row>
    <row r="648390" spans="12:13" x14ac:dyDescent="0.25">
      <c r="L648390" s="472"/>
      <c r="M648390" s="472"/>
    </row>
    <row r="648391" spans="12:13" x14ac:dyDescent="0.25">
      <c r="L648391" s="472"/>
      <c r="M648391" s="472"/>
    </row>
    <row r="648463" spans="12:13" x14ac:dyDescent="0.25">
      <c r="L648463" s="472"/>
      <c r="M648463" s="472"/>
    </row>
    <row r="648464" spans="12:13" x14ac:dyDescent="0.25">
      <c r="L648464" s="472"/>
      <c r="M648464" s="472"/>
    </row>
    <row r="648465" spans="12:13" x14ac:dyDescent="0.25">
      <c r="L648465" s="472"/>
      <c r="M648465" s="472"/>
    </row>
    <row r="648537" spans="12:13" x14ac:dyDescent="0.25">
      <c r="L648537" s="472"/>
      <c r="M648537" s="472"/>
    </row>
    <row r="648538" spans="12:13" x14ac:dyDescent="0.25">
      <c r="L648538" s="472"/>
      <c r="M648538" s="472"/>
    </row>
    <row r="648539" spans="12:13" x14ac:dyDescent="0.25">
      <c r="L648539" s="472"/>
      <c r="M648539" s="472"/>
    </row>
    <row r="648611" spans="12:13" x14ac:dyDescent="0.25">
      <c r="L648611" s="472"/>
      <c r="M648611" s="472"/>
    </row>
    <row r="648612" spans="12:13" x14ac:dyDescent="0.25">
      <c r="L648612" s="472"/>
      <c r="M648612" s="472"/>
    </row>
    <row r="648613" spans="12:13" x14ac:dyDescent="0.25">
      <c r="L648613" s="472"/>
      <c r="M648613" s="472"/>
    </row>
    <row r="648685" spans="12:13" x14ac:dyDescent="0.25">
      <c r="L648685" s="472"/>
      <c r="M648685" s="472"/>
    </row>
    <row r="648686" spans="12:13" x14ac:dyDescent="0.25">
      <c r="L648686" s="472"/>
      <c r="M648686" s="472"/>
    </row>
    <row r="648687" spans="12:13" x14ac:dyDescent="0.25">
      <c r="L648687" s="472"/>
      <c r="M648687" s="472"/>
    </row>
    <row r="648759" spans="12:13" x14ac:dyDescent="0.25">
      <c r="L648759" s="472"/>
      <c r="M648759" s="472"/>
    </row>
    <row r="648760" spans="12:13" x14ac:dyDescent="0.25">
      <c r="L648760" s="472"/>
      <c r="M648760" s="472"/>
    </row>
    <row r="648761" spans="12:13" x14ac:dyDescent="0.25">
      <c r="L648761" s="472"/>
      <c r="M648761" s="472"/>
    </row>
    <row r="648833" spans="12:13" x14ac:dyDescent="0.25">
      <c r="L648833" s="472"/>
      <c r="M648833" s="472"/>
    </row>
    <row r="648834" spans="12:13" x14ac:dyDescent="0.25">
      <c r="L648834" s="472"/>
      <c r="M648834" s="472"/>
    </row>
    <row r="648835" spans="12:13" x14ac:dyDescent="0.25">
      <c r="L648835" s="472"/>
      <c r="M648835" s="472"/>
    </row>
    <row r="648907" spans="12:13" x14ac:dyDescent="0.25">
      <c r="L648907" s="472"/>
      <c r="M648907" s="472"/>
    </row>
    <row r="648908" spans="12:13" x14ac:dyDescent="0.25">
      <c r="L648908" s="472"/>
      <c r="M648908" s="472"/>
    </row>
    <row r="648909" spans="12:13" x14ac:dyDescent="0.25">
      <c r="L648909" s="472"/>
      <c r="M648909" s="472"/>
    </row>
    <row r="648981" spans="12:13" x14ac:dyDescent="0.25">
      <c r="L648981" s="472"/>
      <c r="M648981" s="472"/>
    </row>
    <row r="648982" spans="12:13" x14ac:dyDescent="0.25">
      <c r="L648982" s="472"/>
      <c r="M648982" s="472"/>
    </row>
    <row r="648983" spans="12:13" x14ac:dyDescent="0.25">
      <c r="L648983" s="472"/>
      <c r="M648983" s="472"/>
    </row>
    <row r="649055" spans="12:13" x14ac:dyDescent="0.25">
      <c r="L649055" s="472"/>
      <c r="M649055" s="472"/>
    </row>
    <row r="649056" spans="12:13" x14ac:dyDescent="0.25">
      <c r="L649056" s="472"/>
      <c r="M649056" s="472"/>
    </row>
    <row r="649057" spans="12:13" x14ac:dyDescent="0.25">
      <c r="L649057" s="472"/>
      <c r="M649057" s="472"/>
    </row>
    <row r="649129" spans="12:13" x14ac:dyDescent="0.25">
      <c r="L649129" s="472"/>
      <c r="M649129" s="472"/>
    </row>
    <row r="649130" spans="12:13" x14ac:dyDescent="0.25">
      <c r="L649130" s="472"/>
      <c r="M649130" s="472"/>
    </row>
    <row r="649131" spans="12:13" x14ac:dyDescent="0.25">
      <c r="L649131" s="472"/>
      <c r="M649131" s="472"/>
    </row>
    <row r="649203" spans="12:13" x14ac:dyDescent="0.25">
      <c r="L649203" s="472"/>
      <c r="M649203" s="472"/>
    </row>
    <row r="649204" spans="12:13" x14ac:dyDescent="0.25">
      <c r="L649204" s="472"/>
      <c r="M649204" s="472"/>
    </row>
    <row r="649205" spans="12:13" x14ac:dyDescent="0.25">
      <c r="L649205" s="472"/>
      <c r="M649205" s="472"/>
    </row>
    <row r="649277" spans="12:13" x14ac:dyDescent="0.25">
      <c r="L649277" s="472"/>
      <c r="M649277" s="472"/>
    </row>
    <row r="649278" spans="12:13" x14ac:dyDescent="0.25">
      <c r="L649278" s="472"/>
      <c r="M649278" s="472"/>
    </row>
    <row r="649279" spans="12:13" x14ac:dyDescent="0.25">
      <c r="L649279" s="472"/>
      <c r="M649279" s="472"/>
    </row>
    <row r="649351" spans="12:13" x14ac:dyDescent="0.25">
      <c r="L649351" s="472"/>
      <c r="M649351" s="472"/>
    </row>
    <row r="649352" spans="12:13" x14ac:dyDescent="0.25">
      <c r="L649352" s="472"/>
      <c r="M649352" s="472"/>
    </row>
    <row r="649353" spans="12:13" x14ac:dyDescent="0.25">
      <c r="L649353" s="472"/>
      <c r="M649353" s="472"/>
    </row>
    <row r="649425" spans="12:13" x14ac:dyDescent="0.25">
      <c r="L649425" s="472"/>
      <c r="M649425" s="472"/>
    </row>
    <row r="649426" spans="12:13" x14ac:dyDescent="0.25">
      <c r="L649426" s="472"/>
      <c r="M649426" s="472"/>
    </row>
    <row r="649427" spans="12:13" x14ac:dyDescent="0.25">
      <c r="L649427" s="472"/>
      <c r="M649427" s="472"/>
    </row>
    <row r="649499" spans="12:13" x14ac:dyDescent="0.25">
      <c r="L649499" s="472"/>
      <c r="M649499" s="472"/>
    </row>
    <row r="649500" spans="12:13" x14ac:dyDescent="0.25">
      <c r="L649500" s="472"/>
      <c r="M649500" s="472"/>
    </row>
    <row r="649501" spans="12:13" x14ac:dyDescent="0.25">
      <c r="L649501" s="472"/>
      <c r="M649501" s="472"/>
    </row>
    <row r="649573" spans="12:13" x14ac:dyDescent="0.25">
      <c r="L649573" s="472"/>
      <c r="M649573" s="472"/>
    </row>
    <row r="649574" spans="12:13" x14ac:dyDescent="0.25">
      <c r="L649574" s="472"/>
      <c r="M649574" s="472"/>
    </row>
    <row r="649575" spans="12:13" x14ac:dyDescent="0.25">
      <c r="L649575" s="472"/>
      <c r="M649575" s="472"/>
    </row>
    <row r="649647" spans="12:13" x14ac:dyDescent="0.25">
      <c r="L649647" s="472"/>
      <c r="M649647" s="472"/>
    </row>
    <row r="649648" spans="12:13" x14ac:dyDescent="0.25">
      <c r="L649648" s="472"/>
      <c r="M649648" s="472"/>
    </row>
    <row r="649649" spans="12:13" x14ac:dyDescent="0.25">
      <c r="L649649" s="472"/>
      <c r="M649649" s="472"/>
    </row>
    <row r="649721" spans="12:13" x14ac:dyDescent="0.25">
      <c r="L649721" s="472"/>
      <c r="M649721" s="472"/>
    </row>
    <row r="649722" spans="12:13" x14ac:dyDescent="0.25">
      <c r="L649722" s="472"/>
      <c r="M649722" s="472"/>
    </row>
    <row r="649723" spans="12:13" x14ac:dyDescent="0.25">
      <c r="L649723" s="472"/>
      <c r="M649723" s="472"/>
    </row>
    <row r="649795" spans="12:13" x14ac:dyDescent="0.25">
      <c r="L649795" s="472"/>
      <c r="M649795" s="472"/>
    </row>
    <row r="649796" spans="12:13" x14ac:dyDescent="0.25">
      <c r="L649796" s="472"/>
      <c r="M649796" s="472"/>
    </row>
    <row r="649797" spans="12:13" x14ac:dyDescent="0.25">
      <c r="L649797" s="472"/>
      <c r="M649797" s="472"/>
    </row>
    <row r="649869" spans="12:13" x14ac:dyDescent="0.25">
      <c r="L649869" s="472"/>
      <c r="M649869" s="472"/>
    </row>
    <row r="649870" spans="12:13" x14ac:dyDescent="0.25">
      <c r="L649870" s="472"/>
      <c r="M649870" s="472"/>
    </row>
    <row r="649871" spans="12:13" x14ac:dyDescent="0.25">
      <c r="L649871" s="472"/>
      <c r="M649871" s="472"/>
    </row>
    <row r="649943" spans="12:13" x14ac:dyDescent="0.25">
      <c r="L649943" s="472"/>
      <c r="M649943" s="472"/>
    </row>
    <row r="649944" spans="12:13" x14ac:dyDescent="0.25">
      <c r="L649944" s="472"/>
      <c r="M649944" s="472"/>
    </row>
    <row r="649945" spans="12:13" x14ac:dyDescent="0.25">
      <c r="L649945" s="472"/>
      <c r="M649945" s="472"/>
    </row>
    <row r="650017" spans="12:13" x14ac:dyDescent="0.25">
      <c r="L650017" s="472"/>
      <c r="M650017" s="472"/>
    </row>
    <row r="650018" spans="12:13" x14ac:dyDescent="0.25">
      <c r="L650018" s="472"/>
      <c r="M650018" s="472"/>
    </row>
    <row r="650019" spans="12:13" x14ac:dyDescent="0.25">
      <c r="L650019" s="472"/>
      <c r="M650019" s="472"/>
    </row>
    <row r="650091" spans="12:13" x14ac:dyDescent="0.25">
      <c r="L650091" s="472"/>
      <c r="M650091" s="472"/>
    </row>
    <row r="650092" spans="12:13" x14ac:dyDescent="0.25">
      <c r="L650092" s="472"/>
      <c r="M650092" s="472"/>
    </row>
    <row r="650093" spans="12:13" x14ac:dyDescent="0.25">
      <c r="L650093" s="472"/>
      <c r="M650093" s="472"/>
    </row>
    <row r="650165" spans="12:13" x14ac:dyDescent="0.25">
      <c r="L650165" s="472"/>
      <c r="M650165" s="472"/>
    </row>
    <row r="650166" spans="12:13" x14ac:dyDescent="0.25">
      <c r="L650166" s="472"/>
      <c r="M650166" s="472"/>
    </row>
    <row r="650167" spans="12:13" x14ac:dyDescent="0.25">
      <c r="L650167" s="472"/>
      <c r="M650167" s="472"/>
    </row>
    <row r="650239" spans="12:13" x14ac:dyDescent="0.25">
      <c r="L650239" s="472"/>
      <c r="M650239" s="472"/>
    </row>
    <row r="650240" spans="12:13" x14ac:dyDescent="0.25">
      <c r="L650240" s="472"/>
      <c r="M650240" s="472"/>
    </row>
    <row r="650241" spans="12:13" x14ac:dyDescent="0.25">
      <c r="L650241" s="472"/>
      <c r="M650241" s="472"/>
    </row>
    <row r="650313" spans="12:13" x14ac:dyDescent="0.25">
      <c r="L650313" s="472"/>
      <c r="M650313" s="472"/>
    </row>
    <row r="650314" spans="12:13" x14ac:dyDescent="0.25">
      <c r="L650314" s="472"/>
      <c r="M650314" s="472"/>
    </row>
    <row r="650315" spans="12:13" x14ac:dyDescent="0.25">
      <c r="L650315" s="472"/>
      <c r="M650315" s="472"/>
    </row>
    <row r="650387" spans="12:13" x14ac:dyDescent="0.25">
      <c r="L650387" s="472"/>
      <c r="M650387" s="472"/>
    </row>
    <row r="650388" spans="12:13" x14ac:dyDescent="0.25">
      <c r="L650388" s="472"/>
      <c r="M650388" s="472"/>
    </row>
    <row r="650389" spans="12:13" x14ac:dyDescent="0.25">
      <c r="L650389" s="472"/>
      <c r="M650389" s="472"/>
    </row>
    <row r="650461" spans="12:13" x14ac:dyDescent="0.25">
      <c r="L650461" s="472"/>
      <c r="M650461" s="472"/>
    </row>
    <row r="650462" spans="12:13" x14ac:dyDescent="0.25">
      <c r="L650462" s="472"/>
      <c r="M650462" s="472"/>
    </row>
    <row r="650463" spans="12:13" x14ac:dyDescent="0.25">
      <c r="L650463" s="472"/>
      <c r="M650463" s="472"/>
    </row>
    <row r="650535" spans="12:13" x14ac:dyDescent="0.25">
      <c r="L650535" s="472"/>
      <c r="M650535" s="472"/>
    </row>
    <row r="650536" spans="12:13" x14ac:dyDescent="0.25">
      <c r="L650536" s="472"/>
      <c r="M650536" s="472"/>
    </row>
    <row r="650537" spans="12:13" x14ac:dyDescent="0.25">
      <c r="L650537" s="472"/>
      <c r="M650537" s="472"/>
    </row>
    <row r="650609" spans="12:13" x14ac:dyDescent="0.25">
      <c r="L650609" s="472"/>
      <c r="M650609" s="472"/>
    </row>
    <row r="650610" spans="12:13" x14ac:dyDescent="0.25">
      <c r="L650610" s="472"/>
      <c r="M650610" s="472"/>
    </row>
    <row r="650611" spans="12:13" x14ac:dyDescent="0.25">
      <c r="L650611" s="472"/>
      <c r="M650611" s="472"/>
    </row>
    <row r="650683" spans="12:13" x14ac:dyDescent="0.25">
      <c r="L650683" s="472"/>
      <c r="M650683" s="472"/>
    </row>
    <row r="650684" spans="12:13" x14ac:dyDescent="0.25">
      <c r="L650684" s="472"/>
      <c r="M650684" s="472"/>
    </row>
    <row r="650685" spans="12:13" x14ac:dyDescent="0.25">
      <c r="L650685" s="472"/>
      <c r="M650685" s="472"/>
    </row>
    <row r="650757" spans="12:13" x14ac:dyDescent="0.25">
      <c r="L650757" s="472"/>
      <c r="M650757" s="472"/>
    </row>
    <row r="650758" spans="12:13" x14ac:dyDescent="0.25">
      <c r="L650758" s="472"/>
      <c r="M650758" s="472"/>
    </row>
    <row r="650759" spans="12:13" x14ac:dyDescent="0.25">
      <c r="L650759" s="472"/>
      <c r="M650759" s="472"/>
    </row>
    <row r="650831" spans="12:13" x14ac:dyDescent="0.25">
      <c r="L650831" s="472"/>
      <c r="M650831" s="472"/>
    </row>
    <row r="650832" spans="12:13" x14ac:dyDescent="0.25">
      <c r="L650832" s="472"/>
      <c r="M650832" s="472"/>
    </row>
    <row r="650833" spans="12:13" x14ac:dyDescent="0.25">
      <c r="L650833" s="472"/>
      <c r="M650833" s="472"/>
    </row>
    <row r="650905" spans="12:13" x14ac:dyDescent="0.25">
      <c r="L650905" s="472"/>
      <c r="M650905" s="472"/>
    </row>
    <row r="650906" spans="12:13" x14ac:dyDescent="0.25">
      <c r="L650906" s="472"/>
      <c r="M650906" s="472"/>
    </row>
    <row r="650907" spans="12:13" x14ac:dyDescent="0.25">
      <c r="L650907" s="472"/>
      <c r="M650907" s="472"/>
    </row>
    <row r="650979" spans="12:13" x14ac:dyDescent="0.25">
      <c r="L650979" s="472"/>
      <c r="M650979" s="472"/>
    </row>
    <row r="650980" spans="12:13" x14ac:dyDescent="0.25">
      <c r="L650980" s="472"/>
      <c r="M650980" s="472"/>
    </row>
    <row r="650981" spans="12:13" x14ac:dyDescent="0.25">
      <c r="L650981" s="472"/>
      <c r="M650981" s="472"/>
    </row>
    <row r="651053" spans="12:13" x14ac:dyDescent="0.25">
      <c r="L651053" s="472"/>
      <c r="M651053" s="472"/>
    </row>
    <row r="651054" spans="12:13" x14ac:dyDescent="0.25">
      <c r="L651054" s="472"/>
      <c r="M651054" s="472"/>
    </row>
    <row r="651055" spans="12:13" x14ac:dyDescent="0.25">
      <c r="L651055" s="472"/>
      <c r="M651055" s="472"/>
    </row>
    <row r="651127" spans="12:13" x14ac:dyDescent="0.25">
      <c r="L651127" s="472"/>
      <c r="M651127" s="472"/>
    </row>
    <row r="651128" spans="12:13" x14ac:dyDescent="0.25">
      <c r="L651128" s="472"/>
      <c r="M651128" s="472"/>
    </row>
    <row r="651129" spans="12:13" x14ac:dyDescent="0.25">
      <c r="L651129" s="472"/>
      <c r="M651129" s="472"/>
    </row>
    <row r="651201" spans="12:13" x14ac:dyDescent="0.25">
      <c r="L651201" s="472"/>
      <c r="M651201" s="472"/>
    </row>
    <row r="651202" spans="12:13" x14ac:dyDescent="0.25">
      <c r="L651202" s="472"/>
      <c r="M651202" s="472"/>
    </row>
    <row r="651203" spans="12:13" x14ac:dyDescent="0.25">
      <c r="L651203" s="472"/>
      <c r="M651203" s="472"/>
    </row>
    <row r="651275" spans="12:13" x14ac:dyDescent="0.25">
      <c r="L651275" s="472"/>
      <c r="M651275" s="472"/>
    </row>
    <row r="651276" spans="12:13" x14ac:dyDescent="0.25">
      <c r="L651276" s="472"/>
      <c r="M651276" s="472"/>
    </row>
    <row r="651277" spans="12:13" x14ac:dyDescent="0.25">
      <c r="L651277" s="472"/>
      <c r="M651277" s="472"/>
    </row>
    <row r="651349" spans="12:13" x14ac:dyDescent="0.25">
      <c r="L651349" s="472"/>
      <c r="M651349" s="472"/>
    </row>
    <row r="651350" spans="12:13" x14ac:dyDescent="0.25">
      <c r="L651350" s="472"/>
      <c r="M651350" s="472"/>
    </row>
    <row r="651351" spans="12:13" x14ac:dyDescent="0.25">
      <c r="L651351" s="472"/>
      <c r="M651351" s="472"/>
    </row>
    <row r="651423" spans="12:13" x14ac:dyDescent="0.25">
      <c r="L651423" s="472"/>
      <c r="M651423" s="472"/>
    </row>
    <row r="651424" spans="12:13" x14ac:dyDescent="0.25">
      <c r="L651424" s="472"/>
      <c r="M651424" s="472"/>
    </row>
    <row r="651425" spans="12:13" x14ac:dyDescent="0.25">
      <c r="L651425" s="472"/>
      <c r="M651425" s="472"/>
    </row>
    <row r="651497" spans="12:13" x14ac:dyDescent="0.25">
      <c r="L651497" s="472"/>
      <c r="M651497" s="472"/>
    </row>
    <row r="651498" spans="12:13" x14ac:dyDescent="0.25">
      <c r="L651498" s="472"/>
      <c r="M651498" s="472"/>
    </row>
    <row r="651499" spans="12:13" x14ac:dyDescent="0.25">
      <c r="L651499" s="472"/>
      <c r="M651499" s="472"/>
    </row>
    <row r="651571" spans="12:13" x14ac:dyDescent="0.25">
      <c r="L651571" s="472"/>
      <c r="M651571" s="472"/>
    </row>
    <row r="651572" spans="12:13" x14ac:dyDescent="0.25">
      <c r="L651572" s="472"/>
      <c r="M651572" s="472"/>
    </row>
    <row r="651573" spans="12:13" x14ac:dyDescent="0.25">
      <c r="L651573" s="472"/>
      <c r="M651573" s="472"/>
    </row>
    <row r="651645" spans="12:13" x14ac:dyDescent="0.25">
      <c r="L651645" s="472"/>
      <c r="M651645" s="472"/>
    </row>
    <row r="651646" spans="12:13" x14ac:dyDescent="0.25">
      <c r="L651646" s="472"/>
      <c r="M651646" s="472"/>
    </row>
    <row r="651647" spans="12:13" x14ac:dyDescent="0.25">
      <c r="L651647" s="472"/>
      <c r="M651647" s="472"/>
    </row>
    <row r="651719" spans="12:13" x14ac:dyDescent="0.25">
      <c r="L651719" s="472"/>
      <c r="M651719" s="472"/>
    </row>
    <row r="651720" spans="12:13" x14ac:dyDescent="0.25">
      <c r="L651720" s="472"/>
      <c r="M651720" s="472"/>
    </row>
    <row r="651721" spans="12:13" x14ac:dyDescent="0.25">
      <c r="L651721" s="472"/>
      <c r="M651721" s="472"/>
    </row>
    <row r="651793" spans="12:13" x14ac:dyDescent="0.25">
      <c r="L651793" s="472"/>
      <c r="M651793" s="472"/>
    </row>
    <row r="651794" spans="12:13" x14ac:dyDescent="0.25">
      <c r="L651794" s="472"/>
      <c r="M651794" s="472"/>
    </row>
    <row r="651795" spans="12:13" x14ac:dyDescent="0.25">
      <c r="L651795" s="472"/>
      <c r="M651795" s="472"/>
    </row>
    <row r="651867" spans="12:13" x14ac:dyDescent="0.25">
      <c r="L651867" s="472"/>
      <c r="M651867" s="472"/>
    </row>
    <row r="651868" spans="12:13" x14ac:dyDescent="0.25">
      <c r="L651868" s="472"/>
      <c r="M651868" s="472"/>
    </row>
    <row r="651869" spans="12:13" x14ac:dyDescent="0.25">
      <c r="L651869" s="472"/>
      <c r="M651869" s="472"/>
    </row>
    <row r="651941" spans="12:13" x14ac:dyDescent="0.25">
      <c r="L651941" s="472"/>
      <c r="M651941" s="472"/>
    </row>
    <row r="651942" spans="12:13" x14ac:dyDescent="0.25">
      <c r="L651942" s="472"/>
      <c r="M651942" s="472"/>
    </row>
    <row r="651943" spans="12:13" x14ac:dyDescent="0.25">
      <c r="L651943" s="472"/>
      <c r="M651943" s="472"/>
    </row>
    <row r="652015" spans="12:13" x14ac:dyDescent="0.25">
      <c r="L652015" s="472"/>
      <c r="M652015" s="472"/>
    </row>
    <row r="652016" spans="12:13" x14ac:dyDescent="0.25">
      <c r="L652016" s="472"/>
      <c r="M652016" s="472"/>
    </row>
    <row r="652017" spans="12:13" x14ac:dyDescent="0.25">
      <c r="L652017" s="472"/>
      <c r="M652017" s="472"/>
    </row>
    <row r="652089" spans="12:13" x14ac:dyDescent="0.25">
      <c r="L652089" s="472"/>
      <c r="M652089" s="472"/>
    </row>
    <row r="652090" spans="12:13" x14ac:dyDescent="0.25">
      <c r="L652090" s="472"/>
      <c r="M652090" s="472"/>
    </row>
    <row r="652091" spans="12:13" x14ac:dyDescent="0.25">
      <c r="L652091" s="472"/>
      <c r="M652091" s="472"/>
    </row>
    <row r="652163" spans="12:13" x14ac:dyDescent="0.25">
      <c r="L652163" s="472"/>
      <c r="M652163" s="472"/>
    </row>
    <row r="652164" spans="12:13" x14ac:dyDescent="0.25">
      <c r="L652164" s="472"/>
      <c r="M652164" s="472"/>
    </row>
    <row r="652165" spans="12:13" x14ac:dyDescent="0.25">
      <c r="L652165" s="472"/>
      <c r="M652165" s="472"/>
    </row>
    <row r="652237" spans="12:13" x14ac:dyDescent="0.25">
      <c r="L652237" s="472"/>
      <c r="M652237" s="472"/>
    </row>
    <row r="652238" spans="12:13" x14ac:dyDescent="0.25">
      <c r="L652238" s="472"/>
      <c r="M652238" s="472"/>
    </row>
    <row r="652239" spans="12:13" x14ac:dyDescent="0.25">
      <c r="L652239" s="472"/>
      <c r="M652239" s="472"/>
    </row>
    <row r="652311" spans="12:13" x14ac:dyDescent="0.25">
      <c r="L652311" s="472"/>
      <c r="M652311" s="472"/>
    </row>
    <row r="652312" spans="12:13" x14ac:dyDescent="0.25">
      <c r="L652312" s="472"/>
      <c r="M652312" s="472"/>
    </row>
    <row r="652313" spans="12:13" x14ac:dyDescent="0.25">
      <c r="L652313" s="472"/>
      <c r="M652313" s="472"/>
    </row>
    <row r="652385" spans="12:13" x14ac:dyDescent="0.25">
      <c r="L652385" s="472"/>
      <c r="M652385" s="472"/>
    </row>
    <row r="652386" spans="12:13" x14ac:dyDescent="0.25">
      <c r="L652386" s="472"/>
      <c r="M652386" s="472"/>
    </row>
    <row r="652387" spans="12:13" x14ac:dyDescent="0.25">
      <c r="L652387" s="472"/>
      <c r="M652387" s="472"/>
    </row>
    <row r="652459" spans="12:13" x14ac:dyDescent="0.25">
      <c r="L652459" s="472"/>
      <c r="M652459" s="472"/>
    </row>
    <row r="652460" spans="12:13" x14ac:dyDescent="0.25">
      <c r="L652460" s="472"/>
      <c r="M652460" s="472"/>
    </row>
    <row r="652461" spans="12:13" x14ac:dyDescent="0.25">
      <c r="L652461" s="472"/>
      <c r="M652461" s="472"/>
    </row>
    <row r="652533" spans="12:13" x14ac:dyDescent="0.25">
      <c r="L652533" s="472"/>
      <c r="M652533" s="472"/>
    </row>
    <row r="652534" spans="12:13" x14ac:dyDescent="0.25">
      <c r="L652534" s="472"/>
      <c r="M652534" s="472"/>
    </row>
    <row r="652535" spans="12:13" x14ac:dyDescent="0.25">
      <c r="L652535" s="472"/>
      <c r="M652535" s="472"/>
    </row>
    <row r="652607" spans="12:13" x14ac:dyDescent="0.25">
      <c r="L652607" s="472"/>
      <c r="M652607" s="472"/>
    </row>
    <row r="652608" spans="12:13" x14ac:dyDescent="0.25">
      <c r="L652608" s="472"/>
      <c r="M652608" s="472"/>
    </row>
    <row r="652609" spans="12:13" x14ac:dyDescent="0.25">
      <c r="L652609" s="472"/>
      <c r="M652609" s="472"/>
    </row>
    <row r="652681" spans="12:13" x14ac:dyDescent="0.25">
      <c r="L652681" s="472"/>
      <c r="M652681" s="472"/>
    </row>
    <row r="652682" spans="12:13" x14ac:dyDescent="0.25">
      <c r="L652682" s="472"/>
      <c r="M652682" s="472"/>
    </row>
    <row r="652683" spans="12:13" x14ac:dyDescent="0.25">
      <c r="L652683" s="472"/>
      <c r="M652683" s="472"/>
    </row>
    <row r="652755" spans="12:13" x14ac:dyDescent="0.25">
      <c r="L652755" s="472"/>
      <c r="M652755" s="472"/>
    </row>
    <row r="652756" spans="12:13" x14ac:dyDescent="0.25">
      <c r="L652756" s="472"/>
      <c r="M652756" s="472"/>
    </row>
    <row r="652757" spans="12:13" x14ac:dyDescent="0.25">
      <c r="L652757" s="472"/>
      <c r="M652757" s="472"/>
    </row>
    <row r="652829" spans="12:13" x14ac:dyDescent="0.25">
      <c r="L652829" s="472"/>
      <c r="M652829" s="472"/>
    </row>
    <row r="652830" spans="12:13" x14ac:dyDescent="0.25">
      <c r="L652830" s="472"/>
      <c r="M652830" s="472"/>
    </row>
    <row r="652831" spans="12:13" x14ac:dyDescent="0.25">
      <c r="L652831" s="472"/>
      <c r="M652831" s="472"/>
    </row>
    <row r="652903" spans="12:13" x14ac:dyDescent="0.25">
      <c r="L652903" s="472"/>
      <c r="M652903" s="472"/>
    </row>
    <row r="652904" spans="12:13" x14ac:dyDescent="0.25">
      <c r="L652904" s="472"/>
      <c r="M652904" s="472"/>
    </row>
    <row r="652905" spans="12:13" x14ac:dyDescent="0.25">
      <c r="L652905" s="472"/>
      <c r="M652905" s="472"/>
    </row>
    <row r="652977" spans="12:13" x14ac:dyDescent="0.25">
      <c r="L652977" s="472"/>
      <c r="M652977" s="472"/>
    </row>
    <row r="652978" spans="12:13" x14ac:dyDescent="0.25">
      <c r="L652978" s="472"/>
      <c r="M652978" s="472"/>
    </row>
    <row r="652979" spans="12:13" x14ac:dyDescent="0.25">
      <c r="L652979" s="472"/>
      <c r="M652979" s="472"/>
    </row>
    <row r="653051" spans="12:13" x14ac:dyDescent="0.25">
      <c r="L653051" s="472"/>
      <c r="M653051" s="472"/>
    </row>
    <row r="653052" spans="12:13" x14ac:dyDescent="0.25">
      <c r="L653052" s="472"/>
      <c r="M653052" s="472"/>
    </row>
    <row r="653053" spans="12:13" x14ac:dyDescent="0.25">
      <c r="L653053" s="472"/>
      <c r="M653053" s="472"/>
    </row>
    <row r="653125" spans="12:13" x14ac:dyDescent="0.25">
      <c r="L653125" s="472"/>
      <c r="M653125" s="472"/>
    </row>
    <row r="653126" spans="12:13" x14ac:dyDescent="0.25">
      <c r="L653126" s="472"/>
      <c r="M653126" s="472"/>
    </row>
    <row r="653127" spans="12:13" x14ac:dyDescent="0.25">
      <c r="L653127" s="472"/>
      <c r="M653127" s="472"/>
    </row>
    <row r="653199" spans="12:13" x14ac:dyDescent="0.25">
      <c r="L653199" s="472"/>
      <c r="M653199" s="472"/>
    </row>
    <row r="653200" spans="12:13" x14ac:dyDescent="0.25">
      <c r="L653200" s="472"/>
      <c r="M653200" s="472"/>
    </row>
    <row r="653201" spans="12:13" x14ac:dyDescent="0.25">
      <c r="L653201" s="472"/>
      <c r="M653201" s="472"/>
    </row>
    <row r="653273" spans="12:13" x14ac:dyDescent="0.25">
      <c r="L653273" s="472"/>
      <c r="M653273" s="472"/>
    </row>
    <row r="653274" spans="12:13" x14ac:dyDescent="0.25">
      <c r="L653274" s="472"/>
      <c r="M653274" s="472"/>
    </row>
    <row r="653275" spans="12:13" x14ac:dyDescent="0.25">
      <c r="L653275" s="472"/>
      <c r="M653275" s="472"/>
    </row>
    <row r="653347" spans="12:13" x14ac:dyDescent="0.25">
      <c r="L653347" s="472"/>
      <c r="M653347" s="472"/>
    </row>
    <row r="653348" spans="12:13" x14ac:dyDescent="0.25">
      <c r="L653348" s="472"/>
      <c r="M653348" s="472"/>
    </row>
    <row r="653349" spans="12:13" x14ac:dyDescent="0.25">
      <c r="L653349" s="472"/>
      <c r="M653349" s="472"/>
    </row>
    <row r="653421" spans="12:13" x14ac:dyDescent="0.25">
      <c r="L653421" s="472"/>
      <c r="M653421" s="472"/>
    </row>
    <row r="653422" spans="12:13" x14ac:dyDescent="0.25">
      <c r="L653422" s="472"/>
      <c r="M653422" s="472"/>
    </row>
    <row r="653423" spans="12:13" x14ac:dyDescent="0.25">
      <c r="L653423" s="472"/>
      <c r="M653423" s="472"/>
    </row>
    <row r="653495" spans="12:13" x14ac:dyDescent="0.25">
      <c r="L653495" s="472"/>
      <c r="M653495" s="472"/>
    </row>
    <row r="653496" spans="12:13" x14ac:dyDescent="0.25">
      <c r="L653496" s="472"/>
      <c r="M653496" s="472"/>
    </row>
    <row r="653497" spans="12:13" x14ac:dyDescent="0.25">
      <c r="L653497" s="472"/>
      <c r="M653497" s="472"/>
    </row>
    <row r="653569" spans="12:13" x14ac:dyDescent="0.25">
      <c r="L653569" s="472"/>
      <c r="M653569" s="472"/>
    </row>
    <row r="653570" spans="12:13" x14ac:dyDescent="0.25">
      <c r="L653570" s="472"/>
      <c r="M653570" s="472"/>
    </row>
    <row r="653571" spans="12:13" x14ac:dyDescent="0.25">
      <c r="L653571" s="472"/>
      <c r="M653571" s="472"/>
    </row>
    <row r="653643" spans="12:13" x14ac:dyDescent="0.25">
      <c r="L653643" s="472"/>
      <c r="M653643" s="472"/>
    </row>
    <row r="653644" spans="12:13" x14ac:dyDescent="0.25">
      <c r="L653644" s="472"/>
      <c r="M653644" s="472"/>
    </row>
    <row r="653645" spans="12:13" x14ac:dyDescent="0.25">
      <c r="L653645" s="472"/>
      <c r="M653645" s="472"/>
    </row>
    <row r="653717" spans="12:13" x14ac:dyDescent="0.25">
      <c r="L653717" s="472"/>
      <c r="M653717" s="472"/>
    </row>
    <row r="653718" spans="12:13" x14ac:dyDescent="0.25">
      <c r="L653718" s="472"/>
      <c r="M653718" s="472"/>
    </row>
    <row r="653719" spans="12:13" x14ac:dyDescent="0.25">
      <c r="L653719" s="472"/>
      <c r="M653719" s="472"/>
    </row>
    <row r="653791" spans="12:13" x14ac:dyDescent="0.25">
      <c r="L653791" s="472"/>
      <c r="M653791" s="472"/>
    </row>
    <row r="653792" spans="12:13" x14ac:dyDescent="0.25">
      <c r="L653792" s="472"/>
      <c r="M653792" s="472"/>
    </row>
    <row r="653793" spans="12:13" x14ac:dyDescent="0.25">
      <c r="L653793" s="472"/>
      <c r="M653793" s="472"/>
    </row>
    <row r="653865" spans="12:13" x14ac:dyDescent="0.25">
      <c r="L653865" s="472"/>
      <c r="M653865" s="472"/>
    </row>
    <row r="653866" spans="12:13" x14ac:dyDescent="0.25">
      <c r="L653866" s="472"/>
      <c r="M653866" s="472"/>
    </row>
    <row r="653867" spans="12:13" x14ac:dyDescent="0.25">
      <c r="L653867" s="472"/>
      <c r="M653867" s="472"/>
    </row>
    <row r="653939" spans="12:13" x14ac:dyDescent="0.25">
      <c r="L653939" s="472"/>
      <c r="M653939" s="472"/>
    </row>
    <row r="653940" spans="12:13" x14ac:dyDescent="0.25">
      <c r="L653940" s="472"/>
      <c r="M653940" s="472"/>
    </row>
    <row r="653941" spans="12:13" x14ac:dyDescent="0.25">
      <c r="L653941" s="472"/>
      <c r="M653941" s="472"/>
    </row>
    <row r="654013" spans="12:13" x14ac:dyDescent="0.25">
      <c r="L654013" s="472"/>
      <c r="M654013" s="472"/>
    </row>
    <row r="654014" spans="12:13" x14ac:dyDescent="0.25">
      <c r="L654014" s="472"/>
      <c r="M654014" s="472"/>
    </row>
    <row r="654015" spans="12:13" x14ac:dyDescent="0.25">
      <c r="L654015" s="472"/>
      <c r="M654015" s="472"/>
    </row>
    <row r="654087" spans="12:13" x14ac:dyDescent="0.25">
      <c r="L654087" s="472"/>
      <c r="M654087" s="472"/>
    </row>
    <row r="654088" spans="12:13" x14ac:dyDescent="0.25">
      <c r="L654088" s="472"/>
      <c r="M654088" s="472"/>
    </row>
    <row r="654089" spans="12:13" x14ac:dyDescent="0.25">
      <c r="L654089" s="472"/>
      <c r="M654089" s="472"/>
    </row>
    <row r="654161" spans="12:13" x14ac:dyDescent="0.25">
      <c r="L654161" s="472"/>
      <c r="M654161" s="472"/>
    </row>
    <row r="654162" spans="12:13" x14ac:dyDescent="0.25">
      <c r="L654162" s="472"/>
      <c r="M654162" s="472"/>
    </row>
    <row r="654163" spans="12:13" x14ac:dyDescent="0.25">
      <c r="L654163" s="472"/>
      <c r="M654163" s="472"/>
    </row>
    <row r="654235" spans="12:13" x14ac:dyDescent="0.25">
      <c r="L654235" s="472"/>
      <c r="M654235" s="472"/>
    </row>
    <row r="654236" spans="12:13" x14ac:dyDescent="0.25">
      <c r="L654236" s="472"/>
      <c r="M654236" s="472"/>
    </row>
    <row r="654237" spans="12:13" x14ac:dyDescent="0.25">
      <c r="L654237" s="472"/>
      <c r="M654237" s="472"/>
    </row>
    <row r="654309" spans="12:13" x14ac:dyDescent="0.25">
      <c r="L654309" s="472"/>
      <c r="M654309" s="472"/>
    </row>
    <row r="654310" spans="12:13" x14ac:dyDescent="0.25">
      <c r="L654310" s="472"/>
      <c r="M654310" s="472"/>
    </row>
    <row r="654311" spans="12:13" x14ac:dyDescent="0.25">
      <c r="L654311" s="472"/>
      <c r="M654311" s="472"/>
    </row>
    <row r="654383" spans="12:13" x14ac:dyDescent="0.25">
      <c r="L654383" s="472"/>
      <c r="M654383" s="472"/>
    </row>
    <row r="654384" spans="12:13" x14ac:dyDescent="0.25">
      <c r="L654384" s="472"/>
      <c r="M654384" s="472"/>
    </row>
    <row r="654385" spans="12:13" x14ac:dyDescent="0.25">
      <c r="L654385" s="472"/>
      <c r="M654385" s="472"/>
    </row>
    <row r="654457" spans="12:13" x14ac:dyDescent="0.25">
      <c r="L654457" s="472"/>
      <c r="M654457" s="472"/>
    </row>
    <row r="654458" spans="12:13" x14ac:dyDescent="0.25">
      <c r="L654458" s="472"/>
      <c r="M654458" s="472"/>
    </row>
    <row r="654459" spans="12:13" x14ac:dyDescent="0.25">
      <c r="L654459" s="472"/>
      <c r="M654459" s="472"/>
    </row>
    <row r="654531" spans="12:13" x14ac:dyDescent="0.25">
      <c r="L654531" s="472"/>
      <c r="M654531" s="472"/>
    </row>
    <row r="654532" spans="12:13" x14ac:dyDescent="0.25">
      <c r="L654532" s="472"/>
      <c r="M654532" s="472"/>
    </row>
    <row r="654533" spans="12:13" x14ac:dyDescent="0.25">
      <c r="L654533" s="472"/>
      <c r="M654533" s="472"/>
    </row>
    <row r="654605" spans="12:13" x14ac:dyDescent="0.25">
      <c r="L654605" s="472"/>
      <c r="M654605" s="472"/>
    </row>
    <row r="654606" spans="12:13" x14ac:dyDescent="0.25">
      <c r="L654606" s="472"/>
      <c r="M654606" s="472"/>
    </row>
    <row r="654607" spans="12:13" x14ac:dyDescent="0.25">
      <c r="L654607" s="472"/>
      <c r="M654607" s="472"/>
    </row>
    <row r="654679" spans="12:13" x14ac:dyDescent="0.25">
      <c r="L654679" s="472"/>
      <c r="M654679" s="472"/>
    </row>
    <row r="654680" spans="12:13" x14ac:dyDescent="0.25">
      <c r="L654680" s="472"/>
      <c r="M654680" s="472"/>
    </row>
    <row r="654681" spans="12:13" x14ac:dyDescent="0.25">
      <c r="L654681" s="472"/>
      <c r="M654681" s="472"/>
    </row>
    <row r="654753" spans="12:13" x14ac:dyDescent="0.25">
      <c r="L654753" s="472"/>
      <c r="M654753" s="472"/>
    </row>
    <row r="654754" spans="12:13" x14ac:dyDescent="0.25">
      <c r="L654754" s="472"/>
      <c r="M654754" s="472"/>
    </row>
    <row r="654755" spans="12:13" x14ac:dyDescent="0.25">
      <c r="L654755" s="472"/>
      <c r="M654755" s="472"/>
    </row>
    <row r="654827" spans="12:13" x14ac:dyDescent="0.25">
      <c r="L654827" s="472"/>
      <c r="M654827" s="472"/>
    </row>
    <row r="654828" spans="12:13" x14ac:dyDescent="0.25">
      <c r="L654828" s="472"/>
      <c r="M654828" s="472"/>
    </row>
    <row r="654829" spans="12:13" x14ac:dyDescent="0.25">
      <c r="L654829" s="472"/>
      <c r="M654829" s="472"/>
    </row>
    <row r="654901" spans="12:13" x14ac:dyDescent="0.25">
      <c r="L654901" s="472"/>
      <c r="M654901" s="472"/>
    </row>
    <row r="654902" spans="12:13" x14ac:dyDescent="0.25">
      <c r="L654902" s="472"/>
      <c r="M654902" s="472"/>
    </row>
    <row r="654903" spans="12:13" x14ac:dyDescent="0.25">
      <c r="L654903" s="472"/>
      <c r="M654903" s="472"/>
    </row>
    <row r="654975" spans="12:13" x14ac:dyDescent="0.25">
      <c r="L654975" s="472"/>
      <c r="M654975" s="472"/>
    </row>
    <row r="654976" spans="12:13" x14ac:dyDescent="0.25">
      <c r="L654976" s="472"/>
      <c r="M654976" s="472"/>
    </row>
    <row r="654977" spans="12:13" x14ac:dyDescent="0.25">
      <c r="L654977" s="472"/>
      <c r="M654977" s="472"/>
    </row>
    <row r="655049" spans="12:13" x14ac:dyDescent="0.25">
      <c r="L655049" s="472"/>
      <c r="M655049" s="472"/>
    </row>
    <row r="655050" spans="12:13" x14ac:dyDescent="0.25">
      <c r="L655050" s="472"/>
      <c r="M655050" s="472"/>
    </row>
    <row r="655051" spans="12:13" x14ac:dyDescent="0.25">
      <c r="L655051" s="472"/>
      <c r="M655051" s="472"/>
    </row>
    <row r="655123" spans="12:13" x14ac:dyDescent="0.25">
      <c r="L655123" s="472"/>
      <c r="M655123" s="472"/>
    </row>
    <row r="655124" spans="12:13" x14ac:dyDescent="0.25">
      <c r="L655124" s="472"/>
      <c r="M655124" s="472"/>
    </row>
    <row r="655125" spans="12:13" x14ac:dyDescent="0.25">
      <c r="L655125" s="472"/>
      <c r="M655125" s="472"/>
    </row>
    <row r="655197" spans="12:13" x14ac:dyDescent="0.25">
      <c r="L655197" s="472"/>
      <c r="M655197" s="472"/>
    </row>
    <row r="655198" spans="12:13" x14ac:dyDescent="0.25">
      <c r="L655198" s="472"/>
      <c r="M655198" s="472"/>
    </row>
    <row r="655199" spans="12:13" x14ac:dyDescent="0.25">
      <c r="L655199" s="472"/>
      <c r="M655199" s="472"/>
    </row>
    <row r="655271" spans="12:13" x14ac:dyDescent="0.25">
      <c r="L655271" s="472"/>
      <c r="M655271" s="472"/>
    </row>
    <row r="655272" spans="12:13" x14ac:dyDescent="0.25">
      <c r="L655272" s="472"/>
      <c r="M655272" s="472"/>
    </row>
    <row r="655273" spans="12:13" x14ac:dyDescent="0.25">
      <c r="L655273" s="472"/>
      <c r="M655273" s="472"/>
    </row>
    <row r="655345" spans="12:13" x14ac:dyDescent="0.25">
      <c r="L655345" s="472"/>
      <c r="M655345" s="472"/>
    </row>
    <row r="655346" spans="12:13" x14ac:dyDescent="0.25">
      <c r="L655346" s="472"/>
      <c r="M655346" s="472"/>
    </row>
    <row r="655347" spans="12:13" x14ac:dyDescent="0.25">
      <c r="L655347" s="472"/>
      <c r="M655347" s="472"/>
    </row>
    <row r="655419" spans="12:13" x14ac:dyDescent="0.25">
      <c r="L655419" s="472"/>
      <c r="M655419" s="472"/>
    </row>
    <row r="655420" spans="12:13" x14ac:dyDescent="0.25">
      <c r="L655420" s="472"/>
      <c r="M655420" s="472"/>
    </row>
    <row r="655421" spans="12:13" x14ac:dyDescent="0.25">
      <c r="L655421" s="472"/>
      <c r="M655421" s="472"/>
    </row>
    <row r="655493" spans="12:13" x14ac:dyDescent="0.25">
      <c r="L655493" s="472"/>
      <c r="M655493" s="472"/>
    </row>
    <row r="655494" spans="12:13" x14ac:dyDescent="0.25">
      <c r="L655494" s="472"/>
      <c r="M655494" s="472"/>
    </row>
    <row r="655495" spans="12:13" x14ac:dyDescent="0.25">
      <c r="L655495" s="472"/>
      <c r="M655495" s="472"/>
    </row>
    <row r="655567" spans="12:13" x14ac:dyDescent="0.25">
      <c r="L655567" s="472"/>
      <c r="M655567" s="472"/>
    </row>
    <row r="655568" spans="12:13" x14ac:dyDescent="0.25">
      <c r="L655568" s="472"/>
      <c r="M655568" s="472"/>
    </row>
    <row r="655569" spans="12:13" x14ac:dyDescent="0.25">
      <c r="L655569" s="472"/>
      <c r="M655569" s="472"/>
    </row>
    <row r="655641" spans="12:13" x14ac:dyDescent="0.25">
      <c r="L655641" s="472"/>
      <c r="M655641" s="472"/>
    </row>
    <row r="655642" spans="12:13" x14ac:dyDescent="0.25">
      <c r="L655642" s="472"/>
      <c r="M655642" s="472"/>
    </row>
    <row r="655643" spans="12:13" x14ac:dyDescent="0.25">
      <c r="L655643" s="472"/>
      <c r="M655643" s="472"/>
    </row>
    <row r="655715" spans="12:13" x14ac:dyDescent="0.25">
      <c r="L655715" s="472"/>
      <c r="M655715" s="472"/>
    </row>
    <row r="655716" spans="12:13" x14ac:dyDescent="0.25">
      <c r="L655716" s="472"/>
      <c r="M655716" s="472"/>
    </row>
    <row r="655717" spans="12:13" x14ac:dyDescent="0.25">
      <c r="L655717" s="472"/>
      <c r="M655717" s="472"/>
    </row>
    <row r="655789" spans="12:13" x14ac:dyDescent="0.25">
      <c r="L655789" s="472"/>
      <c r="M655789" s="472"/>
    </row>
    <row r="655790" spans="12:13" x14ac:dyDescent="0.25">
      <c r="L655790" s="472"/>
      <c r="M655790" s="472"/>
    </row>
    <row r="655791" spans="12:13" x14ac:dyDescent="0.25">
      <c r="L655791" s="472"/>
      <c r="M655791" s="472"/>
    </row>
    <row r="655863" spans="12:13" x14ac:dyDescent="0.25">
      <c r="L655863" s="472"/>
      <c r="M655863" s="472"/>
    </row>
    <row r="655864" spans="12:13" x14ac:dyDescent="0.25">
      <c r="L655864" s="472"/>
      <c r="M655864" s="472"/>
    </row>
    <row r="655865" spans="12:13" x14ac:dyDescent="0.25">
      <c r="L655865" s="472"/>
      <c r="M655865" s="472"/>
    </row>
    <row r="655937" spans="12:13" x14ac:dyDescent="0.25">
      <c r="L655937" s="472"/>
      <c r="M655937" s="472"/>
    </row>
    <row r="655938" spans="12:13" x14ac:dyDescent="0.25">
      <c r="L655938" s="472"/>
      <c r="M655938" s="472"/>
    </row>
    <row r="655939" spans="12:13" x14ac:dyDescent="0.25">
      <c r="L655939" s="472"/>
      <c r="M655939" s="472"/>
    </row>
    <row r="656011" spans="12:13" x14ac:dyDescent="0.25">
      <c r="L656011" s="472"/>
      <c r="M656011" s="472"/>
    </row>
    <row r="656012" spans="12:13" x14ac:dyDescent="0.25">
      <c r="L656012" s="472"/>
      <c r="M656012" s="472"/>
    </row>
    <row r="656013" spans="12:13" x14ac:dyDescent="0.25">
      <c r="L656013" s="472"/>
      <c r="M656013" s="472"/>
    </row>
    <row r="656085" spans="12:13" x14ac:dyDescent="0.25">
      <c r="L656085" s="472"/>
      <c r="M656085" s="472"/>
    </row>
    <row r="656086" spans="12:13" x14ac:dyDescent="0.25">
      <c r="L656086" s="472"/>
      <c r="M656086" s="472"/>
    </row>
    <row r="656087" spans="12:13" x14ac:dyDescent="0.25">
      <c r="L656087" s="472"/>
      <c r="M656087" s="472"/>
    </row>
    <row r="656159" spans="12:13" x14ac:dyDescent="0.25">
      <c r="L656159" s="472"/>
      <c r="M656159" s="472"/>
    </row>
    <row r="656160" spans="12:13" x14ac:dyDescent="0.25">
      <c r="L656160" s="472"/>
      <c r="M656160" s="472"/>
    </row>
    <row r="656161" spans="12:13" x14ac:dyDescent="0.25">
      <c r="L656161" s="472"/>
      <c r="M656161" s="472"/>
    </row>
    <row r="656233" spans="12:13" x14ac:dyDescent="0.25">
      <c r="L656233" s="472"/>
      <c r="M656233" s="472"/>
    </row>
    <row r="656234" spans="12:13" x14ac:dyDescent="0.25">
      <c r="L656234" s="472"/>
      <c r="M656234" s="472"/>
    </row>
    <row r="656235" spans="12:13" x14ac:dyDescent="0.25">
      <c r="L656235" s="472"/>
      <c r="M656235" s="472"/>
    </row>
    <row r="656307" spans="12:13" x14ac:dyDescent="0.25">
      <c r="L656307" s="472"/>
      <c r="M656307" s="472"/>
    </row>
    <row r="656308" spans="12:13" x14ac:dyDescent="0.25">
      <c r="L656308" s="472"/>
      <c r="M656308" s="472"/>
    </row>
    <row r="656309" spans="12:13" x14ac:dyDescent="0.25">
      <c r="L656309" s="472"/>
      <c r="M656309" s="472"/>
    </row>
    <row r="656381" spans="12:13" x14ac:dyDescent="0.25">
      <c r="L656381" s="472"/>
      <c r="M656381" s="472"/>
    </row>
    <row r="656382" spans="12:13" x14ac:dyDescent="0.25">
      <c r="L656382" s="472"/>
      <c r="M656382" s="472"/>
    </row>
    <row r="656383" spans="12:13" x14ac:dyDescent="0.25">
      <c r="L656383" s="472"/>
      <c r="M656383" s="472"/>
    </row>
    <row r="656455" spans="12:13" x14ac:dyDescent="0.25">
      <c r="L656455" s="472"/>
      <c r="M656455" s="472"/>
    </row>
    <row r="656456" spans="12:13" x14ac:dyDescent="0.25">
      <c r="L656456" s="472"/>
      <c r="M656456" s="472"/>
    </row>
    <row r="656457" spans="12:13" x14ac:dyDescent="0.25">
      <c r="L656457" s="472"/>
      <c r="M656457" s="472"/>
    </row>
    <row r="656529" spans="12:13" x14ac:dyDescent="0.25">
      <c r="L656529" s="472"/>
      <c r="M656529" s="472"/>
    </row>
    <row r="656530" spans="12:13" x14ac:dyDescent="0.25">
      <c r="L656530" s="472"/>
      <c r="M656530" s="472"/>
    </row>
    <row r="656531" spans="12:13" x14ac:dyDescent="0.25">
      <c r="L656531" s="472"/>
      <c r="M656531" s="472"/>
    </row>
    <row r="656603" spans="12:13" x14ac:dyDescent="0.25">
      <c r="L656603" s="472"/>
      <c r="M656603" s="472"/>
    </row>
    <row r="656604" spans="12:13" x14ac:dyDescent="0.25">
      <c r="L656604" s="472"/>
      <c r="M656604" s="472"/>
    </row>
    <row r="656605" spans="12:13" x14ac:dyDescent="0.25">
      <c r="L656605" s="472"/>
      <c r="M656605" s="472"/>
    </row>
    <row r="656677" spans="12:13" x14ac:dyDescent="0.25">
      <c r="L656677" s="472"/>
      <c r="M656677" s="472"/>
    </row>
    <row r="656678" spans="12:13" x14ac:dyDescent="0.25">
      <c r="L656678" s="472"/>
      <c r="M656678" s="472"/>
    </row>
    <row r="656679" spans="12:13" x14ac:dyDescent="0.25">
      <c r="L656679" s="472"/>
      <c r="M656679" s="472"/>
    </row>
    <row r="656751" spans="12:13" x14ac:dyDescent="0.25">
      <c r="L656751" s="472"/>
      <c r="M656751" s="472"/>
    </row>
    <row r="656752" spans="12:13" x14ac:dyDescent="0.25">
      <c r="L656752" s="472"/>
      <c r="M656752" s="472"/>
    </row>
    <row r="656753" spans="12:13" x14ac:dyDescent="0.25">
      <c r="L656753" s="472"/>
      <c r="M656753" s="472"/>
    </row>
    <row r="656825" spans="12:13" x14ac:dyDescent="0.25">
      <c r="L656825" s="472"/>
      <c r="M656825" s="472"/>
    </row>
    <row r="656826" spans="12:13" x14ac:dyDescent="0.25">
      <c r="L656826" s="472"/>
      <c r="M656826" s="472"/>
    </row>
    <row r="656827" spans="12:13" x14ac:dyDescent="0.25">
      <c r="L656827" s="472"/>
      <c r="M656827" s="472"/>
    </row>
    <row r="656899" spans="12:13" x14ac:dyDescent="0.25">
      <c r="L656899" s="472"/>
      <c r="M656899" s="472"/>
    </row>
    <row r="656900" spans="12:13" x14ac:dyDescent="0.25">
      <c r="L656900" s="472"/>
      <c r="M656900" s="472"/>
    </row>
    <row r="656901" spans="12:13" x14ac:dyDescent="0.25">
      <c r="L656901" s="472"/>
      <c r="M656901" s="472"/>
    </row>
    <row r="656973" spans="12:13" x14ac:dyDescent="0.25">
      <c r="L656973" s="472"/>
      <c r="M656973" s="472"/>
    </row>
    <row r="656974" spans="12:13" x14ac:dyDescent="0.25">
      <c r="L656974" s="472"/>
      <c r="M656974" s="472"/>
    </row>
    <row r="656975" spans="12:13" x14ac:dyDescent="0.25">
      <c r="L656975" s="472"/>
      <c r="M656975" s="472"/>
    </row>
    <row r="657047" spans="12:13" x14ac:dyDescent="0.25">
      <c r="L657047" s="472"/>
      <c r="M657047" s="472"/>
    </row>
    <row r="657048" spans="12:13" x14ac:dyDescent="0.25">
      <c r="L657048" s="472"/>
      <c r="M657048" s="472"/>
    </row>
    <row r="657049" spans="12:13" x14ac:dyDescent="0.25">
      <c r="L657049" s="472"/>
      <c r="M657049" s="472"/>
    </row>
    <row r="657121" spans="12:13" x14ac:dyDescent="0.25">
      <c r="L657121" s="472"/>
      <c r="M657121" s="472"/>
    </row>
    <row r="657122" spans="12:13" x14ac:dyDescent="0.25">
      <c r="L657122" s="472"/>
      <c r="M657122" s="472"/>
    </row>
    <row r="657123" spans="12:13" x14ac:dyDescent="0.25">
      <c r="L657123" s="472"/>
      <c r="M657123" s="472"/>
    </row>
    <row r="657195" spans="12:13" x14ac:dyDescent="0.25">
      <c r="L657195" s="472"/>
      <c r="M657195" s="472"/>
    </row>
    <row r="657196" spans="12:13" x14ac:dyDescent="0.25">
      <c r="L657196" s="472"/>
      <c r="M657196" s="472"/>
    </row>
    <row r="657197" spans="12:13" x14ac:dyDescent="0.25">
      <c r="L657197" s="472"/>
      <c r="M657197" s="472"/>
    </row>
    <row r="657269" spans="12:13" x14ac:dyDescent="0.25">
      <c r="L657269" s="472"/>
      <c r="M657269" s="472"/>
    </row>
    <row r="657270" spans="12:13" x14ac:dyDescent="0.25">
      <c r="L657270" s="472"/>
      <c r="M657270" s="472"/>
    </row>
    <row r="657271" spans="12:13" x14ac:dyDescent="0.25">
      <c r="L657271" s="472"/>
      <c r="M657271" s="472"/>
    </row>
    <row r="657343" spans="12:13" x14ac:dyDescent="0.25">
      <c r="L657343" s="472"/>
      <c r="M657343" s="472"/>
    </row>
    <row r="657344" spans="12:13" x14ac:dyDescent="0.25">
      <c r="L657344" s="472"/>
      <c r="M657344" s="472"/>
    </row>
    <row r="657345" spans="12:13" x14ac:dyDescent="0.25">
      <c r="L657345" s="472"/>
      <c r="M657345" s="472"/>
    </row>
    <row r="657417" spans="12:13" x14ac:dyDescent="0.25">
      <c r="L657417" s="472"/>
      <c r="M657417" s="472"/>
    </row>
    <row r="657418" spans="12:13" x14ac:dyDescent="0.25">
      <c r="L657418" s="472"/>
      <c r="M657418" s="472"/>
    </row>
    <row r="657419" spans="12:13" x14ac:dyDescent="0.25">
      <c r="L657419" s="472"/>
      <c r="M657419" s="472"/>
    </row>
    <row r="657491" spans="12:13" x14ac:dyDescent="0.25">
      <c r="L657491" s="472"/>
      <c r="M657491" s="472"/>
    </row>
    <row r="657492" spans="12:13" x14ac:dyDescent="0.25">
      <c r="L657492" s="472"/>
      <c r="M657492" s="472"/>
    </row>
    <row r="657493" spans="12:13" x14ac:dyDescent="0.25">
      <c r="L657493" s="472"/>
      <c r="M657493" s="472"/>
    </row>
    <row r="657565" spans="12:13" x14ac:dyDescent="0.25">
      <c r="L657565" s="472"/>
      <c r="M657565" s="472"/>
    </row>
    <row r="657566" spans="12:13" x14ac:dyDescent="0.25">
      <c r="L657566" s="472"/>
      <c r="M657566" s="472"/>
    </row>
    <row r="657567" spans="12:13" x14ac:dyDescent="0.25">
      <c r="L657567" s="472"/>
      <c r="M657567" s="472"/>
    </row>
    <row r="657639" spans="12:13" x14ac:dyDescent="0.25">
      <c r="L657639" s="472"/>
      <c r="M657639" s="472"/>
    </row>
    <row r="657640" spans="12:13" x14ac:dyDescent="0.25">
      <c r="L657640" s="472"/>
      <c r="M657640" s="472"/>
    </row>
    <row r="657641" spans="12:13" x14ac:dyDescent="0.25">
      <c r="L657641" s="472"/>
      <c r="M657641" s="472"/>
    </row>
    <row r="657713" spans="12:13" x14ac:dyDescent="0.25">
      <c r="L657713" s="472"/>
      <c r="M657713" s="472"/>
    </row>
    <row r="657714" spans="12:13" x14ac:dyDescent="0.25">
      <c r="L657714" s="472"/>
      <c r="M657714" s="472"/>
    </row>
    <row r="657715" spans="12:13" x14ac:dyDescent="0.25">
      <c r="L657715" s="472"/>
      <c r="M657715" s="472"/>
    </row>
    <row r="657787" spans="12:13" x14ac:dyDescent="0.25">
      <c r="L657787" s="472"/>
      <c r="M657787" s="472"/>
    </row>
    <row r="657788" spans="12:13" x14ac:dyDescent="0.25">
      <c r="L657788" s="472"/>
      <c r="M657788" s="472"/>
    </row>
    <row r="657789" spans="12:13" x14ac:dyDescent="0.25">
      <c r="L657789" s="472"/>
      <c r="M657789" s="472"/>
    </row>
    <row r="657861" spans="12:13" x14ac:dyDescent="0.25">
      <c r="L657861" s="472"/>
      <c r="M657861" s="472"/>
    </row>
    <row r="657862" spans="12:13" x14ac:dyDescent="0.25">
      <c r="L657862" s="472"/>
      <c r="M657862" s="472"/>
    </row>
    <row r="657863" spans="12:13" x14ac:dyDescent="0.25">
      <c r="L657863" s="472"/>
      <c r="M657863" s="472"/>
    </row>
    <row r="657935" spans="12:13" x14ac:dyDescent="0.25">
      <c r="L657935" s="472"/>
      <c r="M657935" s="472"/>
    </row>
    <row r="657936" spans="12:13" x14ac:dyDescent="0.25">
      <c r="L657936" s="472"/>
      <c r="M657936" s="472"/>
    </row>
    <row r="657937" spans="12:13" x14ac:dyDescent="0.25">
      <c r="L657937" s="472"/>
      <c r="M657937" s="472"/>
    </row>
    <row r="658009" spans="12:13" x14ac:dyDescent="0.25">
      <c r="L658009" s="472"/>
      <c r="M658009" s="472"/>
    </row>
    <row r="658010" spans="12:13" x14ac:dyDescent="0.25">
      <c r="L658010" s="472"/>
      <c r="M658010" s="472"/>
    </row>
    <row r="658011" spans="12:13" x14ac:dyDescent="0.25">
      <c r="L658011" s="472"/>
      <c r="M658011" s="472"/>
    </row>
    <row r="658083" spans="12:13" x14ac:dyDescent="0.25">
      <c r="L658083" s="472"/>
      <c r="M658083" s="472"/>
    </row>
    <row r="658084" spans="12:13" x14ac:dyDescent="0.25">
      <c r="L658084" s="472"/>
      <c r="M658084" s="472"/>
    </row>
    <row r="658085" spans="12:13" x14ac:dyDescent="0.25">
      <c r="L658085" s="472"/>
      <c r="M658085" s="472"/>
    </row>
    <row r="658157" spans="12:13" x14ac:dyDescent="0.25">
      <c r="L658157" s="472"/>
      <c r="M658157" s="472"/>
    </row>
    <row r="658158" spans="12:13" x14ac:dyDescent="0.25">
      <c r="L658158" s="472"/>
      <c r="M658158" s="472"/>
    </row>
    <row r="658159" spans="12:13" x14ac:dyDescent="0.25">
      <c r="L658159" s="472"/>
      <c r="M658159" s="472"/>
    </row>
    <row r="658231" spans="12:13" x14ac:dyDescent="0.25">
      <c r="L658231" s="472"/>
      <c r="M658231" s="472"/>
    </row>
    <row r="658232" spans="12:13" x14ac:dyDescent="0.25">
      <c r="L658232" s="472"/>
      <c r="M658232" s="472"/>
    </row>
    <row r="658233" spans="12:13" x14ac:dyDescent="0.25">
      <c r="L658233" s="472"/>
      <c r="M658233" s="472"/>
    </row>
    <row r="658305" spans="12:13" x14ac:dyDescent="0.25">
      <c r="L658305" s="472"/>
      <c r="M658305" s="472"/>
    </row>
    <row r="658306" spans="12:13" x14ac:dyDescent="0.25">
      <c r="L658306" s="472"/>
      <c r="M658306" s="472"/>
    </row>
    <row r="658307" spans="12:13" x14ac:dyDescent="0.25">
      <c r="L658307" s="472"/>
      <c r="M658307" s="472"/>
    </row>
    <row r="658379" spans="12:13" x14ac:dyDescent="0.25">
      <c r="L658379" s="472"/>
      <c r="M658379" s="472"/>
    </row>
    <row r="658380" spans="12:13" x14ac:dyDescent="0.25">
      <c r="L658380" s="472"/>
      <c r="M658380" s="472"/>
    </row>
    <row r="658381" spans="12:13" x14ac:dyDescent="0.25">
      <c r="L658381" s="472"/>
      <c r="M658381" s="472"/>
    </row>
    <row r="658453" spans="12:13" x14ac:dyDescent="0.25">
      <c r="L658453" s="472"/>
      <c r="M658453" s="472"/>
    </row>
    <row r="658454" spans="12:13" x14ac:dyDescent="0.25">
      <c r="L658454" s="472"/>
      <c r="M658454" s="472"/>
    </row>
    <row r="658455" spans="12:13" x14ac:dyDescent="0.25">
      <c r="L658455" s="472"/>
      <c r="M658455" s="472"/>
    </row>
    <row r="658527" spans="12:13" x14ac:dyDescent="0.25">
      <c r="L658527" s="472"/>
      <c r="M658527" s="472"/>
    </row>
    <row r="658528" spans="12:13" x14ac:dyDescent="0.25">
      <c r="L658528" s="472"/>
      <c r="M658528" s="472"/>
    </row>
    <row r="658529" spans="12:13" x14ac:dyDescent="0.25">
      <c r="L658529" s="472"/>
      <c r="M658529" s="472"/>
    </row>
    <row r="658601" spans="12:13" x14ac:dyDescent="0.25">
      <c r="L658601" s="472"/>
      <c r="M658601" s="472"/>
    </row>
    <row r="658602" spans="12:13" x14ac:dyDescent="0.25">
      <c r="L658602" s="472"/>
      <c r="M658602" s="472"/>
    </row>
    <row r="658603" spans="12:13" x14ac:dyDescent="0.25">
      <c r="L658603" s="472"/>
      <c r="M658603" s="472"/>
    </row>
    <row r="658675" spans="12:13" x14ac:dyDescent="0.25">
      <c r="L658675" s="472"/>
      <c r="M658675" s="472"/>
    </row>
    <row r="658676" spans="12:13" x14ac:dyDescent="0.25">
      <c r="L658676" s="472"/>
      <c r="M658676" s="472"/>
    </row>
    <row r="658677" spans="12:13" x14ac:dyDescent="0.25">
      <c r="L658677" s="472"/>
      <c r="M658677" s="472"/>
    </row>
    <row r="658749" spans="12:13" x14ac:dyDescent="0.25">
      <c r="L658749" s="472"/>
      <c r="M658749" s="472"/>
    </row>
    <row r="658750" spans="12:13" x14ac:dyDescent="0.25">
      <c r="L658750" s="472"/>
      <c r="M658750" s="472"/>
    </row>
    <row r="658751" spans="12:13" x14ac:dyDescent="0.25">
      <c r="L658751" s="472"/>
      <c r="M658751" s="472"/>
    </row>
    <row r="658823" spans="12:13" x14ac:dyDescent="0.25">
      <c r="L658823" s="472"/>
      <c r="M658823" s="472"/>
    </row>
    <row r="658824" spans="12:13" x14ac:dyDescent="0.25">
      <c r="L658824" s="472"/>
      <c r="M658824" s="472"/>
    </row>
    <row r="658825" spans="12:13" x14ac:dyDescent="0.25">
      <c r="L658825" s="472"/>
      <c r="M658825" s="472"/>
    </row>
    <row r="658897" spans="12:13" x14ac:dyDescent="0.25">
      <c r="L658897" s="472"/>
      <c r="M658897" s="472"/>
    </row>
    <row r="658898" spans="12:13" x14ac:dyDescent="0.25">
      <c r="L658898" s="472"/>
      <c r="M658898" s="472"/>
    </row>
    <row r="658899" spans="12:13" x14ac:dyDescent="0.25">
      <c r="L658899" s="472"/>
      <c r="M658899" s="472"/>
    </row>
    <row r="658971" spans="12:13" x14ac:dyDescent="0.25">
      <c r="L658971" s="472"/>
      <c r="M658971" s="472"/>
    </row>
    <row r="658972" spans="12:13" x14ac:dyDescent="0.25">
      <c r="L658972" s="472"/>
      <c r="M658972" s="472"/>
    </row>
    <row r="658973" spans="12:13" x14ac:dyDescent="0.25">
      <c r="L658973" s="472"/>
      <c r="M658973" s="472"/>
    </row>
    <row r="659045" spans="12:13" x14ac:dyDescent="0.25">
      <c r="L659045" s="472"/>
      <c r="M659045" s="472"/>
    </row>
    <row r="659046" spans="12:13" x14ac:dyDescent="0.25">
      <c r="L659046" s="472"/>
      <c r="M659046" s="472"/>
    </row>
    <row r="659047" spans="12:13" x14ac:dyDescent="0.25">
      <c r="L659047" s="472"/>
      <c r="M659047" s="472"/>
    </row>
    <row r="659119" spans="12:13" x14ac:dyDescent="0.25">
      <c r="L659119" s="472"/>
      <c r="M659119" s="472"/>
    </row>
    <row r="659120" spans="12:13" x14ac:dyDescent="0.25">
      <c r="L659120" s="472"/>
      <c r="M659120" s="472"/>
    </row>
    <row r="659121" spans="12:13" x14ac:dyDescent="0.25">
      <c r="L659121" s="472"/>
      <c r="M659121" s="472"/>
    </row>
    <row r="659193" spans="12:13" x14ac:dyDescent="0.25">
      <c r="L659193" s="472"/>
      <c r="M659193" s="472"/>
    </row>
    <row r="659194" spans="12:13" x14ac:dyDescent="0.25">
      <c r="L659194" s="472"/>
      <c r="M659194" s="472"/>
    </row>
    <row r="659195" spans="12:13" x14ac:dyDescent="0.25">
      <c r="L659195" s="472"/>
      <c r="M659195" s="472"/>
    </row>
    <row r="659267" spans="12:13" x14ac:dyDescent="0.25">
      <c r="L659267" s="472"/>
      <c r="M659267" s="472"/>
    </row>
    <row r="659268" spans="12:13" x14ac:dyDescent="0.25">
      <c r="L659268" s="472"/>
      <c r="M659268" s="472"/>
    </row>
    <row r="659269" spans="12:13" x14ac:dyDescent="0.25">
      <c r="L659269" s="472"/>
      <c r="M659269" s="472"/>
    </row>
    <row r="659341" spans="12:13" x14ac:dyDescent="0.25">
      <c r="L659341" s="472"/>
      <c r="M659341" s="472"/>
    </row>
    <row r="659342" spans="12:13" x14ac:dyDescent="0.25">
      <c r="L659342" s="472"/>
      <c r="M659342" s="472"/>
    </row>
    <row r="659343" spans="12:13" x14ac:dyDescent="0.25">
      <c r="L659343" s="472"/>
      <c r="M659343" s="472"/>
    </row>
    <row r="659415" spans="12:13" x14ac:dyDescent="0.25">
      <c r="L659415" s="472"/>
      <c r="M659415" s="472"/>
    </row>
    <row r="659416" spans="12:13" x14ac:dyDescent="0.25">
      <c r="L659416" s="472"/>
      <c r="M659416" s="472"/>
    </row>
    <row r="659417" spans="12:13" x14ac:dyDescent="0.25">
      <c r="L659417" s="472"/>
      <c r="M659417" s="472"/>
    </row>
    <row r="659489" spans="12:13" x14ac:dyDescent="0.25">
      <c r="L659489" s="472"/>
      <c r="M659489" s="472"/>
    </row>
    <row r="659490" spans="12:13" x14ac:dyDescent="0.25">
      <c r="L659490" s="472"/>
      <c r="M659490" s="472"/>
    </row>
    <row r="659491" spans="12:13" x14ac:dyDescent="0.25">
      <c r="L659491" s="472"/>
      <c r="M659491" s="472"/>
    </row>
    <row r="659563" spans="12:13" x14ac:dyDescent="0.25">
      <c r="L659563" s="472"/>
      <c r="M659563" s="472"/>
    </row>
    <row r="659564" spans="12:13" x14ac:dyDescent="0.25">
      <c r="L659564" s="472"/>
      <c r="M659564" s="472"/>
    </row>
    <row r="659565" spans="12:13" x14ac:dyDescent="0.25">
      <c r="L659565" s="472"/>
      <c r="M659565" s="472"/>
    </row>
    <row r="659637" spans="12:13" x14ac:dyDescent="0.25">
      <c r="L659637" s="472"/>
      <c r="M659637" s="472"/>
    </row>
    <row r="659638" spans="12:13" x14ac:dyDescent="0.25">
      <c r="L659638" s="472"/>
      <c r="M659638" s="472"/>
    </row>
    <row r="659639" spans="12:13" x14ac:dyDescent="0.25">
      <c r="L659639" s="472"/>
      <c r="M659639" s="472"/>
    </row>
    <row r="659711" spans="12:13" x14ac:dyDescent="0.25">
      <c r="L659711" s="472"/>
      <c r="M659711" s="472"/>
    </row>
    <row r="659712" spans="12:13" x14ac:dyDescent="0.25">
      <c r="L659712" s="472"/>
      <c r="M659712" s="472"/>
    </row>
    <row r="659713" spans="12:13" x14ac:dyDescent="0.25">
      <c r="L659713" s="472"/>
      <c r="M659713" s="472"/>
    </row>
    <row r="659785" spans="12:13" x14ac:dyDescent="0.25">
      <c r="L659785" s="472"/>
      <c r="M659785" s="472"/>
    </row>
    <row r="659786" spans="12:13" x14ac:dyDescent="0.25">
      <c r="L659786" s="472"/>
      <c r="M659786" s="472"/>
    </row>
    <row r="659787" spans="12:13" x14ac:dyDescent="0.25">
      <c r="L659787" s="472"/>
      <c r="M659787" s="472"/>
    </row>
    <row r="659859" spans="12:13" x14ac:dyDescent="0.25">
      <c r="L659859" s="472"/>
      <c r="M659859" s="472"/>
    </row>
    <row r="659860" spans="12:13" x14ac:dyDescent="0.25">
      <c r="L659860" s="472"/>
      <c r="M659860" s="472"/>
    </row>
    <row r="659861" spans="12:13" x14ac:dyDescent="0.25">
      <c r="L659861" s="472"/>
      <c r="M659861" s="472"/>
    </row>
    <row r="659933" spans="12:13" x14ac:dyDescent="0.25">
      <c r="L659933" s="472"/>
      <c r="M659933" s="472"/>
    </row>
    <row r="659934" spans="12:13" x14ac:dyDescent="0.25">
      <c r="L659934" s="472"/>
      <c r="M659934" s="472"/>
    </row>
    <row r="659935" spans="12:13" x14ac:dyDescent="0.25">
      <c r="L659935" s="472"/>
      <c r="M659935" s="472"/>
    </row>
    <row r="660007" spans="12:13" x14ac:dyDescent="0.25">
      <c r="L660007" s="472"/>
      <c r="M660007" s="472"/>
    </row>
    <row r="660008" spans="12:13" x14ac:dyDescent="0.25">
      <c r="L660008" s="472"/>
      <c r="M660008" s="472"/>
    </row>
    <row r="660009" spans="12:13" x14ac:dyDescent="0.25">
      <c r="L660009" s="472"/>
      <c r="M660009" s="472"/>
    </row>
    <row r="660081" spans="12:13" x14ac:dyDescent="0.25">
      <c r="L660081" s="472"/>
      <c r="M660081" s="472"/>
    </row>
    <row r="660082" spans="12:13" x14ac:dyDescent="0.25">
      <c r="L660082" s="472"/>
      <c r="M660082" s="472"/>
    </row>
    <row r="660083" spans="12:13" x14ac:dyDescent="0.25">
      <c r="L660083" s="472"/>
      <c r="M660083" s="472"/>
    </row>
    <row r="660155" spans="12:13" x14ac:dyDescent="0.25">
      <c r="L660155" s="472"/>
      <c r="M660155" s="472"/>
    </row>
    <row r="660156" spans="12:13" x14ac:dyDescent="0.25">
      <c r="L660156" s="472"/>
      <c r="M660156" s="472"/>
    </row>
    <row r="660157" spans="12:13" x14ac:dyDescent="0.25">
      <c r="L660157" s="472"/>
      <c r="M660157" s="472"/>
    </row>
    <row r="660229" spans="12:13" x14ac:dyDescent="0.25">
      <c r="L660229" s="472"/>
      <c r="M660229" s="472"/>
    </row>
    <row r="660230" spans="12:13" x14ac:dyDescent="0.25">
      <c r="L660230" s="472"/>
      <c r="M660230" s="472"/>
    </row>
    <row r="660231" spans="12:13" x14ac:dyDescent="0.25">
      <c r="L660231" s="472"/>
      <c r="M660231" s="472"/>
    </row>
    <row r="660303" spans="12:13" x14ac:dyDescent="0.25">
      <c r="L660303" s="472"/>
      <c r="M660303" s="472"/>
    </row>
    <row r="660304" spans="12:13" x14ac:dyDescent="0.25">
      <c r="L660304" s="472"/>
      <c r="M660304" s="472"/>
    </row>
    <row r="660305" spans="12:13" x14ac:dyDescent="0.25">
      <c r="L660305" s="472"/>
      <c r="M660305" s="472"/>
    </row>
    <row r="660377" spans="12:13" x14ac:dyDescent="0.25">
      <c r="L660377" s="472"/>
      <c r="M660377" s="472"/>
    </row>
    <row r="660378" spans="12:13" x14ac:dyDescent="0.25">
      <c r="L660378" s="472"/>
      <c r="M660378" s="472"/>
    </row>
    <row r="660379" spans="12:13" x14ac:dyDescent="0.25">
      <c r="L660379" s="472"/>
      <c r="M660379" s="472"/>
    </row>
    <row r="660451" spans="12:13" x14ac:dyDescent="0.25">
      <c r="L660451" s="472"/>
      <c r="M660451" s="472"/>
    </row>
    <row r="660452" spans="12:13" x14ac:dyDescent="0.25">
      <c r="L660452" s="472"/>
      <c r="M660452" s="472"/>
    </row>
    <row r="660453" spans="12:13" x14ac:dyDescent="0.25">
      <c r="L660453" s="472"/>
      <c r="M660453" s="472"/>
    </row>
    <row r="660525" spans="12:13" x14ac:dyDescent="0.25">
      <c r="L660525" s="472"/>
      <c r="M660525" s="472"/>
    </row>
    <row r="660526" spans="12:13" x14ac:dyDescent="0.25">
      <c r="L660526" s="472"/>
      <c r="M660526" s="472"/>
    </row>
    <row r="660527" spans="12:13" x14ac:dyDescent="0.25">
      <c r="L660527" s="472"/>
      <c r="M660527" s="472"/>
    </row>
    <row r="660599" spans="12:13" x14ac:dyDescent="0.25">
      <c r="L660599" s="472"/>
      <c r="M660599" s="472"/>
    </row>
    <row r="660600" spans="12:13" x14ac:dyDescent="0.25">
      <c r="L660600" s="472"/>
      <c r="M660600" s="472"/>
    </row>
    <row r="660601" spans="12:13" x14ac:dyDescent="0.25">
      <c r="L660601" s="472"/>
      <c r="M660601" s="472"/>
    </row>
    <row r="660673" spans="12:13" x14ac:dyDescent="0.25">
      <c r="L660673" s="472"/>
      <c r="M660673" s="472"/>
    </row>
    <row r="660674" spans="12:13" x14ac:dyDescent="0.25">
      <c r="L660674" s="472"/>
      <c r="M660674" s="472"/>
    </row>
    <row r="660675" spans="12:13" x14ac:dyDescent="0.25">
      <c r="L660675" s="472"/>
      <c r="M660675" s="472"/>
    </row>
    <row r="660747" spans="12:13" x14ac:dyDescent="0.25">
      <c r="L660747" s="472"/>
      <c r="M660747" s="472"/>
    </row>
    <row r="660748" spans="12:13" x14ac:dyDescent="0.25">
      <c r="L660748" s="472"/>
      <c r="M660748" s="472"/>
    </row>
    <row r="660749" spans="12:13" x14ac:dyDescent="0.25">
      <c r="L660749" s="472"/>
      <c r="M660749" s="472"/>
    </row>
    <row r="660821" spans="12:13" x14ac:dyDescent="0.25">
      <c r="L660821" s="472"/>
      <c r="M660821" s="472"/>
    </row>
    <row r="660822" spans="12:13" x14ac:dyDescent="0.25">
      <c r="L660822" s="472"/>
      <c r="M660822" s="472"/>
    </row>
    <row r="660823" spans="12:13" x14ac:dyDescent="0.25">
      <c r="L660823" s="472"/>
      <c r="M660823" s="472"/>
    </row>
    <row r="660895" spans="12:13" x14ac:dyDescent="0.25">
      <c r="L660895" s="472"/>
      <c r="M660895" s="472"/>
    </row>
    <row r="660896" spans="12:13" x14ac:dyDescent="0.25">
      <c r="L660896" s="472"/>
      <c r="M660896" s="472"/>
    </row>
    <row r="660897" spans="12:13" x14ac:dyDescent="0.25">
      <c r="L660897" s="472"/>
      <c r="M660897" s="472"/>
    </row>
    <row r="660969" spans="12:13" x14ac:dyDescent="0.25">
      <c r="L660969" s="472"/>
      <c r="M660969" s="472"/>
    </row>
    <row r="660970" spans="12:13" x14ac:dyDescent="0.25">
      <c r="L660970" s="472"/>
      <c r="M660970" s="472"/>
    </row>
    <row r="660971" spans="12:13" x14ac:dyDescent="0.25">
      <c r="L660971" s="472"/>
      <c r="M660971" s="472"/>
    </row>
    <row r="661043" spans="12:13" x14ac:dyDescent="0.25">
      <c r="L661043" s="472"/>
      <c r="M661043" s="472"/>
    </row>
    <row r="661044" spans="12:13" x14ac:dyDescent="0.25">
      <c r="L661044" s="472"/>
      <c r="M661044" s="472"/>
    </row>
    <row r="661045" spans="12:13" x14ac:dyDescent="0.25">
      <c r="L661045" s="472"/>
      <c r="M661045" s="472"/>
    </row>
    <row r="661117" spans="12:13" x14ac:dyDescent="0.25">
      <c r="L661117" s="472"/>
      <c r="M661117" s="472"/>
    </row>
    <row r="661118" spans="12:13" x14ac:dyDescent="0.25">
      <c r="L661118" s="472"/>
      <c r="M661118" s="472"/>
    </row>
    <row r="661119" spans="12:13" x14ac:dyDescent="0.25">
      <c r="L661119" s="472"/>
      <c r="M661119" s="472"/>
    </row>
    <row r="661191" spans="12:13" x14ac:dyDescent="0.25">
      <c r="L661191" s="472"/>
      <c r="M661191" s="472"/>
    </row>
    <row r="661192" spans="12:13" x14ac:dyDescent="0.25">
      <c r="L661192" s="472"/>
      <c r="M661192" s="472"/>
    </row>
    <row r="661193" spans="12:13" x14ac:dyDescent="0.25">
      <c r="L661193" s="472"/>
      <c r="M661193" s="472"/>
    </row>
    <row r="661265" spans="12:13" x14ac:dyDescent="0.25">
      <c r="L661265" s="472"/>
      <c r="M661265" s="472"/>
    </row>
    <row r="661266" spans="12:13" x14ac:dyDescent="0.25">
      <c r="L661266" s="472"/>
      <c r="M661266" s="472"/>
    </row>
    <row r="661267" spans="12:13" x14ac:dyDescent="0.25">
      <c r="L661267" s="472"/>
      <c r="M661267" s="472"/>
    </row>
    <row r="661339" spans="12:13" x14ac:dyDescent="0.25">
      <c r="L661339" s="472"/>
      <c r="M661339" s="472"/>
    </row>
    <row r="661340" spans="12:13" x14ac:dyDescent="0.25">
      <c r="L661340" s="472"/>
      <c r="M661340" s="472"/>
    </row>
    <row r="661341" spans="12:13" x14ac:dyDescent="0.25">
      <c r="L661341" s="472"/>
      <c r="M661341" s="472"/>
    </row>
    <row r="661413" spans="12:13" x14ac:dyDescent="0.25">
      <c r="L661413" s="472"/>
      <c r="M661413" s="472"/>
    </row>
    <row r="661414" spans="12:13" x14ac:dyDescent="0.25">
      <c r="L661414" s="472"/>
      <c r="M661414" s="472"/>
    </row>
    <row r="661415" spans="12:13" x14ac:dyDescent="0.25">
      <c r="L661415" s="472"/>
      <c r="M661415" s="472"/>
    </row>
    <row r="661487" spans="12:13" x14ac:dyDescent="0.25">
      <c r="L661487" s="472"/>
      <c r="M661487" s="472"/>
    </row>
    <row r="661488" spans="12:13" x14ac:dyDescent="0.25">
      <c r="L661488" s="472"/>
      <c r="M661488" s="472"/>
    </row>
    <row r="661489" spans="12:13" x14ac:dyDescent="0.25">
      <c r="L661489" s="472"/>
      <c r="M661489" s="472"/>
    </row>
    <row r="661561" spans="12:13" x14ac:dyDescent="0.25">
      <c r="L661561" s="472"/>
      <c r="M661561" s="472"/>
    </row>
    <row r="661562" spans="12:13" x14ac:dyDescent="0.25">
      <c r="L661562" s="472"/>
      <c r="M661562" s="472"/>
    </row>
    <row r="661563" spans="12:13" x14ac:dyDescent="0.25">
      <c r="L661563" s="472"/>
      <c r="M661563" s="472"/>
    </row>
    <row r="661635" spans="12:13" x14ac:dyDescent="0.25">
      <c r="L661635" s="472"/>
      <c r="M661635" s="472"/>
    </row>
    <row r="661636" spans="12:13" x14ac:dyDescent="0.25">
      <c r="L661636" s="472"/>
      <c r="M661636" s="472"/>
    </row>
    <row r="661637" spans="12:13" x14ac:dyDescent="0.25">
      <c r="L661637" s="472"/>
      <c r="M661637" s="472"/>
    </row>
    <row r="661709" spans="12:13" x14ac:dyDescent="0.25">
      <c r="L661709" s="472"/>
      <c r="M661709" s="472"/>
    </row>
    <row r="661710" spans="12:13" x14ac:dyDescent="0.25">
      <c r="L661710" s="472"/>
      <c r="M661710" s="472"/>
    </row>
    <row r="661711" spans="12:13" x14ac:dyDescent="0.25">
      <c r="L661711" s="472"/>
      <c r="M661711" s="472"/>
    </row>
    <row r="661783" spans="12:13" x14ac:dyDescent="0.25">
      <c r="L661783" s="472"/>
      <c r="M661783" s="472"/>
    </row>
    <row r="661784" spans="12:13" x14ac:dyDescent="0.25">
      <c r="L661784" s="472"/>
      <c r="M661784" s="472"/>
    </row>
    <row r="661785" spans="12:13" x14ac:dyDescent="0.25">
      <c r="L661785" s="472"/>
      <c r="M661785" s="472"/>
    </row>
    <row r="661857" spans="12:13" x14ac:dyDescent="0.25">
      <c r="L661857" s="472"/>
      <c r="M661857" s="472"/>
    </row>
    <row r="661858" spans="12:13" x14ac:dyDescent="0.25">
      <c r="L661858" s="472"/>
      <c r="M661858" s="472"/>
    </row>
    <row r="661859" spans="12:13" x14ac:dyDescent="0.25">
      <c r="L661859" s="472"/>
      <c r="M661859" s="472"/>
    </row>
    <row r="661931" spans="12:13" x14ac:dyDescent="0.25">
      <c r="L661931" s="472"/>
      <c r="M661931" s="472"/>
    </row>
    <row r="661932" spans="12:13" x14ac:dyDescent="0.25">
      <c r="L661932" s="472"/>
      <c r="M661932" s="472"/>
    </row>
    <row r="661933" spans="12:13" x14ac:dyDescent="0.25">
      <c r="L661933" s="472"/>
      <c r="M661933" s="472"/>
    </row>
    <row r="662005" spans="12:13" x14ac:dyDescent="0.25">
      <c r="L662005" s="472"/>
      <c r="M662005" s="472"/>
    </row>
    <row r="662006" spans="12:13" x14ac:dyDescent="0.25">
      <c r="L662006" s="472"/>
      <c r="M662006" s="472"/>
    </row>
    <row r="662007" spans="12:13" x14ac:dyDescent="0.25">
      <c r="L662007" s="472"/>
      <c r="M662007" s="472"/>
    </row>
    <row r="662079" spans="12:13" x14ac:dyDescent="0.25">
      <c r="L662079" s="472"/>
      <c r="M662079" s="472"/>
    </row>
    <row r="662080" spans="12:13" x14ac:dyDescent="0.25">
      <c r="L662080" s="472"/>
      <c r="M662080" s="472"/>
    </row>
    <row r="662081" spans="12:13" x14ac:dyDescent="0.25">
      <c r="L662081" s="472"/>
      <c r="M662081" s="472"/>
    </row>
    <row r="662153" spans="12:13" x14ac:dyDescent="0.25">
      <c r="L662153" s="472"/>
      <c r="M662153" s="472"/>
    </row>
    <row r="662154" spans="12:13" x14ac:dyDescent="0.25">
      <c r="L662154" s="472"/>
      <c r="M662154" s="472"/>
    </row>
    <row r="662155" spans="12:13" x14ac:dyDescent="0.25">
      <c r="L662155" s="472"/>
      <c r="M662155" s="472"/>
    </row>
    <row r="662227" spans="12:13" x14ac:dyDescent="0.25">
      <c r="L662227" s="472"/>
      <c r="M662227" s="472"/>
    </row>
    <row r="662228" spans="12:13" x14ac:dyDescent="0.25">
      <c r="L662228" s="472"/>
      <c r="M662228" s="472"/>
    </row>
    <row r="662229" spans="12:13" x14ac:dyDescent="0.25">
      <c r="L662229" s="472"/>
      <c r="M662229" s="472"/>
    </row>
    <row r="662301" spans="12:13" x14ac:dyDescent="0.25">
      <c r="L662301" s="472"/>
      <c r="M662301" s="472"/>
    </row>
    <row r="662302" spans="12:13" x14ac:dyDescent="0.25">
      <c r="L662302" s="472"/>
      <c r="M662302" s="472"/>
    </row>
    <row r="662303" spans="12:13" x14ac:dyDescent="0.25">
      <c r="L662303" s="472"/>
      <c r="M662303" s="472"/>
    </row>
    <row r="662375" spans="12:13" x14ac:dyDescent="0.25">
      <c r="L662375" s="472"/>
      <c r="M662375" s="472"/>
    </row>
    <row r="662376" spans="12:13" x14ac:dyDescent="0.25">
      <c r="L662376" s="472"/>
      <c r="M662376" s="472"/>
    </row>
    <row r="662377" spans="12:13" x14ac:dyDescent="0.25">
      <c r="L662377" s="472"/>
      <c r="M662377" s="472"/>
    </row>
    <row r="662449" spans="12:13" x14ac:dyDescent="0.25">
      <c r="L662449" s="472"/>
      <c r="M662449" s="472"/>
    </row>
    <row r="662450" spans="12:13" x14ac:dyDescent="0.25">
      <c r="L662450" s="472"/>
      <c r="M662450" s="472"/>
    </row>
    <row r="662451" spans="12:13" x14ac:dyDescent="0.25">
      <c r="L662451" s="472"/>
      <c r="M662451" s="472"/>
    </row>
    <row r="662523" spans="12:13" x14ac:dyDescent="0.25">
      <c r="L662523" s="472"/>
      <c r="M662523" s="472"/>
    </row>
    <row r="662524" spans="12:13" x14ac:dyDescent="0.25">
      <c r="L662524" s="472"/>
      <c r="M662524" s="472"/>
    </row>
    <row r="662525" spans="12:13" x14ac:dyDescent="0.25">
      <c r="L662525" s="472"/>
      <c r="M662525" s="472"/>
    </row>
    <row r="662597" spans="12:13" x14ac:dyDescent="0.25">
      <c r="L662597" s="472"/>
      <c r="M662597" s="472"/>
    </row>
    <row r="662598" spans="12:13" x14ac:dyDescent="0.25">
      <c r="L662598" s="472"/>
      <c r="M662598" s="472"/>
    </row>
    <row r="662599" spans="12:13" x14ac:dyDescent="0.25">
      <c r="L662599" s="472"/>
      <c r="M662599" s="472"/>
    </row>
    <row r="662671" spans="12:13" x14ac:dyDescent="0.25">
      <c r="L662671" s="472"/>
      <c r="M662671" s="472"/>
    </row>
    <row r="662672" spans="12:13" x14ac:dyDescent="0.25">
      <c r="L662672" s="472"/>
      <c r="M662672" s="472"/>
    </row>
    <row r="662673" spans="12:13" x14ac:dyDescent="0.25">
      <c r="L662673" s="472"/>
      <c r="M662673" s="472"/>
    </row>
    <row r="662745" spans="12:13" x14ac:dyDescent="0.25">
      <c r="L662745" s="472"/>
      <c r="M662745" s="472"/>
    </row>
    <row r="662746" spans="12:13" x14ac:dyDescent="0.25">
      <c r="L662746" s="472"/>
      <c r="M662746" s="472"/>
    </row>
    <row r="662747" spans="12:13" x14ac:dyDescent="0.25">
      <c r="L662747" s="472"/>
      <c r="M662747" s="472"/>
    </row>
    <row r="662819" spans="12:13" x14ac:dyDescent="0.25">
      <c r="L662819" s="472"/>
      <c r="M662819" s="472"/>
    </row>
    <row r="662820" spans="12:13" x14ac:dyDescent="0.25">
      <c r="L662820" s="472"/>
      <c r="M662820" s="472"/>
    </row>
    <row r="662821" spans="12:13" x14ac:dyDescent="0.25">
      <c r="L662821" s="472"/>
      <c r="M662821" s="472"/>
    </row>
    <row r="662893" spans="12:13" x14ac:dyDescent="0.25">
      <c r="L662893" s="472"/>
      <c r="M662893" s="472"/>
    </row>
    <row r="662894" spans="12:13" x14ac:dyDescent="0.25">
      <c r="L662894" s="472"/>
      <c r="M662894" s="472"/>
    </row>
    <row r="662895" spans="12:13" x14ac:dyDescent="0.25">
      <c r="L662895" s="472"/>
      <c r="M662895" s="472"/>
    </row>
    <row r="662967" spans="12:13" x14ac:dyDescent="0.25">
      <c r="L662967" s="472"/>
      <c r="M662967" s="472"/>
    </row>
    <row r="662968" spans="12:13" x14ac:dyDescent="0.25">
      <c r="L662968" s="472"/>
      <c r="M662968" s="472"/>
    </row>
    <row r="662969" spans="12:13" x14ac:dyDescent="0.25">
      <c r="L662969" s="472"/>
      <c r="M662969" s="472"/>
    </row>
    <row r="663041" spans="12:13" x14ac:dyDescent="0.25">
      <c r="L663041" s="472"/>
      <c r="M663041" s="472"/>
    </row>
    <row r="663042" spans="12:13" x14ac:dyDescent="0.25">
      <c r="L663042" s="472"/>
      <c r="M663042" s="472"/>
    </row>
    <row r="663043" spans="12:13" x14ac:dyDescent="0.25">
      <c r="L663043" s="472"/>
      <c r="M663043" s="472"/>
    </row>
    <row r="663115" spans="12:13" x14ac:dyDescent="0.25">
      <c r="L663115" s="472"/>
      <c r="M663115" s="472"/>
    </row>
    <row r="663116" spans="12:13" x14ac:dyDescent="0.25">
      <c r="L663116" s="472"/>
      <c r="M663116" s="472"/>
    </row>
    <row r="663117" spans="12:13" x14ac:dyDescent="0.25">
      <c r="L663117" s="472"/>
      <c r="M663117" s="472"/>
    </row>
    <row r="663189" spans="12:13" x14ac:dyDescent="0.25">
      <c r="L663189" s="472"/>
      <c r="M663189" s="472"/>
    </row>
    <row r="663190" spans="12:13" x14ac:dyDescent="0.25">
      <c r="L663190" s="472"/>
      <c r="M663190" s="472"/>
    </row>
    <row r="663191" spans="12:13" x14ac:dyDescent="0.25">
      <c r="L663191" s="472"/>
      <c r="M663191" s="472"/>
    </row>
    <row r="663263" spans="12:13" x14ac:dyDescent="0.25">
      <c r="L663263" s="472"/>
      <c r="M663263" s="472"/>
    </row>
    <row r="663264" spans="12:13" x14ac:dyDescent="0.25">
      <c r="L663264" s="472"/>
      <c r="M663264" s="472"/>
    </row>
    <row r="663265" spans="12:13" x14ac:dyDescent="0.25">
      <c r="L663265" s="472"/>
      <c r="M663265" s="472"/>
    </row>
    <row r="663337" spans="12:13" x14ac:dyDescent="0.25">
      <c r="L663337" s="472"/>
      <c r="M663337" s="472"/>
    </row>
    <row r="663338" spans="12:13" x14ac:dyDescent="0.25">
      <c r="L663338" s="472"/>
      <c r="M663338" s="472"/>
    </row>
    <row r="663339" spans="12:13" x14ac:dyDescent="0.25">
      <c r="L663339" s="472"/>
      <c r="M663339" s="472"/>
    </row>
    <row r="663411" spans="12:13" x14ac:dyDescent="0.25">
      <c r="L663411" s="472"/>
      <c r="M663411" s="472"/>
    </row>
    <row r="663412" spans="12:13" x14ac:dyDescent="0.25">
      <c r="L663412" s="472"/>
      <c r="M663412" s="472"/>
    </row>
    <row r="663413" spans="12:13" x14ac:dyDescent="0.25">
      <c r="L663413" s="472"/>
      <c r="M663413" s="472"/>
    </row>
    <row r="663485" spans="12:13" x14ac:dyDescent="0.25">
      <c r="L663485" s="472"/>
      <c r="M663485" s="472"/>
    </row>
    <row r="663486" spans="12:13" x14ac:dyDescent="0.25">
      <c r="L663486" s="472"/>
      <c r="M663486" s="472"/>
    </row>
    <row r="663487" spans="12:13" x14ac:dyDescent="0.25">
      <c r="L663487" s="472"/>
      <c r="M663487" s="472"/>
    </row>
    <row r="663559" spans="12:13" x14ac:dyDescent="0.25">
      <c r="L663559" s="472"/>
      <c r="M663559" s="472"/>
    </row>
    <row r="663560" spans="12:13" x14ac:dyDescent="0.25">
      <c r="L663560" s="472"/>
      <c r="M663560" s="472"/>
    </row>
    <row r="663561" spans="12:13" x14ac:dyDescent="0.25">
      <c r="L663561" s="472"/>
      <c r="M663561" s="472"/>
    </row>
    <row r="663633" spans="12:13" x14ac:dyDescent="0.25">
      <c r="L663633" s="472"/>
      <c r="M663633" s="472"/>
    </row>
    <row r="663634" spans="12:13" x14ac:dyDescent="0.25">
      <c r="L663634" s="472"/>
      <c r="M663634" s="472"/>
    </row>
    <row r="663635" spans="12:13" x14ac:dyDescent="0.25">
      <c r="L663635" s="472"/>
      <c r="M663635" s="472"/>
    </row>
    <row r="663707" spans="12:13" x14ac:dyDescent="0.25">
      <c r="L663707" s="472"/>
      <c r="M663707" s="472"/>
    </row>
    <row r="663708" spans="12:13" x14ac:dyDescent="0.25">
      <c r="L663708" s="472"/>
      <c r="M663708" s="472"/>
    </row>
    <row r="663709" spans="12:13" x14ac:dyDescent="0.25">
      <c r="L663709" s="472"/>
      <c r="M663709" s="472"/>
    </row>
    <row r="663781" spans="12:13" x14ac:dyDescent="0.25">
      <c r="L663781" s="472"/>
      <c r="M663781" s="472"/>
    </row>
    <row r="663782" spans="12:13" x14ac:dyDescent="0.25">
      <c r="L663782" s="472"/>
      <c r="M663782" s="472"/>
    </row>
    <row r="663783" spans="12:13" x14ac:dyDescent="0.25">
      <c r="L663783" s="472"/>
      <c r="M663783" s="472"/>
    </row>
    <row r="663855" spans="12:13" x14ac:dyDescent="0.25">
      <c r="L663855" s="472"/>
      <c r="M663855" s="472"/>
    </row>
    <row r="663856" spans="12:13" x14ac:dyDescent="0.25">
      <c r="L663856" s="472"/>
      <c r="M663856" s="472"/>
    </row>
    <row r="663857" spans="12:13" x14ac:dyDescent="0.25">
      <c r="L663857" s="472"/>
      <c r="M663857" s="472"/>
    </row>
    <row r="663929" spans="12:13" x14ac:dyDescent="0.25">
      <c r="L663929" s="472"/>
      <c r="M663929" s="472"/>
    </row>
    <row r="663930" spans="12:13" x14ac:dyDescent="0.25">
      <c r="L663930" s="472"/>
      <c r="M663930" s="472"/>
    </row>
    <row r="663931" spans="12:13" x14ac:dyDescent="0.25">
      <c r="L663931" s="472"/>
      <c r="M663931" s="472"/>
    </row>
    <row r="664003" spans="12:13" x14ac:dyDescent="0.25">
      <c r="L664003" s="472"/>
      <c r="M664003" s="472"/>
    </row>
    <row r="664004" spans="12:13" x14ac:dyDescent="0.25">
      <c r="L664004" s="472"/>
      <c r="M664004" s="472"/>
    </row>
    <row r="664005" spans="12:13" x14ac:dyDescent="0.25">
      <c r="L664005" s="472"/>
      <c r="M664005" s="472"/>
    </row>
    <row r="664077" spans="12:13" x14ac:dyDescent="0.25">
      <c r="L664077" s="472"/>
      <c r="M664077" s="472"/>
    </row>
    <row r="664078" spans="12:13" x14ac:dyDescent="0.25">
      <c r="L664078" s="472"/>
      <c r="M664078" s="472"/>
    </row>
    <row r="664079" spans="12:13" x14ac:dyDescent="0.25">
      <c r="L664079" s="472"/>
      <c r="M664079" s="472"/>
    </row>
    <row r="664151" spans="12:13" x14ac:dyDescent="0.25">
      <c r="L664151" s="472"/>
      <c r="M664151" s="472"/>
    </row>
    <row r="664152" spans="12:13" x14ac:dyDescent="0.25">
      <c r="L664152" s="472"/>
      <c r="M664152" s="472"/>
    </row>
    <row r="664153" spans="12:13" x14ac:dyDescent="0.25">
      <c r="L664153" s="472"/>
      <c r="M664153" s="472"/>
    </row>
    <row r="664225" spans="12:13" x14ac:dyDescent="0.25">
      <c r="L664225" s="472"/>
      <c r="M664225" s="472"/>
    </row>
    <row r="664226" spans="12:13" x14ac:dyDescent="0.25">
      <c r="L664226" s="472"/>
      <c r="M664226" s="472"/>
    </row>
    <row r="664227" spans="12:13" x14ac:dyDescent="0.25">
      <c r="L664227" s="472"/>
      <c r="M664227" s="472"/>
    </row>
    <row r="664299" spans="12:13" x14ac:dyDescent="0.25">
      <c r="L664299" s="472"/>
      <c r="M664299" s="472"/>
    </row>
    <row r="664300" spans="12:13" x14ac:dyDescent="0.25">
      <c r="L664300" s="472"/>
      <c r="M664300" s="472"/>
    </row>
    <row r="664301" spans="12:13" x14ac:dyDescent="0.25">
      <c r="L664301" s="472"/>
      <c r="M664301" s="472"/>
    </row>
    <row r="664373" spans="12:13" x14ac:dyDescent="0.25">
      <c r="L664373" s="472"/>
      <c r="M664373" s="472"/>
    </row>
    <row r="664374" spans="12:13" x14ac:dyDescent="0.25">
      <c r="L664374" s="472"/>
      <c r="M664374" s="472"/>
    </row>
    <row r="664375" spans="12:13" x14ac:dyDescent="0.25">
      <c r="L664375" s="472"/>
      <c r="M664375" s="472"/>
    </row>
    <row r="664447" spans="12:13" x14ac:dyDescent="0.25">
      <c r="L664447" s="472"/>
      <c r="M664447" s="472"/>
    </row>
    <row r="664448" spans="12:13" x14ac:dyDescent="0.25">
      <c r="L664448" s="472"/>
      <c r="M664448" s="472"/>
    </row>
    <row r="664449" spans="12:13" x14ac:dyDescent="0.25">
      <c r="L664449" s="472"/>
      <c r="M664449" s="472"/>
    </row>
    <row r="664521" spans="12:13" x14ac:dyDescent="0.25">
      <c r="L664521" s="472"/>
      <c r="M664521" s="472"/>
    </row>
    <row r="664522" spans="12:13" x14ac:dyDescent="0.25">
      <c r="L664522" s="472"/>
      <c r="M664522" s="472"/>
    </row>
    <row r="664523" spans="12:13" x14ac:dyDescent="0.25">
      <c r="L664523" s="472"/>
      <c r="M664523" s="472"/>
    </row>
    <row r="664595" spans="12:13" x14ac:dyDescent="0.25">
      <c r="L664595" s="472"/>
      <c r="M664595" s="472"/>
    </row>
    <row r="664596" spans="12:13" x14ac:dyDescent="0.25">
      <c r="L664596" s="472"/>
      <c r="M664596" s="472"/>
    </row>
    <row r="664597" spans="12:13" x14ac:dyDescent="0.25">
      <c r="L664597" s="472"/>
      <c r="M664597" s="472"/>
    </row>
    <row r="664669" spans="12:13" x14ac:dyDescent="0.25">
      <c r="L664669" s="472"/>
      <c r="M664669" s="472"/>
    </row>
    <row r="664670" spans="12:13" x14ac:dyDescent="0.25">
      <c r="L664670" s="472"/>
      <c r="M664670" s="472"/>
    </row>
    <row r="664671" spans="12:13" x14ac:dyDescent="0.25">
      <c r="L664671" s="472"/>
      <c r="M664671" s="472"/>
    </row>
    <row r="664743" spans="12:13" x14ac:dyDescent="0.25">
      <c r="L664743" s="472"/>
      <c r="M664743" s="472"/>
    </row>
    <row r="664744" spans="12:13" x14ac:dyDescent="0.25">
      <c r="L664744" s="472"/>
      <c r="M664744" s="472"/>
    </row>
    <row r="664745" spans="12:13" x14ac:dyDescent="0.25">
      <c r="L664745" s="472"/>
      <c r="M664745" s="472"/>
    </row>
    <row r="664817" spans="12:13" x14ac:dyDescent="0.25">
      <c r="L664817" s="472"/>
      <c r="M664817" s="472"/>
    </row>
    <row r="664818" spans="12:13" x14ac:dyDescent="0.25">
      <c r="L664818" s="472"/>
      <c r="M664818" s="472"/>
    </row>
    <row r="664819" spans="12:13" x14ac:dyDescent="0.25">
      <c r="L664819" s="472"/>
      <c r="M664819" s="472"/>
    </row>
    <row r="664891" spans="12:13" x14ac:dyDescent="0.25">
      <c r="L664891" s="472"/>
      <c r="M664891" s="472"/>
    </row>
    <row r="664892" spans="12:13" x14ac:dyDescent="0.25">
      <c r="L664892" s="472"/>
      <c r="M664892" s="472"/>
    </row>
    <row r="664893" spans="12:13" x14ac:dyDescent="0.25">
      <c r="L664893" s="472"/>
      <c r="M664893" s="472"/>
    </row>
    <row r="664965" spans="12:13" x14ac:dyDescent="0.25">
      <c r="L664965" s="472"/>
      <c r="M664965" s="472"/>
    </row>
    <row r="664966" spans="12:13" x14ac:dyDescent="0.25">
      <c r="L664966" s="472"/>
      <c r="M664966" s="472"/>
    </row>
    <row r="664967" spans="12:13" x14ac:dyDescent="0.25">
      <c r="L664967" s="472"/>
      <c r="M664967" s="472"/>
    </row>
    <row r="665039" spans="12:13" x14ac:dyDescent="0.25">
      <c r="L665039" s="472"/>
      <c r="M665039" s="472"/>
    </row>
    <row r="665040" spans="12:13" x14ac:dyDescent="0.25">
      <c r="L665040" s="472"/>
      <c r="M665040" s="472"/>
    </row>
    <row r="665041" spans="12:13" x14ac:dyDescent="0.25">
      <c r="L665041" s="472"/>
      <c r="M665041" s="472"/>
    </row>
    <row r="665113" spans="12:13" x14ac:dyDescent="0.25">
      <c r="L665113" s="472"/>
      <c r="M665113" s="472"/>
    </row>
    <row r="665114" spans="12:13" x14ac:dyDescent="0.25">
      <c r="L665114" s="472"/>
      <c r="M665114" s="472"/>
    </row>
    <row r="665115" spans="12:13" x14ac:dyDescent="0.25">
      <c r="L665115" s="472"/>
      <c r="M665115" s="472"/>
    </row>
    <row r="665187" spans="12:13" x14ac:dyDescent="0.25">
      <c r="L665187" s="472"/>
      <c r="M665187" s="472"/>
    </row>
    <row r="665188" spans="12:13" x14ac:dyDescent="0.25">
      <c r="L665188" s="472"/>
      <c r="M665188" s="472"/>
    </row>
    <row r="665189" spans="12:13" x14ac:dyDescent="0.25">
      <c r="L665189" s="472"/>
      <c r="M665189" s="472"/>
    </row>
    <row r="665261" spans="12:13" x14ac:dyDescent="0.25">
      <c r="L665261" s="472"/>
      <c r="M665261" s="472"/>
    </row>
    <row r="665262" spans="12:13" x14ac:dyDescent="0.25">
      <c r="L665262" s="472"/>
      <c r="M665262" s="472"/>
    </row>
    <row r="665263" spans="12:13" x14ac:dyDescent="0.25">
      <c r="L665263" s="472"/>
      <c r="M665263" s="472"/>
    </row>
    <row r="665335" spans="12:13" x14ac:dyDescent="0.25">
      <c r="L665335" s="472"/>
      <c r="M665335" s="472"/>
    </row>
    <row r="665336" spans="12:13" x14ac:dyDescent="0.25">
      <c r="L665336" s="472"/>
      <c r="M665336" s="472"/>
    </row>
    <row r="665337" spans="12:13" x14ac:dyDescent="0.25">
      <c r="L665337" s="472"/>
      <c r="M665337" s="472"/>
    </row>
    <row r="665409" spans="12:13" x14ac:dyDescent="0.25">
      <c r="L665409" s="472"/>
      <c r="M665409" s="472"/>
    </row>
    <row r="665410" spans="12:13" x14ac:dyDescent="0.25">
      <c r="L665410" s="472"/>
      <c r="M665410" s="472"/>
    </row>
    <row r="665411" spans="12:13" x14ac:dyDescent="0.25">
      <c r="L665411" s="472"/>
      <c r="M665411" s="472"/>
    </row>
    <row r="665483" spans="12:13" x14ac:dyDescent="0.25">
      <c r="L665483" s="472"/>
      <c r="M665483" s="472"/>
    </row>
    <row r="665484" spans="12:13" x14ac:dyDescent="0.25">
      <c r="L665484" s="472"/>
      <c r="M665484" s="472"/>
    </row>
    <row r="665485" spans="12:13" x14ac:dyDescent="0.25">
      <c r="L665485" s="472"/>
      <c r="M665485" s="472"/>
    </row>
    <row r="665557" spans="12:13" x14ac:dyDescent="0.25">
      <c r="L665557" s="472"/>
      <c r="M665557" s="472"/>
    </row>
    <row r="665558" spans="12:13" x14ac:dyDescent="0.25">
      <c r="L665558" s="472"/>
      <c r="M665558" s="472"/>
    </row>
    <row r="665559" spans="12:13" x14ac:dyDescent="0.25">
      <c r="L665559" s="472"/>
      <c r="M665559" s="472"/>
    </row>
    <row r="665631" spans="12:13" x14ac:dyDescent="0.25">
      <c r="L665631" s="472"/>
      <c r="M665631" s="472"/>
    </row>
    <row r="665632" spans="12:13" x14ac:dyDescent="0.25">
      <c r="L665632" s="472"/>
      <c r="M665632" s="472"/>
    </row>
    <row r="665633" spans="12:13" x14ac:dyDescent="0.25">
      <c r="L665633" s="472"/>
      <c r="M665633" s="472"/>
    </row>
    <row r="665705" spans="12:13" x14ac:dyDescent="0.25">
      <c r="L665705" s="472"/>
      <c r="M665705" s="472"/>
    </row>
    <row r="665706" spans="12:13" x14ac:dyDescent="0.25">
      <c r="L665706" s="472"/>
      <c r="M665706" s="472"/>
    </row>
    <row r="665707" spans="12:13" x14ac:dyDescent="0.25">
      <c r="L665707" s="472"/>
      <c r="M665707" s="472"/>
    </row>
    <row r="665779" spans="12:13" x14ac:dyDescent="0.25">
      <c r="L665779" s="472"/>
      <c r="M665779" s="472"/>
    </row>
    <row r="665780" spans="12:13" x14ac:dyDescent="0.25">
      <c r="L665780" s="472"/>
      <c r="M665780" s="472"/>
    </row>
    <row r="665781" spans="12:13" x14ac:dyDescent="0.25">
      <c r="L665781" s="472"/>
      <c r="M665781" s="472"/>
    </row>
    <row r="665853" spans="12:13" x14ac:dyDescent="0.25">
      <c r="L665853" s="472"/>
      <c r="M665853" s="472"/>
    </row>
    <row r="665854" spans="12:13" x14ac:dyDescent="0.25">
      <c r="L665854" s="472"/>
      <c r="M665854" s="472"/>
    </row>
    <row r="665855" spans="12:13" x14ac:dyDescent="0.25">
      <c r="L665855" s="472"/>
      <c r="M665855" s="472"/>
    </row>
    <row r="665927" spans="12:13" x14ac:dyDescent="0.25">
      <c r="L665927" s="472"/>
      <c r="M665927" s="472"/>
    </row>
    <row r="665928" spans="12:13" x14ac:dyDescent="0.25">
      <c r="L665928" s="472"/>
      <c r="M665928" s="472"/>
    </row>
    <row r="665929" spans="12:13" x14ac:dyDescent="0.25">
      <c r="L665929" s="472"/>
      <c r="M665929" s="472"/>
    </row>
    <row r="666001" spans="12:13" x14ac:dyDescent="0.25">
      <c r="L666001" s="472"/>
      <c r="M666001" s="472"/>
    </row>
    <row r="666002" spans="12:13" x14ac:dyDescent="0.25">
      <c r="L666002" s="472"/>
      <c r="M666002" s="472"/>
    </row>
    <row r="666003" spans="12:13" x14ac:dyDescent="0.25">
      <c r="L666003" s="472"/>
      <c r="M666003" s="472"/>
    </row>
    <row r="666075" spans="12:13" x14ac:dyDescent="0.25">
      <c r="L666075" s="472"/>
      <c r="M666075" s="472"/>
    </row>
    <row r="666076" spans="12:13" x14ac:dyDescent="0.25">
      <c r="L666076" s="472"/>
      <c r="M666076" s="472"/>
    </row>
    <row r="666077" spans="12:13" x14ac:dyDescent="0.25">
      <c r="L666077" s="472"/>
      <c r="M666077" s="472"/>
    </row>
    <row r="666149" spans="12:13" x14ac:dyDescent="0.25">
      <c r="L666149" s="472"/>
      <c r="M666149" s="472"/>
    </row>
    <row r="666150" spans="12:13" x14ac:dyDescent="0.25">
      <c r="L666150" s="472"/>
      <c r="M666150" s="472"/>
    </row>
    <row r="666151" spans="12:13" x14ac:dyDescent="0.25">
      <c r="L666151" s="472"/>
      <c r="M666151" s="472"/>
    </row>
    <row r="666223" spans="12:13" x14ac:dyDescent="0.25">
      <c r="L666223" s="472"/>
      <c r="M666223" s="472"/>
    </row>
    <row r="666224" spans="12:13" x14ac:dyDescent="0.25">
      <c r="L666224" s="472"/>
      <c r="M666224" s="472"/>
    </row>
    <row r="666225" spans="12:13" x14ac:dyDescent="0.25">
      <c r="L666225" s="472"/>
      <c r="M666225" s="472"/>
    </row>
    <row r="666297" spans="12:13" x14ac:dyDescent="0.25">
      <c r="L666297" s="472"/>
      <c r="M666297" s="472"/>
    </row>
    <row r="666298" spans="12:13" x14ac:dyDescent="0.25">
      <c r="L666298" s="472"/>
      <c r="M666298" s="472"/>
    </row>
    <row r="666299" spans="12:13" x14ac:dyDescent="0.25">
      <c r="L666299" s="472"/>
      <c r="M666299" s="472"/>
    </row>
    <row r="666371" spans="12:13" x14ac:dyDescent="0.25">
      <c r="L666371" s="472"/>
      <c r="M666371" s="472"/>
    </row>
    <row r="666372" spans="12:13" x14ac:dyDescent="0.25">
      <c r="L666372" s="472"/>
      <c r="M666372" s="472"/>
    </row>
    <row r="666373" spans="12:13" x14ac:dyDescent="0.25">
      <c r="L666373" s="472"/>
      <c r="M666373" s="472"/>
    </row>
    <row r="666445" spans="12:13" x14ac:dyDescent="0.25">
      <c r="L666445" s="472"/>
      <c r="M666445" s="472"/>
    </row>
    <row r="666446" spans="12:13" x14ac:dyDescent="0.25">
      <c r="L666446" s="472"/>
      <c r="M666446" s="472"/>
    </row>
    <row r="666447" spans="12:13" x14ac:dyDescent="0.25">
      <c r="L666447" s="472"/>
      <c r="M666447" s="472"/>
    </row>
    <row r="666519" spans="12:13" x14ac:dyDescent="0.25">
      <c r="L666519" s="472"/>
      <c r="M666519" s="472"/>
    </row>
    <row r="666520" spans="12:13" x14ac:dyDescent="0.25">
      <c r="L666520" s="472"/>
      <c r="M666520" s="472"/>
    </row>
    <row r="666521" spans="12:13" x14ac:dyDescent="0.25">
      <c r="L666521" s="472"/>
      <c r="M666521" s="472"/>
    </row>
    <row r="666593" spans="12:13" x14ac:dyDescent="0.25">
      <c r="L666593" s="472"/>
      <c r="M666593" s="472"/>
    </row>
    <row r="666594" spans="12:13" x14ac:dyDescent="0.25">
      <c r="L666594" s="472"/>
      <c r="M666594" s="472"/>
    </row>
    <row r="666595" spans="12:13" x14ac:dyDescent="0.25">
      <c r="L666595" s="472"/>
      <c r="M666595" s="472"/>
    </row>
    <row r="666667" spans="12:13" x14ac:dyDescent="0.25">
      <c r="L666667" s="472"/>
      <c r="M666667" s="472"/>
    </row>
    <row r="666668" spans="12:13" x14ac:dyDescent="0.25">
      <c r="L666668" s="472"/>
      <c r="M666668" s="472"/>
    </row>
    <row r="666669" spans="12:13" x14ac:dyDescent="0.25">
      <c r="L666669" s="472"/>
      <c r="M666669" s="472"/>
    </row>
    <row r="666741" spans="12:13" x14ac:dyDescent="0.25">
      <c r="L666741" s="472"/>
      <c r="M666741" s="472"/>
    </row>
    <row r="666742" spans="12:13" x14ac:dyDescent="0.25">
      <c r="L666742" s="472"/>
      <c r="M666742" s="472"/>
    </row>
    <row r="666743" spans="12:13" x14ac:dyDescent="0.25">
      <c r="L666743" s="472"/>
      <c r="M666743" s="472"/>
    </row>
    <row r="666815" spans="12:13" x14ac:dyDescent="0.25">
      <c r="L666815" s="472"/>
      <c r="M666815" s="472"/>
    </row>
    <row r="666816" spans="12:13" x14ac:dyDescent="0.25">
      <c r="L666816" s="472"/>
      <c r="M666816" s="472"/>
    </row>
    <row r="666817" spans="12:13" x14ac:dyDescent="0.25">
      <c r="L666817" s="472"/>
      <c r="M666817" s="472"/>
    </row>
    <row r="666889" spans="12:13" x14ac:dyDescent="0.25">
      <c r="L666889" s="472"/>
      <c r="M666889" s="472"/>
    </row>
    <row r="666890" spans="12:13" x14ac:dyDescent="0.25">
      <c r="L666890" s="472"/>
      <c r="M666890" s="472"/>
    </row>
    <row r="666891" spans="12:13" x14ac:dyDescent="0.25">
      <c r="L666891" s="472"/>
      <c r="M666891" s="472"/>
    </row>
    <row r="666963" spans="12:13" x14ac:dyDescent="0.25">
      <c r="L666963" s="472"/>
      <c r="M666963" s="472"/>
    </row>
    <row r="666964" spans="12:13" x14ac:dyDescent="0.25">
      <c r="L666964" s="472"/>
      <c r="M666964" s="472"/>
    </row>
    <row r="666965" spans="12:13" x14ac:dyDescent="0.25">
      <c r="L666965" s="472"/>
      <c r="M666965" s="472"/>
    </row>
    <row r="667037" spans="12:13" x14ac:dyDescent="0.25">
      <c r="L667037" s="472"/>
      <c r="M667037" s="472"/>
    </row>
    <row r="667038" spans="12:13" x14ac:dyDescent="0.25">
      <c r="L667038" s="472"/>
      <c r="M667038" s="472"/>
    </row>
    <row r="667039" spans="12:13" x14ac:dyDescent="0.25">
      <c r="L667039" s="472"/>
      <c r="M667039" s="472"/>
    </row>
    <row r="667111" spans="12:13" x14ac:dyDescent="0.25">
      <c r="L667111" s="472"/>
      <c r="M667111" s="472"/>
    </row>
    <row r="667112" spans="12:13" x14ac:dyDescent="0.25">
      <c r="L667112" s="472"/>
      <c r="M667112" s="472"/>
    </row>
    <row r="667113" spans="12:13" x14ac:dyDescent="0.25">
      <c r="L667113" s="472"/>
      <c r="M667113" s="472"/>
    </row>
    <row r="667185" spans="12:13" x14ac:dyDescent="0.25">
      <c r="L667185" s="472"/>
      <c r="M667185" s="472"/>
    </row>
    <row r="667186" spans="12:13" x14ac:dyDescent="0.25">
      <c r="L667186" s="472"/>
      <c r="M667186" s="472"/>
    </row>
    <row r="667187" spans="12:13" x14ac:dyDescent="0.25">
      <c r="L667187" s="472"/>
      <c r="M667187" s="472"/>
    </row>
    <row r="667259" spans="12:13" x14ac:dyDescent="0.25">
      <c r="L667259" s="472"/>
      <c r="M667259" s="472"/>
    </row>
    <row r="667260" spans="12:13" x14ac:dyDescent="0.25">
      <c r="L667260" s="472"/>
      <c r="M667260" s="472"/>
    </row>
    <row r="667261" spans="12:13" x14ac:dyDescent="0.25">
      <c r="L667261" s="472"/>
      <c r="M667261" s="472"/>
    </row>
    <row r="667333" spans="12:13" x14ac:dyDescent="0.25">
      <c r="L667333" s="472"/>
      <c r="M667333" s="472"/>
    </row>
    <row r="667334" spans="12:13" x14ac:dyDescent="0.25">
      <c r="L667334" s="472"/>
      <c r="M667334" s="472"/>
    </row>
    <row r="667335" spans="12:13" x14ac:dyDescent="0.25">
      <c r="L667335" s="472"/>
      <c r="M667335" s="472"/>
    </row>
    <row r="667407" spans="12:13" x14ac:dyDescent="0.25">
      <c r="L667407" s="472"/>
      <c r="M667407" s="472"/>
    </row>
    <row r="667408" spans="12:13" x14ac:dyDescent="0.25">
      <c r="L667408" s="472"/>
      <c r="M667408" s="472"/>
    </row>
    <row r="667409" spans="12:13" x14ac:dyDescent="0.25">
      <c r="L667409" s="472"/>
      <c r="M667409" s="472"/>
    </row>
    <row r="667481" spans="12:13" x14ac:dyDescent="0.25">
      <c r="L667481" s="472"/>
      <c r="M667481" s="472"/>
    </row>
    <row r="667482" spans="12:13" x14ac:dyDescent="0.25">
      <c r="L667482" s="472"/>
      <c r="M667482" s="472"/>
    </row>
    <row r="667483" spans="12:13" x14ac:dyDescent="0.25">
      <c r="L667483" s="472"/>
      <c r="M667483" s="472"/>
    </row>
    <row r="667555" spans="12:13" x14ac:dyDescent="0.25">
      <c r="L667555" s="472"/>
      <c r="M667555" s="472"/>
    </row>
    <row r="667556" spans="12:13" x14ac:dyDescent="0.25">
      <c r="L667556" s="472"/>
      <c r="M667556" s="472"/>
    </row>
    <row r="667557" spans="12:13" x14ac:dyDescent="0.25">
      <c r="L667557" s="472"/>
      <c r="M667557" s="472"/>
    </row>
    <row r="667629" spans="12:13" x14ac:dyDescent="0.25">
      <c r="L667629" s="472"/>
      <c r="M667629" s="472"/>
    </row>
    <row r="667630" spans="12:13" x14ac:dyDescent="0.25">
      <c r="L667630" s="472"/>
      <c r="M667630" s="472"/>
    </row>
    <row r="667631" spans="12:13" x14ac:dyDescent="0.25">
      <c r="L667631" s="472"/>
      <c r="M667631" s="472"/>
    </row>
    <row r="667703" spans="12:13" x14ac:dyDescent="0.25">
      <c r="L667703" s="472"/>
      <c r="M667703" s="472"/>
    </row>
    <row r="667704" spans="12:13" x14ac:dyDescent="0.25">
      <c r="L667704" s="472"/>
      <c r="M667704" s="472"/>
    </row>
    <row r="667705" spans="12:13" x14ac:dyDescent="0.25">
      <c r="L667705" s="472"/>
      <c r="M667705" s="472"/>
    </row>
    <row r="667777" spans="12:13" x14ac:dyDescent="0.25">
      <c r="L667777" s="472"/>
      <c r="M667777" s="472"/>
    </row>
    <row r="667778" spans="12:13" x14ac:dyDescent="0.25">
      <c r="L667778" s="472"/>
      <c r="M667778" s="472"/>
    </row>
    <row r="667779" spans="12:13" x14ac:dyDescent="0.25">
      <c r="L667779" s="472"/>
      <c r="M667779" s="472"/>
    </row>
    <row r="667851" spans="12:13" x14ac:dyDescent="0.25">
      <c r="L667851" s="472"/>
      <c r="M667851" s="472"/>
    </row>
    <row r="667852" spans="12:13" x14ac:dyDescent="0.25">
      <c r="L667852" s="472"/>
      <c r="M667852" s="472"/>
    </row>
    <row r="667853" spans="12:13" x14ac:dyDescent="0.25">
      <c r="L667853" s="472"/>
      <c r="M667853" s="472"/>
    </row>
    <row r="667925" spans="12:13" x14ac:dyDescent="0.25">
      <c r="L667925" s="472"/>
      <c r="M667925" s="472"/>
    </row>
    <row r="667926" spans="12:13" x14ac:dyDescent="0.25">
      <c r="L667926" s="472"/>
      <c r="M667926" s="472"/>
    </row>
    <row r="667927" spans="12:13" x14ac:dyDescent="0.25">
      <c r="L667927" s="472"/>
      <c r="M667927" s="472"/>
    </row>
    <row r="667999" spans="12:13" x14ac:dyDescent="0.25">
      <c r="L667999" s="472"/>
      <c r="M667999" s="472"/>
    </row>
    <row r="668000" spans="12:13" x14ac:dyDescent="0.25">
      <c r="L668000" s="472"/>
      <c r="M668000" s="472"/>
    </row>
    <row r="668001" spans="12:13" x14ac:dyDescent="0.25">
      <c r="L668001" s="472"/>
      <c r="M668001" s="472"/>
    </row>
    <row r="668073" spans="12:13" x14ac:dyDescent="0.25">
      <c r="L668073" s="472"/>
      <c r="M668073" s="472"/>
    </row>
    <row r="668074" spans="12:13" x14ac:dyDescent="0.25">
      <c r="L668074" s="472"/>
      <c r="M668074" s="472"/>
    </row>
    <row r="668075" spans="12:13" x14ac:dyDescent="0.25">
      <c r="L668075" s="472"/>
      <c r="M668075" s="472"/>
    </row>
    <row r="668147" spans="12:13" x14ac:dyDescent="0.25">
      <c r="L668147" s="472"/>
      <c r="M668147" s="472"/>
    </row>
    <row r="668148" spans="12:13" x14ac:dyDescent="0.25">
      <c r="L668148" s="472"/>
      <c r="M668148" s="472"/>
    </row>
    <row r="668149" spans="12:13" x14ac:dyDescent="0.25">
      <c r="L668149" s="472"/>
      <c r="M668149" s="472"/>
    </row>
    <row r="668221" spans="12:13" x14ac:dyDescent="0.25">
      <c r="L668221" s="472"/>
      <c r="M668221" s="472"/>
    </row>
    <row r="668222" spans="12:13" x14ac:dyDescent="0.25">
      <c r="L668222" s="472"/>
      <c r="M668222" s="472"/>
    </row>
    <row r="668223" spans="12:13" x14ac:dyDescent="0.25">
      <c r="L668223" s="472"/>
      <c r="M668223" s="472"/>
    </row>
    <row r="668295" spans="12:13" x14ac:dyDescent="0.25">
      <c r="L668295" s="472"/>
      <c r="M668295" s="472"/>
    </row>
    <row r="668296" spans="12:13" x14ac:dyDescent="0.25">
      <c r="L668296" s="472"/>
      <c r="M668296" s="472"/>
    </row>
    <row r="668297" spans="12:13" x14ac:dyDescent="0.25">
      <c r="L668297" s="472"/>
      <c r="M668297" s="472"/>
    </row>
    <row r="668369" spans="12:13" x14ac:dyDescent="0.25">
      <c r="L668369" s="472"/>
      <c r="M668369" s="472"/>
    </row>
    <row r="668370" spans="12:13" x14ac:dyDescent="0.25">
      <c r="L668370" s="472"/>
      <c r="M668370" s="472"/>
    </row>
    <row r="668371" spans="12:13" x14ac:dyDescent="0.25">
      <c r="L668371" s="472"/>
      <c r="M668371" s="472"/>
    </row>
    <row r="668443" spans="12:13" x14ac:dyDescent="0.25">
      <c r="L668443" s="472"/>
      <c r="M668443" s="472"/>
    </row>
    <row r="668444" spans="12:13" x14ac:dyDescent="0.25">
      <c r="L668444" s="472"/>
      <c r="M668444" s="472"/>
    </row>
    <row r="668445" spans="12:13" x14ac:dyDescent="0.25">
      <c r="L668445" s="472"/>
      <c r="M668445" s="472"/>
    </row>
    <row r="668517" spans="12:13" x14ac:dyDescent="0.25">
      <c r="L668517" s="472"/>
      <c r="M668517" s="472"/>
    </row>
    <row r="668518" spans="12:13" x14ac:dyDescent="0.25">
      <c r="L668518" s="472"/>
      <c r="M668518" s="472"/>
    </row>
    <row r="668519" spans="12:13" x14ac:dyDescent="0.25">
      <c r="L668519" s="472"/>
      <c r="M668519" s="472"/>
    </row>
    <row r="668591" spans="12:13" x14ac:dyDescent="0.25">
      <c r="L668591" s="472"/>
      <c r="M668591" s="472"/>
    </row>
    <row r="668592" spans="12:13" x14ac:dyDescent="0.25">
      <c r="L668592" s="472"/>
      <c r="M668592" s="472"/>
    </row>
    <row r="668593" spans="12:13" x14ac:dyDescent="0.25">
      <c r="L668593" s="472"/>
      <c r="M668593" s="472"/>
    </row>
    <row r="668665" spans="12:13" x14ac:dyDescent="0.25">
      <c r="L668665" s="472"/>
      <c r="M668665" s="472"/>
    </row>
    <row r="668666" spans="12:13" x14ac:dyDescent="0.25">
      <c r="L668666" s="472"/>
      <c r="M668666" s="472"/>
    </row>
    <row r="668667" spans="12:13" x14ac:dyDescent="0.25">
      <c r="L668667" s="472"/>
      <c r="M668667" s="472"/>
    </row>
    <row r="668739" spans="12:13" x14ac:dyDescent="0.25">
      <c r="L668739" s="472"/>
      <c r="M668739" s="472"/>
    </row>
    <row r="668740" spans="12:13" x14ac:dyDescent="0.25">
      <c r="L668740" s="472"/>
      <c r="M668740" s="472"/>
    </row>
    <row r="668741" spans="12:13" x14ac:dyDescent="0.25">
      <c r="L668741" s="472"/>
      <c r="M668741" s="472"/>
    </row>
    <row r="668813" spans="12:13" x14ac:dyDescent="0.25">
      <c r="L668813" s="472"/>
      <c r="M668813" s="472"/>
    </row>
    <row r="668814" spans="12:13" x14ac:dyDescent="0.25">
      <c r="L668814" s="472"/>
      <c r="M668814" s="472"/>
    </row>
    <row r="668815" spans="12:13" x14ac:dyDescent="0.25">
      <c r="L668815" s="472"/>
      <c r="M668815" s="472"/>
    </row>
    <row r="668887" spans="12:13" x14ac:dyDescent="0.25">
      <c r="L668887" s="472"/>
      <c r="M668887" s="472"/>
    </row>
    <row r="668888" spans="12:13" x14ac:dyDescent="0.25">
      <c r="L668888" s="472"/>
      <c r="M668888" s="472"/>
    </row>
    <row r="668889" spans="12:13" x14ac:dyDescent="0.25">
      <c r="L668889" s="472"/>
      <c r="M668889" s="472"/>
    </row>
    <row r="668961" spans="12:13" x14ac:dyDescent="0.25">
      <c r="L668961" s="472"/>
      <c r="M668961" s="472"/>
    </row>
    <row r="668962" spans="12:13" x14ac:dyDescent="0.25">
      <c r="L668962" s="472"/>
      <c r="M668962" s="472"/>
    </row>
    <row r="668963" spans="12:13" x14ac:dyDescent="0.25">
      <c r="L668963" s="472"/>
      <c r="M668963" s="472"/>
    </row>
    <row r="669035" spans="12:13" x14ac:dyDescent="0.25">
      <c r="L669035" s="472"/>
      <c r="M669035" s="472"/>
    </row>
    <row r="669036" spans="12:13" x14ac:dyDescent="0.25">
      <c r="L669036" s="472"/>
      <c r="M669036" s="472"/>
    </row>
    <row r="669037" spans="12:13" x14ac:dyDescent="0.25">
      <c r="L669037" s="472"/>
      <c r="M669037" s="472"/>
    </row>
    <row r="669109" spans="12:13" x14ac:dyDescent="0.25">
      <c r="L669109" s="472"/>
      <c r="M669109" s="472"/>
    </row>
    <row r="669110" spans="12:13" x14ac:dyDescent="0.25">
      <c r="L669110" s="472"/>
      <c r="M669110" s="472"/>
    </row>
    <row r="669111" spans="12:13" x14ac:dyDescent="0.25">
      <c r="L669111" s="472"/>
      <c r="M669111" s="472"/>
    </row>
    <row r="669183" spans="12:13" x14ac:dyDescent="0.25">
      <c r="L669183" s="472"/>
      <c r="M669183" s="472"/>
    </row>
    <row r="669184" spans="12:13" x14ac:dyDescent="0.25">
      <c r="L669184" s="472"/>
      <c r="M669184" s="472"/>
    </row>
    <row r="669185" spans="12:13" x14ac:dyDescent="0.25">
      <c r="L669185" s="472"/>
      <c r="M669185" s="472"/>
    </row>
    <row r="669257" spans="12:13" x14ac:dyDescent="0.25">
      <c r="L669257" s="472"/>
      <c r="M669257" s="472"/>
    </row>
    <row r="669258" spans="12:13" x14ac:dyDescent="0.25">
      <c r="L669258" s="472"/>
      <c r="M669258" s="472"/>
    </row>
    <row r="669259" spans="12:13" x14ac:dyDescent="0.25">
      <c r="L669259" s="472"/>
      <c r="M669259" s="472"/>
    </row>
    <row r="669331" spans="12:13" x14ac:dyDescent="0.25">
      <c r="L669331" s="472"/>
      <c r="M669331" s="472"/>
    </row>
    <row r="669332" spans="12:13" x14ac:dyDescent="0.25">
      <c r="L669332" s="472"/>
      <c r="M669332" s="472"/>
    </row>
    <row r="669333" spans="12:13" x14ac:dyDescent="0.25">
      <c r="L669333" s="472"/>
      <c r="M669333" s="472"/>
    </row>
    <row r="669405" spans="12:13" x14ac:dyDescent="0.25">
      <c r="L669405" s="472"/>
      <c r="M669405" s="472"/>
    </row>
    <row r="669406" spans="12:13" x14ac:dyDescent="0.25">
      <c r="L669406" s="472"/>
      <c r="M669406" s="472"/>
    </row>
    <row r="669407" spans="12:13" x14ac:dyDescent="0.25">
      <c r="L669407" s="472"/>
      <c r="M669407" s="472"/>
    </row>
    <row r="669479" spans="12:13" x14ac:dyDescent="0.25">
      <c r="L669479" s="472"/>
      <c r="M669479" s="472"/>
    </row>
    <row r="669480" spans="12:13" x14ac:dyDescent="0.25">
      <c r="L669480" s="472"/>
      <c r="M669480" s="472"/>
    </row>
    <row r="669481" spans="12:13" x14ac:dyDescent="0.25">
      <c r="L669481" s="472"/>
      <c r="M669481" s="472"/>
    </row>
    <row r="669553" spans="12:13" x14ac:dyDescent="0.25">
      <c r="L669553" s="472"/>
      <c r="M669553" s="472"/>
    </row>
    <row r="669554" spans="12:13" x14ac:dyDescent="0.25">
      <c r="L669554" s="472"/>
      <c r="M669554" s="472"/>
    </row>
    <row r="669555" spans="12:13" x14ac:dyDescent="0.25">
      <c r="L669555" s="472"/>
      <c r="M669555" s="472"/>
    </row>
    <row r="669627" spans="12:13" x14ac:dyDescent="0.25">
      <c r="L669627" s="472"/>
      <c r="M669627" s="472"/>
    </row>
    <row r="669628" spans="12:13" x14ac:dyDescent="0.25">
      <c r="L669628" s="472"/>
      <c r="M669628" s="472"/>
    </row>
    <row r="669629" spans="12:13" x14ac:dyDescent="0.25">
      <c r="L669629" s="472"/>
      <c r="M669629" s="472"/>
    </row>
    <row r="669701" spans="12:13" x14ac:dyDescent="0.25">
      <c r="L669701" s="472"/>
      <c r="M669701" s="472"/>
    </row>
    <row r="669702" spans="12:13" x14ac:dyDescent="0.25">
      <c r="L669702" s="472"/>
      <c r="M669702" s="472"/>
    </row>
    <row r="669703" spans="12:13" x14ac:dyDescent="0.25">
      <c r="L669703" s="472"/>
      <c r="M669703" s="472"/>
    </row>
    <row r="669775" spans="12:13" x14ac:dyDescent="0.25">
      <c r="L669775" s="472"/>
      <c r="M669775" s="472"/>
    </row>
    <row r="669776" spans="12:13" x14ac:dyDescent="0.25">
      <c r="L669776" s="472"/>
      <c r="M669776" s="472"/>
    </row>
    <row r="669777" spans="12:13" x14ac:dyDescent="0.25">
      <c r="L669777" s="472"/>
      <c r="M669777" s="472"/>
    </row>
    <row r="669849" spans="12:13" x14ac:dyDescent="0.25">
      <c r="L669849" s="472"/>
      <c r="M669849" s="472"/>
    </row>
    <row r="669850" spans="12:13" x14ac:dyDescent="0.25">
      <c r="L669850" s="472"/>
      <c r="M669850" s="472"/>
    </row>
    <row r="669851" spans="12:13" x14ac:dyDescent="0.25">
      <c r="L669851" s="472"/>
      <c r="M669851" s="472"/>
    </row>
    <row r="669923" spans="12:13" x14ac:dyDescent="0.25">
      <c r="L669923" s="472"/>
      <c r="M669923" s="472"/>
    </row>
    <row r="669924" spans="12:13" x14ac:dyDescent="0.25">
      <c r="L669924" s="472"/>
      <c r="M669924" s="472"/>
    </row>
    <row r="669925" spans="12:13" x14ac:dyDescent="0.25">
      <c r="L669925" s="472"/>
      <c r="M669925" s="472"/>
    </row>
    <row r="669997" spans="12:13" x14ac:dyDescent="0.25">
      <c r="L669997" s="472"/>
      <c r="M669997" s="472"/>
    </row>
    <row r="669998" spans="12:13" x14ac:dyDescent="0.25">
      <c r="L669998" s="472"/>
      <c r="M669998" s="472"/>
    </row>
    <row r="669999" spans="12:13" x14ac:dyDescent="0.25">
      <c r="L669999" s="472"/>
      <c r="M669999" s="472"/>
    </row>
    <row r="670071" spans="12:13" x14ac:dyDescent="0.25">
      <c r="L670071" s="472"/>
      <c r="M670071" s="472"/>
    </row>
    <row r="670072" spans="12:13" x14ac:dyDescent="0.25">
      <c r="L670072" s="472"/>
      <c r="M670072" s="472"/>
    </row>
    <row r="670073" spans="12:13" x14ac:dyDescent="0.25">
      <c r="L670073" s="472"/>
      <c r="M670073" s="472"/>
    </row>
    <row r="670145" spans="12:13" x14ac:dyDescent="0.25">
      <c r="L670145" s="472"/>
      <c r="M670145" s="472"/>
    </row>
    <row r="670146" spans="12:13" x14ac:dyDescent="0.25">
      <c r="L670146" s="472"/>
      <c r="M670146" s="472"/>
    </row>
    <row r="670147" spans="12:13" x14ac:dyDescent="0.25">
      <c r="L670147" s="472"/>
      <c r="M670147" s="472"/>
    </row>
    <row r="670219" spans="12:13" x14ac:dyDescent="0.25">
      <c r="L670219" s="472"/>
      <c r="M670219" s="472"/>
    </row>
    <row r="670220" spans="12:13" x14ac:dyDescent="0.25">
      <c r="L670220" s="472"/>
      <c r="M670220" s="472"/>
    </row>
    <row r="670221" spans="12:13" x14ac:dyDescent="0.25">
      <c r="L670221" s="472"/>
      <c r="M670221" s="472"/>
    </row>
    <row r="670293" spans="12:13" x14ac:dyDescent="0.25">
      <c r="L670293" s="472"/>
      <c r="M670293" s="472"/>
    </row>
    <row r="670294" spans="12:13" x14ac:dyDescent="0.25">
      <c r="L670294" s="472"/>
      <c r="M670294" s="472"/>
    </row>
    <row r="670295" spans="12:13" x14ac:dyDescent="0.25">
      <c r="L670295" s="472"/>
      <c r="M670295" s="472"/>
    </row>
    <row r="670367" spans="12:13" x14ac:dyDescent="0.25">
      <c r="L670367" s="472"/>
      <c r="M670367" s="472"/>
    </row>
    <row r="670368" spans="12:13" x14ac:dyDescent="0.25">
      <c r="L670368" s="472"/>
      <c r="M670368" s="472"/>
    </row>
    <row r="670369" spans="12:13" x14ac:dyDescent="0.25">
      <c r="L670369" s="472"/>
      <c r="M670369" s="472"/>
    </row>
    <row r="670441" spans="12:13" x14ac:dyDescent="0.25">
      <c r="L670441" s="472"/>
      <c r="M670441" s="472"/>
    </row>
    <row r="670442" spans="12:13" x14ac:dyDescent="0.25">
      <c r="L670442" s="472"/>
      <c r="M670442" s="472"/>
    </row>
    <row r="670443" spans="12:13" x14ac:dyDescent="0.25">
      <c r="L670443" s="472"/>
      <c r="M670443" s="472"/>
    </row>
    <row r="670515" spans="12:13" x14ac:dyDescent="0.25">
      <c r="L670515" s="472"/>
      <c r="M670515" s="472"/>
    </row>
    <row r="670516" spans="12:13" x14ac:dyDescent="0.25">
      <c r="L670516" s="472"/>
      <c r="M670516" s="472"/>
    </row>
    <row r="670517" spans="12:13" x14ac:dyDescent="0.25">
      <c r="L670517" s="472"/>
      <c r="M670517" s="472"/>
    </row>
    <row r="670589" spans="12:13" x14ac:dyDescent="0.25">
      <c r="L670589" s="472"/>
      <c r="M670589" s="472"/>
    </row>
    <row r="670590" spans="12:13" x14ac:dyDescent="0.25">
      <c r="L670590" s="472"/>
      <c r="M670590" s="472"/>
    </row>
    <row r="670591" spans="12:13" x14ac:dyDescent="0.25">
      <c r="L670591" s="472"/>
      <c r="M670591" s="472"/>
    </row>
    <row r="670663" spans="12:13" x14ac:dyDescent="0.25">
      <c r="L670663" s="472"/>
      <c r="M670663" s="472"/>
    </row>
    <row r="670664" spans="12:13" x14ac:dyDescent="0.25">
      <c r="L670664" s="472"/>
      <c r="M670664" s="472"/>
    </row>
    <row r="670665" spans="12:13" x14ac:dyDescent="0.25">
      <c r="L670665" s="472"/>
      <c r="M670665" s="472"/>
    </row>
    <row r="670737" spans="12:13" x14ac:dyDescent="0.25">
      <c r="L670737" s="472"/>
      <c r="M670737" s="472"/>
    </row>
    <row r="670738" spans="12:13" x14ac:dyDescent="0.25">
      <c r="L670738" s="472"/>
      <c r="M670738" s="472"/>
    </row>
    <row r="670739" spans="12:13" x14ac:dyDescent="0.25">
      <c r="L670739" s="472"/>
      <c r="M670739" s="472"/>
    </row>
    <row r="670811" spans="12:13" x14ac:dyDescent="0.25">
      <c r="L670811" s="472"/>
      <c r="M670811" s="472"/>
    </row>
    <row r="670812" spans="12:13" x14ac:dyDescent="0.25">
      <c r="L670812" s="472"/>
      <c r="M670812" s="472"/>
    </row>
    <row r="670813" spans="12:13" x14ac:dyDescent="0.25">
      <c r="L670813" s="472"/>
      <c r="M670813" s="472"/>
    </row>
    <row r="670885" spans="12:13" x14ac:dyDescent="0.25">
      <c r="L670885" s="472"/>
      <c r="M670885" s="472"/>
    </row>
    <row r="670886" spans="12:13" x14ac:dyDescent="0.25">
      <c r="L670886" s="472"/>
      <c r="M670886" s="472"/>
    </row>
    <row r="670887" spans="12:13" x14ac:dyDescent="0.25">
      <c r="L670887" s="472"/>
      <c r="M670887" s="472"/>
    </row>
    <row r="670959" spans="12:13" x14ac:dyDescent="0.25">
      <c r="L670959" s="472"/>
      <c r="M670959" s="472"/>
    </row>
    <row r="670960" spans="12:13" x14ac:dyDescent="0.25">
      <c r="L670960" s="472"/>
      <c r="M670960" s="472"/>
    </row>
    <row r="670961" spans="12:13" x14ac:dyDescent="0.25">
      <c r="L670961" s="472"/>
      <c r="M670961" s="472"/>
    </row>
    <row r="671033" spans="12:13" x14ac:dyDescent="0.25">
      <c r="L671033" s="472"/>
      <c r="M671033" s="472"/>
    </row>
    <row r="671034" spans="12:13" x14ac:dyDescent="0.25">
      <c r="L671034" s="472"/>
      <c r="M671034" s="472"/>
    </row>
    <row r="671035" spans="12:13" x14ac:dyDescent="0.25">
      <c r="L671035" s="472"/>
      <c r="M671035" s="472"/>
    </row>
    <row r="671107" spans="12:13" x14ac:dyDescent="0.25">
      <c r="L671107" s="472"/>
      <c r="M671107" s="472"/>
    </row>
    <row r="671108" spans="12:13" x14ac:dyDescent="0.25">
      <c r="L671108" s="472"/>
      <c r="M671108" s="472"/>
    </row>
    <row r="671109" spans="12:13" x14ac:dyDescent="0.25">
      <c r="L671109" s="472"/>
      <c r="M671109" s="472"/>
    </row>
    <row r="671181" spans="12:13" x14ac:dyDescent="0.25">
      <c r="L671181" s="472"/>
      <c r="M671181" s="472"/>
    </row>
    <row r="671182" spans="12:13" x14ac:dyDescent="0.25">
      <c r="L671182" s="472"/>
      <c r="M671182" s="472"/>
    </row>
    <row r="671183" spans="12:13" x14ac:dyDescent="0.25">
      <c r="L671183" s="472"/>
      <c r="M671183" s="472"/>
    </row>
    <row r="671255" spans="12:13" x14ac:dyDescent="0.25">
      <c r="L671255" s="472"/>
      <c r="M671255" s="472"/>
    </row>
    <row r="671256" spans="12:13" x14ac:dyDescent="0.25">
      <c r="L671256" s="472"/>
      <c r="M671256" s="472"/>
    </row>
    <row r="671257" spans="12:13" x14ac:dyDescent="0.25">
      <c r="L671257" s="472"/>
      <c r="M671257" s="472"/>
    </row>
    <row r="671329" spans="12:13" x14ac:dyDescent="0.25">
      <c r="L671329" s="472"/>
      <c r="M671329" s="472"/>
    </row>
    <row r="671330" spans="12:13" x14ac:dyDescent="0.25">
      <c r="L671330" s="472"/>
      <c r="M671330" s="472"/>
    </row>
    <row r="671331" spans="12:13" x14ac:dyDescent="0.25">
      <c r="L671331" s="472"/>
      <c r="M671331" s="472"/>
    </row>
    <row r="671403" spans="12:13" x14ac:dyDescent="0.25">
      <c r="L671403" s="472"/>
      <c r="M671403" s="472"/>
    </row>
    <row r="671404" spans="12:13" x14ac:dyDescent="0.25">
      <c r="L671404" s="472"/>
      <c r="M671404" s="472"/>
    </row>
    <row r="671405" spans="12:13" x14ac:dyDescent="0.25">
      <c r="L671405" s="472"/>
      <c r="M671405" s="472"/>
    </row>
    <row r="671477" spans="12:13" x14ac:dyDescent="0.25">
      <c r="L671477" s="472"/>
      <c r="M671477" s="472"/>
    </row>
    <row r="671478" spans="12:13" x14ac:dyDescent="0.25">
      <c r="L671478" s="472"/>
      <c r="M671478" s="472"/>
    </row>
    <row r="671479" spans="12:13" x14ac:dyDescent="0.25">
      <c r="L671479" s="472"/>
      <c r="M671479" s="472"/>
    </row>
    <row r="671551" spans="12:13" x14ac:dyDescent="0.25">
      <c r="L671551" s="472"/>
      <c r="M671551" s="472"/>
    </row>
    <row r="671552" spans="12:13" x14ac:dyDescent="0.25">
      <c r="L671552" s="472"/>
      <c r="M671552" s="472"/>
    </row>
    <row r="671553" spans="12:13" x14ac:dyDescent="0.25">
      <c r="L671553" s="472"/>
      <c r="M671553" s="472"/>
    </row>
    <row r="671625" spans="12:13" x14ac:dyDescent="0.25">
      <c r="L671625" s="472"/>
      <c r="M671625" s="472"/>
    </row>
    <row r="671626" spans="12:13" x14ac:dyDescent="0.25">
      <c r="L671626" s="472"/>
      <c r="M671626" s="472"/>
    </row>
    <row r="671627" spans="12:13" x14ac:dyDescent="0.25">
      <c r="L671627" s="472"/>
      <c r="M671627" s="472"/>
    </row>
    <row r="671699" spans="12:13" x14ac:dyDescent="0.25">
      <c r="L671699" s="472"/>
      <c r="M671699" s="472"/>
    </row>
    <row r="671700" spans="12:13" x14ac:dyDescent="0.25">
      <c r="L671700" s="472"/>
      <c r="M671700" s="472"/>
    </row>
    <row r="671701" spans="12:13" x14ac:dyDescent="0.25">
      <c r="L671701" s="472"/>
      <c r="M671701" s="472"/>
    </row>
    <row r="671773" spans="12:13" x14ac:dyDescent="0.25">
      <c r="L671773" s="472"/>
      <c r="M671773" s="472"/>
    </row>
    <row r="671774" spans="12:13" x14ac:dyDescent="0.25">
      <c r="L671774" s="472"/>
      <c r="M671774" s="472"/>
    </row>
    <row r="671775" spans="12:13" x14ac:dyDescent="0.25">
      <c r="L671775" s="472"/>
      <c r="M671775" s="472"/>
    </row>
    <row r="671847" spans="12:13" x14ac:dyDescent="0.25">
      <c r="L671847" s="472"/>
      <c r="M671847" s="472"/>
    </row>
    <row r="671848" spans="12:13" x14ac:dyDescent="0.25">
      <c r="L671848" s="472"/>
      <c r="M671848" s="472"/>
    </row>
    <row r="671849" spans="12:13" x14ac:dyDescent="0.25">
      <c r="L671849" s="472"/>
      <c r="M671849" s="472"/>
    </row>
    <row r="671921" spans="12:13" x14ac:dyDescent="0.25">
      <c r="L671921" s="472"/>
      <c r="M671921" s="472"/>
    </row>
    <row r="671922" spans="12:13" x14ac:dyDescent="0.25">
      <c r="L671922" s="472"/>
      <c r="M671922" s="472"/>
    </row>
    <row r="671923" spans="12:13" x14ac:dyDescent="0.25">
      <c r="L671923" s="472"/>
      <c r="M671923" s="472"/>
    </row>
    <row r="671995" spans="12:13" x14ac:dyDescent="0.25">
      <c r="L671995" s="472"/>
      <c r="M671995" s="472"/>
    </row>
    <row r="671996" spans="12:13" x14ac:dyDescent="0.25">
      <c r="L671996" s="472"/>
      <c r="M671996" s="472"/>
    </row>
    <row r="671997" spans="12:13" x14ac:dyDescent="0.25">
      <c r="L671997" s="472"/>
      <c r="M671997" s="472"/>
    </row>
    <row r="672069" spans="12:13" x14ac:dyDescent="0.25">
      <c r="L672069" s="472"/>
      <c r="M672069" s="472"/>
    </row>
    <row r="672070" spans="12:13" x14ac:dyDescent="0.25">
      <c r="L672070" s="472"/>
      <c r="M672070" s="472"/>
    </row>
    <row r="672071" spans="12:13" x14ac:dyDescent="0.25">
      <c r="L672071" s="472"/>
      <c r="M672071" s="472"/>
    </row>
    <row r="672143" spans="12:13" x14ac:dyDescent="0.25">
      <c r="L672143" s="472"/>
      <c r="M672143" s="472"/>
    </row>
    <row r="672144" spans="12:13" x14ac:dyDescent="0.25">
      <c r="L672144" s="472"/>
      <c r="M672144" s="472"/>
    </row>
    <row r="672145" spans="12:13" x14ac:dyDescent="0.25">
      <c r="L672145" s="472"/>
      <c r="M672145" s="472"/>
    </row>
    <row r="672217" spans="12:13" x14ac:dyDescent="0.25">
      <c r="L672217" s="472"/>
      <c r="M672217" s="472"/>
    </row>
    <row r="672218" spans="12:13" x14ac:dyDescent="0.25">
      <c r="L672218" s="472"/>
      <c r="M672218" s="472"/>
    </row>
    <row r="672219" spans="12:13" x14ac:dyDescent="0.25">
      <c r="L672219" s="472"/>
      <c r="M672219" s="472"/>
    </row>
    <row r="672291" spans="12:13" x14ac:dyDescent="0.25">
      <c r="L672291" s="472"/>
      <c r="M672291" s="472"/>
    </row>
    <row r="672292" spans="12:13" x14ac:dyDescent="0.25">
      <c r="L672292" s="472"/>
      <c r="M672292" s="472"/>
    </row>
    <row r="672293" spans="12:13" x14ac:dyDescent="0.25">
      <c r="L672293" s="472"/>
      <c r="M672293" s="472"/>
    </row>
    <row r="672365" spans="12:13" x14ac:dyDescent="0.25">
      <c r="L672365" s="472"/>
      <c r="M672365" s="472"/>
    </row>
    <row r="672366" spans="12:13" x14ac:dyDescent="0.25">
      <c r="L672366" s="472"/>
      <c r="M672366" s="472"/>
    </row>
    <row r="672367" spans="12:13" x14ac:dyDescent="0.25">
      <c r="L672367" s="472"/>
      <c r="M672367" s="472"/>
    </row>
    <row r="672439" spans="12:13" x14ac:dyDescent="0.25">
      <c r="L672439" s="472"/>
      <c r="M672439" s="472"/>
    </row>
    <row r="672440" spans="12:13" x14ac:dyDescent="0.25">
      <c r="L672440" s="472"/>
      <c r="M672440" s="472"/>
    </row>
    <row r="672441" spans="12:13" x14ac:dyDescent="0.25">
      <c r="L672441" s="472"/>
      <c r="M672441" s="472"/>
    </row>
    <row r="672513" spans="12:13" x14ac:dyDescent="0.25">
      <c r="L672513" s="472"/>
      <c r="M672513" s="472"/>
    </row>
    <row r="672514" spans="12:13" x14ac:dyDescent="0.25">
      <c r="L672514" s="472"/>
      <c r="M672514" s="472"/>
    </row>
    <row r="672515" spans="12:13" x14ac:dyDescent="0.25">
      <c r="L672515" s="472"/>
      <c r="M672515" s="472"/>
    </row>
    <row r="672587" spans="12:13" x14ac:dyDescent="0.25">
      <c r="L672587" s="472"/>
      <c r="M672587" s="472"/>
    </row>
    <row r="672588" spans="12:13" x14ac:dyDescent="0.25">
      <c r="L672588" s="472"/>
      <c r="M672588" s="472"/>
    </row>
    <row r="672589" spans="12:13" x14ac:dyDescent="0.25">
      <c r="L672589" s="472"/>
      <c r="M672589" s="472"/>
    </row>
    <row r="672661" spans="12:13" x14ac:dyDescent="0.25">
      <c r="L672661" s="472"/>
      <c r="M672661" s="472"/>
    </row>
    <row r="672662" spans="12:13" x14ac:dyDescent="0.25">
      <c r="L672662" s="472"/>
      <c r="M672662" s="472"/>
    </row>
    <row r="672663" spans="12:13" x14ac:dyDescent="0.25">
      <c r="L672663" s="472"/>
      <c r="M672663" s="472"/>
    </row>
    <row r="672735" spans="12:13" x14ac:dyDescent="0.25">
      <c r="L672735" s="472"/>
      <c r="M672735" s="472"/>
    </row>
    <row r="672736" spans="12:13" x14ac:dyDescent="0.25">
      <c r="L672736" s="472"/>
      <c r="M672736" s="472"/>
    </row>
    <row r="672737" spans="12:13" x14ac:dyDescent="0.25">
      <c r="L672737" s="472"/>
      <c r="M672737" s="472"/>
    </row>
    <row r="672809" spans="12:13" x14ac:dyDescent="0.25">
      <c r="L672809" s="472"/>
      <c r="M672809" s="472"/>
    </row>
    <row r="672810" spans="12:13" x14ac:dyDescent="0.25">
      <c r="L672810" s="472"/>
      <c r="M672810" s="472"/>
    </row>
    <row r="672811" spans="12:13" x14ac:dyDescent="0.25">
      <c r="L672811" s="472"/>
      <c r="M672811" s="472"/>
    </row>
    <row r="672883" spans="12:13" x14ac:dyDescent="0.25">
      <c r="L672883" s="472"/>
      <c r="M672883" s="472"/>
    </row>
    <row r="672884" spans="12:13" x14ac:dyDescent="0.25">
      <c r="L672884" s="472"/>
      <c r="M672884" s="472"/>
    </row>
    <row r="672885" spans="12:13" x14ac:dyDescent="0.25">
      <c r="L672885" s="472"/>
      <c r="M672885" s="472"/>
    </row>
    <row r="672957" spans="12:13" x14ac:dyDescent="0.25">
      <c r="L672957" s="472"/>
      <c r="M672957" s="472"/>
    </row>
    <row r="672958" spans="12:13" x14ac:dyDescent="0.25">
      <c r="L672958" s="472"/>
      <c r="M672958" s="472"/>
    </row>
    <row r="672959" spans="12:13" x14ac:dyDescent="0.25">
      <c r="L672959" s="472"/>
      <c r="M672959" s="472"/>
    </row>
    <row r="673031" spans="12:13" x14ac:dyDescent="0.25">
      <c r="L673031" s="472"/>
      <c r="M673031" s="472"/>
    </row>
    <row r="673032" spans="12:13" x14ac:dyDescent="0.25">
      <c r="L673032" s="472"/>
      <c r="M673032" s="472"/>
    </row>
    <row r="673033" spans="12:13" x14ac:dyDescent="0.25">
      <c r="L673033" s="472"/>
      <c r="M673033" s="472"/>
    </row>
    <row r="673105" spans="12:13" x14ac:dyDescent="0.25">
      <c r="L673105" s="472"/>
      <c r="M673105" s="472"/>
    </row>
    <row r="673106" spans="12:13" x14ac:dyDescent="0.25">
      <c r="L673106" s="472"/>
      <c r="M673106" s="472"/>
    </row>
    <row r="673107" spans="12:13" x14ac:dyDescent="0.25">
      <c r="L673107" s="472"/>
      <c r="M673107" s="472"/>
    </row>
    <row r="673179" spans="12:13" x14ac:dyDescent="0.25">
      <c r="L673179" s="472"/>
      <c r="M673179" s="472"/>
    </row>
    <row r="673180" spans="12:13" x14ac:dyDescent="0.25">
      <c r="L673180" s="472"/>
      <c r="M673180" s="472"/>
    </row>
    <row r="673181" spans="12:13" x14ac:dyDescent="0.25">
      <c r="L673181" s="472"/>
      <c r="M673181" s="472"/>
    </row>
    <row r="673253" spans="12:13" x14ac:dyDescent="0.25">
      <c r="L673253" s="472"/>
      <c r="M673253" s="472"/>
    </row>
    <row r="673254" spans="12:13" x14ac:dyDescent="0.25">
      <c r="L673254" s="472"/>
      <c r="M673254" s="472"/>
    </row>
    <row r="673255" spans="12:13" x14ac:dyDescent="0.25">
      <c r="L673255" s="472"/>
      <c r="M673255" s="472"/>
    </row>
    <row r="673327" spans="12:13" x14ac:dyDescent="0.25">
      <c r="L673327" s="472"/>
      <c r="M673327" s="472"/>
    </row>
    <row r="673328" spans="12:13" x14ac:dyDescent="0.25">
      <c r="L673328" s="472"/>
      <c r="M673328" s="472"/>
    </row>
    <row r="673329" spans="12:13" x14ac:dyDescent="0.25">
      <c r="L673329" s="472"/>
      <c r="M673329" s="472"/>
    </row>
    <row r="673401" spans="12:13" x14ac:dyDescent="0.25">
      <c r="L673401" s="472"/>
      <c r="M673401" s="472"/>
    </row>
    <row r="673402" spans="12:13" x14ac:dyDescent="0.25">
      <c r="L673402" s="472"/>
      <c r="M673402" s="472"/>
    </row>
    <row r="673403" spans="12:13" x14ac:dyDescent="0.25">
      <c r="L673403" s="472"/>
      <c r="M673403" s="472"/>
    </row>
    <row r="673475" spans="12:13" x14ac:dyDescent="0.25">
      <c r="L673475" s="472"/>
      <c r="M673475" s="472"/>
    </row>
    <row r="673476" spans="12:13" x14ac:dyDescent="0.25">
      <c r="L673476" s="472"/>
      <c r="M673476" s="472"/>
    </row>
    <row r="673477" spans="12:13" x14ac:dyDescent="0.25">
      <c r="L673477" s="472"/>
      <c r="M673477" s="472"/>
    </row>
    <row r="673549" spans="12:13" x14ac:dyDescent="0.25">
      <c r="L673549" s="472"/>
      <c r="M673549" s="472"/>
    </row>
    <row r="673550" spans="12:13" x14ac:dyDescent="0.25">
      <c r="L673550" s="472"/>
      <c r="M673550" s="472"/>
    </row>
    <row r="673551" spans="12:13" x14ac:dyDescent="0.25">
      <c r="L673551" s="472"/>
      <c r="M673551" s="472"/>
    </row>
    <row r="673623" spans="12:13" x14ac:dyDescent="0.25">
      <c r="L673623" s="472"/>
      <c r="M673623" s="472"/>
    </row>
    <row r="673624" spans="12:13" x14ac:dyDescent="0.25">
      <c r="L673624" s="472"/>
      <c r="M673624" s="472"/>
    </row>
    <row r="673625" spans="12:13" x14ac:dyDescent="0.25">
      <c r="L673625" s="472"/>
      <c r="M673625" s="472"/>
    </row>
    <row r="673697" spans="12:13" x14ac:dyDescent="0.25">
      <c r="L673697" s="472"/>
      <c r="M673697" s="472"/>
    </row>
    <row r="673698" spans="12:13" x14ac:dyDescent="0.25">
      <c r="L673698" s="472"/>
      <c r="M673698" s="472"/>
    </row>
    <row r="673699" spans="12:13" x14ac:dyDescent="0.25">
      <c r="L673699" s="472"/>
      <c r="M673699" s="472"/>
    </row>
    <row r="673771" spans="12:13" x14ac:dyDescent="0.25">
      <c r="L673771" s="472"/>
      <c r="M673771" s="472"/>
    </row>
    <row r="673772" spans="12:13" x14ac:dyDescent="0.25">
      <c r="L673772" s="472"/>
      <c r="M673772" s="472"/>
    </row>
    <row r="673773" spans="12:13" x14ac:dyDescent="0.25">
      <c r="L673773" s="472"/>
      <c r="M673773" s="472"/>
    </row>
    <row r="673845" spans="12:13" x14ac:dyDescent="0.25">
      <c r="L673845" s="472"/>
      <c r="M673845" s="472"/>
    </row>
    <row r="673846" spans="12:13" x14ac:dyDescent="0.25">
      <c r="L673846" s="472"/>
      <c r="M673846" s="472"/>
    </row>
    <row r="673847" spans="12:13" x14ac:dyDescent="0.25">
      <c r="L673847" s="472"/>
      <c r="M673847" s="472"/>
    </row>
    <row r="673919" spans="12:13" x14ac:dyDescent="0.25">
      <c r="L673919" s="472"/>
      <c r="M673919" s="472"/>
    </row>
    <row r="673920" spans="12:13" x14ac:dyDescent="0.25">
      <c r="L673920" s="472"/>
      <c r="M673920" s="472"/>
    </row>
    <row r="673921" spans="12:13" x14ac:dyDescent="0.25">
      <c r="L673921" s="472"/>
      <c r="M673921" s="472"/>
    </row>
    <row r="673993" spans="12:13" x14ac:dyDescent="0.25">
      <c r="L673993" s="472"/>
      <c r="M673993" s="472"/>
    </row>
    <row r="673994" spans="12:13" x14ac:dyDescent="0.25">
      <c r="L673994" s="472"/>
      <c r="M673994" s="472"/>
    </row>
    <row r="673995" spans="12:13" x14ac:dyDescent="0.25">
      <c r="L673995" s="472"/>
      <c r="M673995" s="472"/>
    </row>
    <row r="674067" spans="12:13" x14ac:dyDescent="0.25">
      <c r="L674067" s="472"/>
      <c r="M674067" s="472"/>
    </row>
    <row r="674068" spans="12:13" x14ac:dyDescent="0.25">
      <c r="L674068" s="472"/>
      <c r="M674068" s="472"/>
    </row>
    <row r="674069" spans="12:13" x14ac:dyDescent="0.25">
      <c r="L674069" s="472"/>
      <c r="M674069" s="472"/>
    </row>
    <row r="674141" spans="12:13" x14ac:dyDescent="0.25">
      <c r="L674141" s="472"/>
      <c r="M674141" s="472"/>
    </row>
    <row r="674142" spans="12:13" x14ac:dyDescent="0.25">
      <c r="L674142" s="472"/>
      <c r="M674142" s="472"/>
    </row>
    <row r="674143" spans="12:13" x14ac:dyDescent="0.25">
      <c r="L674143" s="472"/>
      <c r="M674143" s="472"/>
    </row>
    <row r="674215" spans="12:13" x14ac:dyDescent="0.25">
      <c r="L674215" s="472"/>
      <c r="M674215" s="472"/>
    </row>
    <row r="674216" spans="12:13" x14ac:dyDescent="0.25">
      <c r="L674216" s="472"/>
      <c r="M674216" s="472"/>
    </row>
    <row r="674217" spans="12:13" x14ac:dyDescent="0.25">
      <c r="L674217" s="472"/>
      <c r="M674217" s="472"/>
    </row>
    <row r="674289" spans="12:13" x14ac:dyDescent="0.25">
      <c r="L674289" s="472"/>
      <c r="M674289" s="472"/>
    </row>
    <row r="674290" spans="12:13" x14ac:dyDescent="0.25">
      <c r="L674290" s="472"/>
      <c r="M674290" s="472"/>
    </row>
    <row r="674291" spans="12:13" x14ac:dyDescent="0.25">
      <c r="L674291" s="472"/>
      <c r="M674291" s="472"/>
    </row>
    <row r="674363" spans="12:13" x14ac:dyDescent="0.25">
      <c r="L674363" s="472"/>
      <c r="M674363" s="472"/>
    </row>
    <row r="674364" spans="12:13" x14ac:dyDescent="0.25">
      <c r="L674364" s="472"/>
      <c r="M674364" s="472"/>
    </row>
    <row r="674365" spans="12:13" x14ac:dyDescent="0.25">
      <c r="L674365" s="472"/>
      <c r="M674365" s="472"/>
    </row>
    <row r="674437" spans="12:13" x14ac:dyDescent="0.25">
      <c r="L674437" s="472"/>
      <c r="M674437" s="472"/>
    </row>
    <row r="674438" spans="12:13" x14ac:dyDescent="0.25">
      <c r="L674438" s="472"/>
      <c r="M674438" s="472"/>
    </row>
    <row r="674439" spans="12:13" x14ac:dyDescent="0.25">
      <c r="L674439" s="472"/>
      <c r="M674439" s="472"/>
    </row>
    <row r="674511" spans="12:13" x14ac:dyDescent="0.25">
      <c r="L674511" s="472"/>
      <c r="M674511" s="472"/>
    </row>
    <row r="674512" spans="12:13" x14ac:dyDescent="0.25">
      <c r="L674512" s="472"/>
      <c r="M674512" s="472"/>
    </row>
    <row r="674513" spans="12:13" x14ac:dyDescent="0.25">
      <c r="L674513" s="472"/>
      <c r="M674513" s="472"/>
    </row>
    <row r="674585" spans="12:13" x14ac:dyDescent="0.25">
      <c r="L674585" s="472"/>
      <c r="M674585" s="472"/>
    </row>
    <row r="674586" spans="12:13" x14ac:dyDescent="0.25">
      <c r="L674586" s="472"/>
      <c r="M674586" s="472"/>
    </row>
    <row r="674587" spans="12:13" x14ac:dyDescent="0.25">
      <c r="L674587" s="472"/>
      <c r="M674587" s="472"/>
    </row>
    <row r="674659" spans="12:13" x14ac:dyDescent="0.25">
      <c r="L674659" s="472"/>
      <c r="M674659" s="472"/>
    </row>
    <row r="674660" spans="12:13" x14ac:dyDescent="0.25">
      <c r="L674660" s="472"/>
      <c r="M674660" s="472"/>
    </row>
    <row r="674661" spans="12:13" x14ac:dyDescent="0.25">
      <c r="L674661" s="472"/>
      <c r="M674661" s="472"/>
    </row>
    <row r="674733" spans="12:13" x14ac:dyDescent="0.25">
      <c r="L674733" s="472"/>
      <c r="M674733" s="472"/>
    </row>
    <row r="674734" spans="12:13" x14ac:dyDescent="0.25">
      <c r="L674734" s="472"/>
      <c r="M674734" s="472"/>
    </row>
    <row r="674735" spans="12:13" x14ac:dyDescent="0.25">
      <c r="L674735" s="472"/>
      <c r="M674735" s="472"/>
    </row>
    <row r="674807" spans="12:13" x14ac:dyDescent="0.25">
      <c r="L674807" s="472"/>
      <c r="M674807" s="472"/>
    </row>
    <row r="674808" spans="12:13" x14ac:dyDescent="0.25">
      <c r="L674808" s="472"/>
      <c r="M674808" s="472"/>
    </row>
    <row r="674809" spans="12:13" x14ac:dyDescent="0.25">
      <c r="L674809" s="472"/>
      <c r="M674809" s="472"/>
    </row>
    <row r="674881" spans="12:13" x14ac:dyDescent="0.25">
      <c r="L674881" s="472"/>
      <c r="M674881" s="472"/>
    </row>
    <row r="674882" spans="12:13" x14ac:dyDescent="0.25">
      <c r="L674882" s="472"/>
      <c r="M674882" s="472"/>
    </row>
    <row r="674883" spans="12:13" x14ac:dyDescent="0.25">
      <c r="L674883" s="472"/>
      <c r="M674883" s="472"/>
    </row>
    <row r="674955" spans="12:13" x14ac:dyDescent="0.25">
      <c r="L674955" s="472"/>
      <c r="M674955" s="472"/>
    </row>
    <row r="674956" spans="12:13" x14ac:dyDescent="0.25">
      <c r="L674956" s="472"/>
      <c r="M674956" s="472"/>
    </row>
    <row r="674957" spans="12:13" x14ac:dyDescent="0.25">
      <c r="L674957" s="472"/>
      <c r="M674957" s="472"/>
    </row>
    <row r="675029" spans="12:13" x14ac:dyDescent="0.25">
      <c r="L675029" s="472"/>
      <c r="M675029" s="472"/>
    </row>
    <row r="675030" spans="12:13" x14ac:dyDescent="0.25">
      <c r="L675030" s="472"/>
      <c r="M675030" s="472"/>
    </row>
    <row r="675031" spans="12:13" x14ac:dyDescent="0.25">
      <c r="L675031" s="472"/>
      <c r="M675031" s="472"/>
    </row>
    <row r="675103" spans="12:13" x14ac:dyDescent="0.25">
      <c r="L675103" s="472"/>
      <c r="M675103" s="472"/>
    </row>
    <row r="675104" spans="12:13" x14ac:dyDescent="0.25">
      <c r="L675104" s="472"/>
      <c r="M675104" s="472"/>
    </row>
    <row r="675105" spans="12:13" x14ac:dyDescent="0.25">
      <c r="L675105" s="472"/>
      <c r="M675105" s="472"/>
    </row>
    <row r="675177" spans="12:13" x14ac:dyDescent="0.25">
      <c r="L675177" s="472"/>
      <c r="M675177" s="472"/>
    </row>
    <row r="675178" spans="12:13" x14ac:dyDescent="0.25">
      <c r="L675178" s="472"/>
      <c r="M675178" s="472"/>
    </row>
    <row r="675179" spans="12:13" x14ac:dyDescent="0.25">
      <c r="L675179" s="472"/>
      <c r="M675179" s="472"/>
    </row>
    <row r="675251" spans="12:13" x14ac:dyDescent="0.25">
      <c r="L675251" s="472"/>
      <c r="M675251" s="472"/>
    </row>
    <row r="675252" spans="12:13" x14ac:dyDescent="0.25">
      <c r="L675252" s="472"/>
      <c r="M675252" s="472"/>
    </row>
    <row r="675253" spans="12:13" x14ac:dyDescent="0.25">
      <c r="L675253" s="472"/>
      <c r="M675253" s="472"/>
    </row>
    <row r="675325" spans="12:13" x14ac:dyDescent="0.25">
      <c r="L675325" s="472"/>
      <c r="M675325" s="472"/>
    </row>
    <row r="675326" spans="12:13" x14ac:dyDescent="0.25">
      <c r="L675326" s="472"/>
      <c r="M675326" s="472"/>
    </row>
    <row r="675327" spans="12:13" x14ac:dyDescent="0.25">
      <c r="L675327" s="472"/>
      <c r="M675327" s="472"/>
    </row>
    <row r="675399" spans="12:13" x14ac:dyDescent="0.25">
      <c r="L675399" s="472"/>
      <c r="M675399" s="472"/>
    </row>
    <row r="675400" spans="12:13" x14ac:dyDescent="0.25">
      <c r="L675400" s="472"/>
      <c r="M675400" s="472"/>
    </row>
    <row r="675401" spans="12:13" x14ac:dyDescent="0.25">
      <c r="L675401" s="472"/>
      <c r="M675401" s="472"/>
    </row>
    <row r="675473" spans="12:13" x14ac:dyDescent="0.25">
      <c r="L675473" s="472"/>
      <c r="M675473" s="472"/>
    </row>
    <row r="675474" spans="12:13" x14ac:dyDescent="0.25">
      <c r="L675474" s="472"/>
      <c r="M675474" s="472"/>
    </row>
    <row r="675475" spans="12:13" x14ac:dyDescent="0.25">
      <c r="L675475" s="472"/>
      <c r="M675475" s="472"/>
    </row>
    <row r="675547" spans="12:13" x14ac:dyDescent="0.25">
      <c r="L675547" s="472"/>
      <c r="M675547" s="472"/>
    </row>
    <row r="675548" spans="12:13" x14ac:dyDescent="0.25">
      <c r="L675548" s="472"/>
      <c r="M675548" s="472"/>
    </row>
    <row r="675549" spans="12:13" x14ac:dyDescent="0.25">
      <c r="L675549" s="472"/>
      <c r="M675549" s="472"/>
    </row>
    <row r="675621" spans="12:13" x14ac:dyDescent="0.25">
      <c r="L675621" s="472"/>
      <c r="M675621" s="472"/>
    </row>
    <row r="675622" spans="12:13" x14ac:dyDescent="0.25">
      <c r="L675622" s="472"/>
      <c r="M675622" s="472"/>
    </row>
    <row r="675623" spans="12:13" x14ac:dyDescent="0.25">
      <c r="L675623" s="472"/>
      <c r="M675623" s="472"/>
    </row>
    <row r="675695" spans="12:13" x14ac:dyDescent="0.25">
      <c r="L675695" s="472"/>
      <c r="M675695" s="472"/>
    </row>
    <row r="675696" spans="12:13" x14ac:dyDescent="0.25">
      <c r="L675696" s="472"/>
      <c r="M675696" s="472"/>
    </row>
    <row r="675697" spans="12:13" x14ac:dyDescent="0.25">
      <c r="L675697" s="472"/>
      <c r="M675697" s="472"/>
    </row>
    <row r="675769" spans="12:13" x14ac:dyDescent="0.25">
      <c r="L675769" s="472"/>
      <c r="M675769" s="472"/>
    </row>
    <row r="675770" spans="12:13" x14ac:dyDescent="0.25">
      <c r="L675770" s="472"/>
      <c r="M675770" s="472"/>
    </row>
    <row r="675771" spans="12:13" x14ac:dyDescent="0.25">
      <c r="L675771" s="472"/>
      <c r="M675771" s="472"/>
    </row>
    <row r="675843" spans="12:13" x14ac:dyDescent="0.25">
      <c r="L675843" s="472"/>
      <c r="M675843" s="472"/>
    </row>
    <row r="675844" spans="12:13" x14ac:dyDescent="0.25">
      <c r="L675844" s="472"/>
      <c r="M675844" s="472"/>
    </row>
    <row r="675845" spans="12:13" x14ac:dyDescent="0.25">
      <c r="L675845" s="472"/>
      <c r="M675845" s="472"/>
    </row>
    <row r="675917" spans="12:13" x14ac:dyDescent="0.25">
      <c r="L675917" s="472"/>
      <c r="M675917" s="472"/>
    </row>
    <row r="675918" spans="12:13" x14ac:dyDescent="0.25">
      <c r="L675918" s="472"/>
      <c r="M675918" s="472"/>
    </row>
    <row r="675919" spans="12:13" x14ac:dyDescent="0.25">
      <c r="L675919" s="472"/>
      <c r="M675919" s="472"/>
    </row>
    <row r="675991" spans="12:13" x14ac:dyDescent="0.25">
      <c r="L675991" s="472"/>
      <c r="M675991" s="472"/>
    </row>
    <row r="675992" spans="12:13" x14ac:dyDescent="0.25">
      <c r="L675992" s="472"/>
      <c r="M675992" s="472"/>
    </row>
    <row r="675993" spans="12:13" x14ac:dyDescent="0.25">
      <c r="L675993" s="472"/>
      <c r="M675993" s="472"/>
    </row>
    <row r="676065" spans="12:13" x14ac:dyDescent="0.25">
      <c r="L676065" s="472"/>
      <c r="M676065" s="472"/>
    </row>
    <row r="676066" spans="12:13" x14ac:dyDescent="0.25">
      <c r="L676066" s="472"/>
      <c r="M676066" s="472"/>
    </row>
    <row r="676067" spans="12:13" x14ac:dyDescent="0.25">
      <c r="L676067" s="472"/>
      <c r="M676067" s="472"/>
    </row>
    <row r="676139" spans="12:13" x14ac:dyDescent="0.25">
      <c r="L676139" s="472"/>
      <c r="M676139" s="472"/>
    </row>
    <row r="676140" spans="12:13" x14ac:dyDescent="0.25">
      <c r="L676140" s="472"/>
      <c r="M676140" s="472"/>
    </row>
    <row r="676141" spans="12:13" x14ac:dyDescent="0.25">
      <c r="L676141" s="472"/>
      <c r="M676141" s="472"/>
    </row>
    <row r="676213" spans="12:13" x14ac:dyDescent="0.25">
      <c r="L676213" s="472"/>
      <c r="M676213" s="472"/>
    </row>
    <row r="676214" spans="12:13" x14ac:dyDescent="0.25">
      <c r="L676214" s="472"/>
      <c r="M676214" s="472"/>
    </row>
    <row r="676215" spans="12:13" x14ac:dyDescent="0.25">
      <c r="L676215" s="472"/>
      <c r="M676215" s="472"/>
    </row>
    <row r="676287" spans="12:13" x14ac:dyDescent="0.25">
      <c r="L676287" s="472"/>
      <c r="M676287" s="472"/>
    </row>
    <row r="676288" spans="12:13" x14ac:dyDescent="0.25">
      <c r="L676288" s="472"/>
      <c r="M676288" s="472"/>
    </row>
    <row r="676289" spans="12:13" x14ac:dyDescent="0.25">
      <c r="L676289" s="472"/>
      <c r="M676289" s="472"/>
    </row>
    <row r="676361" spans="12:13" x14ac:dyDescent="0.25">
      <c r="L676361" s="472"/>
      <c r="M676361" s="472"/>
    </row>
    <row r="676362" spans="12:13" x14ac:dyDescent="0.25">
      <c r="L676362" s="472"/>
      <c r="M676362" s="472"/>
    </row>
    <row r="676363" spans="12:13" x14ac:dyDescent="0.25">
      <c r="L676363" s="472"/>
      <c r="M676363" s="472"/>
    </row>
    <row r="676435" spans="12:13" x14ac:dyDescent="0.25">
      <c r="L676435" s="472"/>
      <c r="M676435" s="472"/>
    </row>
    <row r="676436" spans="12:13" x14ac:dyDescent="0.25">
      <c r="L676436" s="472"/>
      <c r="M676436" s="472"/>
    </row>
    <row r="676437" spans="12:13" x14ac:dyDescent="0.25">
      <c r="L676437" s="472"/>
      <c r="M676437" s="472"/>
    </row>
    <row r="676509" spans="12:13" x14ac:dyDescent="0.25">
      <c r="L676509" s="472"/>
      <c r="M676509" s="472"/>
    </row>
    <row r="676510" spans="12:13" x14ac:dyDescent="0.25">
      <c r="L676510" s="472"/>
      <c r="M676510" s="472"/>
    </row>
    <row r="676511" spans="12:13" x14ac:dyDescent="0.25">
      <c r="L676511" s="472"/>
      <c r="M676511" s="472"/>
    </row>
    <row r="676583" spans="12:13" x14ac:dyDescent="0.25">
      <c r="L676583" s="472"/>
      <c r="M676583" s="472"/>
    </row>
    <row r="676584" spans="12:13" x14ac:dyDescent="0.25">
      <c r="L676584" s="472"/>
      <c r="M676584" s="472"/>
    </row>
    <row r="676585" spans="12:13" x14ac:dyDescent="0.25">
      <c r="L676585" s="472"/>
      <c r="M676585" s="472"/>
    </row>
    <row r="676657" spans="12:13" x14ac:dyDescent="0.25">
      <c r="L676657" s="472"/>
      <c r="M676657" s="472"/>
    </row>
    <row r="676658" spans="12:13" x14ac:dyDescent="0.25">
      <c r="L676658" s="472"/>
      <c r="M676658" s="472"/>
    </row>
    <row r="676659" spans="12:13" x14ac:dyDescent="0.25">
      <c r="L676659" s="472"/>
      <c r="M676659" s="472"/>
    </row>
    <row r="676731" spans="12:13" x14ac:dyDescent="0.25">
      <c r="L676731" s="472"/>
      <c r="M676731" s="472"/>
    </row>
    <row r="676732" spans="12:13" x14ac:dyDescent="0.25">
      <c r="L676732" s="472"/>
      <c r="M676732" s="472"/>
    </row>
    <row r="676733" spans="12:13" x14ac:dyDescent="0.25">
      <c r="L676733" s="472"/>
      <c r="M676733" s="472"/>
    </row>
    <row r="676805" spans="12:13" x14ac:dyDescent="0.25">
      <c r="L676805" s="472"/>
      <c r="M676805" s="472"/>
    </row>
    <row r="676806" spans="12:13" x14ac:dyDescent="0.25">
      <c r="L676806" s="472"/>
      <c r="M676806" s="472"/>
    </row>
    <row r="676807" spans="12:13" x14ac:dyDescent="0.25">
      <c r="L676807" s="472"/>
      <c r="M676807" s="472"/>
    </row>
    <row r="676879" spans="12:13" x14ac:dyDescent="0.25">
      <c r="L676879" s="472"/>
      <c r="M676879" s="472"/>
    </row>
    <row r="676880" spans="12:13" x14ac:dyDescent="0.25">
      <c r="L676880" s="472"/>
      <c r="M676880" s="472"/>
    </row>
    <row r="676881" spans="12:13" x14ac:dyDescent="0.25">
      <c r="L676881" s="472"/>
      <c r="M676881" s="472"/>
    </row>
    <row r="676953" spans="12:13" x14ac:dyDescent="0.25">
      <c r="L676953" s="472"/>
      <c r="M676953" s="472"/>
    </row>
    <row r="676954" spans="12:13" x14ac:dyDescent="0.25">
      <c r="L676954" s="472"/>
      <c r="M676954" s="472"/>
    </row>
    <row r="676955" spans="12:13" x14ac:dyDescent="0.25">
      <c r="L676955" s="472"/>
      <c r="M676955" s="472"/>
    </row>
    <row r="677027" spans="12:13" x14ac:dyDescent="0.25">
      <c r="L677027" s="472"/>
      <c r="M677027" s="472"/>
    </row>
    <row r="677028" spans="12:13" x14ac:dyDescent="0.25">
      <c r="L677028" s="472"/>
      <c r="M677028" s="472"/>
    </row>
    <row r="677029" spans="12:13" x14ac:dyDescent="0.25">
      <c r="L677029" s="472"/>
      <c r="M677029" s="472"/>
    </row>
    <row r="677101" spans="12:13" x14ac:dyDescent="0.25">
      <c r="L677101" s="472"/>
      <c r="M677101" s="472"/>
    </row>
    <row r="677102" spans="12:13" x14ac:dyDescent="0.25">
      <c r="L677102" s="472"/>
      <c r="M677102" s="472"/>
    </row>
    <row r="677103" spans="12:13" x14ac:dyDescent="0.25">
      <c r="L677103" s="472"/>
      <c r="M677103" s="472"/>
    </row>
    <row r="677175" spans="12:13" x14ac:dyDescent="0.25">
      <c r="L677175" s="472"/>
      <c r="M677175" s="472"/>
    </row>
    <row r="677176" spans="12:13" x14ac:dyDescent="0.25">
      <c r="L677176" s="472"/>
      <c r="M677176" s="472"/>
    </row>
    <row r="677177" spans="12:13" x14ac:dyDescent="0.25">
      <c r="L677177" s="472"/>
      <c r="M677177" s="472"/>
    </row>
    <row r="677249" spans="12:13" x14ac:dyDescent="0.25">
      <c r="L677249" s="472"/>
      <c r="M677249" s="472"/>
    </row>
    <row r="677250" spans="12:13" x14ac:dyDescent="0.25">
      <c r="L677250" s="472"/>
      <c r="M677250" s="472"/>
    </row>
    <row r="677251" spans="12:13" x14ac:dyDescent="0.25">
      <c r="L677251" s="472"/>
      <c r="M677251" s="472"/>
    </row>
    <row r="677323" spans="12:13" x14ac:dyDescent="0.25">
      <c r="L677323" s="472"/>
      <c r="M677323" s="472"/>
    </row>
    <row r="677324" spans="12:13" x14ac:dyDescent="0.25">
      <c r="L677324" s="472"/>
      <c r="M677324" s="472"/>
    </row>
    <row r="677325" spans="12:13" x14ac:dyDescent="0.25">
      <c r="L677325" s="472"/>
      <c r="M677325" s="472"/>
    </row>
    <row r="677397" spans="12:13" x14ac:dyDescent="0.25">
      <c r="L677397" s="472"/>
      <c r="M677397" s="472"/>
    </row>
    <row r="677398" spans="12:13" x14ac:dyDescent="0.25">
      <c r="L677398" s="472"/>
      <c r="M677398" s="472"/>
    </row>
    <row r="677399" spans="12:13" x14ac:dyDescent="0.25">
      <c r="L677399" s="472"/>
      <c r="M677399" s="472"/>
    </row>
    <row r="677471" spans="12:13" x14ac:dyDescent="0.25">
      <c r="L677471" s="472"/>
      <c r="M677471" s="472"/>
    </row>
    <row r="677472" spans="12:13" x14ac:dyDescent="0.25">
      <c r="L677472" s="472"/>
      <c r="M677472" s="472"/>
    </row>
    <row r="677473" spans="12:13" x14ac:dyDescent="0.25">
      <c r="L677473" s="472"/>
      <c r="M677473" s="472"/>
    </row>
    <row r="677545" spans="12:13" x14ac:dyDescent="0.25">
      <c r="L677545" s="472"/>
      <c r="M677545" s="472"/>
    </row>
    <row r="677546" spans="12:13" x14ac:dyDescent="0.25">
      <c r="L677546" s="472"/>
      <c r="M677546" s="472"/>
    </row>
    <row r="677547" spans="12:13" x14ac:dyDescent="0.25">
      <c r="L677547" s="472"/>
      <c r="M677547" s="472"/>
    </row>
    <row r="677619" spans="12:13" x14ac:dyDescent="0.25">
      <c r="L677619" s="472"/>
      <c r="M677619" s="472"/>
    </row>
    <row r="677620" spans="12:13" x14ac:dyDescent="0.25">
      <c r="L677620" s="472"/>
      <c r="M677620" s="472"/>
    </row>
    <row r="677621" spans="12:13" x14ac:dyDescent="0.25">
      <c r="L677621" s="472"/>
      <c r="M677621" s="472"/>
    </row>
    <row r="677693" spans="12:13" x14ac:dyDescent="0.25">
      <c r="L677693" s="472"/>
      <c r="M677693" s="472"/>
    </row>
    <row r="677694" spans="12:13" x14ac:dyDescent="0.25">
      <c r="L677694" s="472"/>
      <c r="M677694" s="472"/>
    </row>
    <row r="677695" spans="12:13" x14ac:dyDescent="0.25">
      <c r="L677695" s="472"/>
      <c r="M677695" s="472"/>
    </row>
    <row r="677767" spans="12:13" x14ac:dyDescent="0.25">
      <c r="L677767" s="472"/>
      <c r="M677767" s="472"/>
    </row>
    <row r="677768" spans="12:13" x14ac:dyDescent="0.25">
      <c r="L677768" s="472"/>
      <c r="M677768" s="472"/>
    </row>
    <row r="677769" spans="12:13" x14ac:dyDescent="0.25">
      <c r="L677769" s="472"/>
      <c r="M677769" s="472"/>
    </row>
    <row r="677841" spans="12:13" x14ac:dyDescent="0.25">
      <c r="L677841" s="472"/>
      <c r="M677841" s="472"/>
    </row>
    <row r="677842" spans="12:13" x14ac:dyDescent="0.25">
      <c r="L677842" s="472"/>
      <c r="M677842" s="472"/>
    </row>
    <row r="677843" spans="12:13" x14ac:dyDescent="0.25">
      <c r="L677843" s="472"/>
      <c r="M677843" s="472"/>
    </row>
    <row r="677915" spans="12:13" x14ac:dyDescent="0.25">
      <c r="L677915" s="472"/>
      <c r="M677915" s="472"/>
    </row>
    <row r="677916" spans="12:13" x14ac:dyDescent="0.25">
      <c r="L677916" s="472"/>
      <c r="M677916" s="472"/>
    </row>
    <row r="677917" spans="12:13" x14ac:dyDescent="0.25">
      <c r="L677917" s="472"/>
      <c r="M677917" s="472"/>
    </row>
    <row r="677989" spans="12:13" x14ac:dyDescent="0.25">
      <c r="L677989" s="472"/>
      <c r="M677989" s="472"/>
    </row>
    <row r="677990" spans="12:13" x14ac:dyDescent="0.25">
      <c r="L677990" s="472"/>
      <c r="M677990" s="472"/>
    </row>
    <row r="677991" spans="12:13" x14ac:dyDescent="0.25">
      <c r="L677991" s="472"/>
      <c r="M677991" s="472"/>
    </row>
    <row r="678063" spans="12:13" x14ac:dyDescent="0.25">
      <c r="L678063" s="472"/>
      <c r="M678063" s="472"/>
    </row>
    <row r="678064" spans="12:13" x14ac:dyDescent="0.25">
      <c r="L678064" s="472"/>
      <c r="M678064" s="472"/>
    </row>
    <row r="678065" spans="12:13" x14ac:dyDescent="0.25">
      <c r="L678065" s="472"/>
      <c r="M678065" s="472"/>
    </row>
    <row r="678137" spans="12:13" x14ac:dyDescent="0.25">
      <c r="L678137" s="472"/>
      <c r="M678137" s="472"/>
    </row>
    <row r="678138" spans="12:13" x14ac:dyDescent="0.25">
      <c r="L678138" s="472"/>
      <c r="M678138" s="472"/>
    </row>
    <row r="678139" spans="12:13" x14ac:dyDescent="0.25">
      <c r="L678139" s="472"/>
      <c r="M678139" s="472"/>
    </row>
    <row r="678211" spans="12:13" x14ac:dyDescent="0.25">
      <c r="L678211" s="472"/>
      <c r="M678211" s="472"/>
    </row>
    <row r="678212" spans="12:13" x14ac:dyDescent="0.25">
      <c r="L678212" s="472"/>
      <c r="M678212" s="472"/>
    </row>
    <row r="678213" spans="12:13" x14ac:dyDescent="0.25">
      <c r="L678213" s="472"/>
      <c r="M678213" s="472"/>
    </row>
    <row r="678285" spans="12:13" x14ac:dyDescent="0.25">
      <c r="L678285" s="472"/>
      <c r="M678285" s="472"/>
    </row>
    <row r="678286" spans="12:13" x14ac:dyDescent="0.25">
      <c r="L678286" s="472"/>
      <c r="M678286" s="472"/>
    </row>
    <row r="678287" spans="12:13" x14ac:dyDescent="0.25">
      <c r="L678287" s="472"/>
      <c r="M678287" s="472"/>
    </row>
    <row r="678359" spans="12:13" x14ac:dyDescent="0.25">
      <c r="L678359" s="472"/>
      <c r="M678359" s="472"/>
    </row>
    <row r="678360" spans="12:13" x14ac:dyDescent="0.25">
      <c r="L678360" s="472"/>
      <c r="M678360" s="472"/>
    </row>
    <row r="678361" spans="12:13" x14ac:dyDescent="0.25">
      <c r="L678361" s="472"/>
      <c r="M678361" s="472"/>
    </row>
    <row r="678433" spans="12:13" x14ac:dyDescent="0.25">
      <c r="L678433" s="472"/>
      <c r="M678433" s="472"/>
    </row>
    <row r="678434" spans="12:13" x14ac:dyDescent="0.25">
      <c r="L678434" s="472"/>
      <c r="M678434" s="472"/>
    </row>
    <row r="678435" spans="12:13" x14ac:dyDescent="0.25">
      <c r="L678435" s="472"/>
      <c r="M678435" s="472"/>
    </row>
    <row r="678507" spans="12:13" x14ac:dyDescent="0.25">
      <c r="L678507" s="472"/>
      <c r="M678507" s="472"/>
    </row>
    <row r="678508" spans="12:13" x14ac:dyDescent="0.25">
      <c r="L678508" s="472"/>
      <c r="M678508" s="472"/>
    </row>
    <row r="678509" spans="12:13" x14ac:dyDescent="0.25">
      <c r="L678509" s="472"/>
      <c r="M678509" s="472"/>
    </row>
    <row r="678581" spans="12:13" x14ac:dyDescent="0.25">
      <c r="L678581" s="472"/>
      <c r="M678581" s="472"/>
    </row>
    <row r="678582" spans="12:13" x14ac:dyDescent="0.25">
      <c r="L678582" s="472"/>
      <c r="M678582" s="472"/>
    </row>
    <row r="678583" spans="12:13" x14ac:dyDescent="0.25">
      <c r="L678583" s="472"/>
      <c r="M678583" s="472"/>
    </row>
    <row r="678655" spans="12:13" x14ac:dyDescent="0.25">
      <c r="L678655" s="472"/>
      <c r="M678655" s="472"/>
    </row>
    <row r="678656" spans="12:13" x14ac:dyDescent="0.25">
      <c r="L678656" s="472"/>
      <c r="M678656" s="472"/>
    </row>
    <row r="678657" spans="12:13" x14ac:dyDescent="0.25">
      <c r="L678657" s="472"/>
      <c r="M678657" s="472"/>
    </row>
    <row r="678729" spans="12:13" x14ac:dyDescent="0.25">
      <c r="L678729" s="472"/>
      <c r="M678729" s="472"/>
    </row>
    <row r="678730" spans="12:13" x14ac:dyDescent="0.25">
      <c r="L678730" s="472"/>
      <c r="M678730" s="472"/>
    </row>
    <row r="678731" spans="12:13" x14ac:dyDescent="0.25">
      <c r="L678731" s="472"/>
      <c r="M678731" s="472"/>
    </row>
    <row r="678803" spans="12:13" x14ac:dyDescent="0.25">
      <c r="L678803" s="472"/>
      <c r="M678803" s="472"/>
    </row>
    <row r="678804" spans="12:13" x14ac:dyDescent="0.25">
      <c r="L678804" s="472"/>
      <c r="M678804" s="472"/>
    </row>
    <row r="678805" spans="12:13" x14ac:dyDescent="0.25">
      <c r="L678805" s="472"/>
      <c r="M678805" s="472"/>
    </row>
    <row r="678877" spans="12:13" x14ac:dyDescent="0.25">
      <c r="L678877" s="472"/>
      <c r="M678877" s="472"/>
    </row>
    <row r="678878" spans="12:13" x14ac:dyDescent="0.25">
      <c r="L678878" s="472"/>
      <c r="M678878" s="472"/>
    </row>
    <row r="678879" spans="12:13" x14ac:dyDescent="0.25">
      <c r="L678879" s="472"/>
      <c r="M678879" s="472"/>
    </row>
    <row r="678951" spans="12:13" x14ac:dyDescent="0.25">
      <c r="L678951" s="472"/>
      <c r="M678951" s="472"/>
    </row>
    <row r="678952" spans="12:13" x14ac:dyDescent="0.25">
      <c r="L678952" s="472"/>
      <c r="M678952" s="472"/>
    </row>
    <row r="678953" spans="12:13" x14ac:dyDescent="0.25">
      <c r="L678953" s="472"/>
      <c r="M678953" s="472"/>
    </row>
    <row r="679025" spans="12:13" x14ac:dyDescent="0.25">
      <c r="L679025" s="472"/>
      <c r="M679025" s="472"/>
    </row>
    <row r="679026" spans="12:13" x14ac:dyDescent="0.25">
      <c r="L679026" s="472"/>
      <c r="M679026" s="472"/>
    </row>
    <row r="679027" spans="12:13" x14ac:dyDescent="0.25">
      <c r="L679027" s="472"/>
      <c r="M679027" s="472"/>
    </row>
    <row r="679099" spans="12:13" x14ac:dyDescent="0.25">
      <c r="L679099" s="472"/>
      <c r="M679099" s="472"/>
    </row>
    <row r="679100" spans="12:13" x14ac:dyDescent="0.25">
      <c r="L679100" s="472"/>
      <c r="M679100" s="472"/>
    </row>
    <row r="679101" spans="12:13" x14ac:dyDescent="0.25">
      <c r="L679101" s="472"/>
      <c r="M679101" s="472"/>
    </row>
    <row r="679173" spans="12:13" x14ac:dyDescent="0.25">
      <c r="L679173" s="472"/>
      <c r="M679173" s="472"/>
    </row>
    <row r="679174" spans="12:13" x14ac:dyDescent="0.25">
      <c r="L679174" s="472"/>
      <c r="M679174" s="472"/>
    </row>
    <row r="679175" spans="12:13" x14ac:dyDescent="0.25">
      <c r="L679175" s="472"/>
      <c r="M679175" s="472"/>
    </row>
    <row r="679247" spans="12:13" x14ac:dyDescent="0.25">
      <c r="L679247" s="472"/>
      <c r="M679247" s="472"/>
    </row>
    <row r="679248" spans="12:13" x14ac:dyDescent="0.25">
      <c r="L679248" s="472"/>
      <c r="M679248" s="472"/>
    </row>
    <row r="679249" spans="12:13" x14ac:dyDescent="0.25">
      <c r="L679249" s="472"/>
      <c r="M679249" s="472"/>
    </row>
    <row r="679321" spans="12:13" x14ac:dyDescent="0.25">
      <c r="L679321" s="472"/>
      <c r="M679321" s="472"/>
    </row>
    <row r="679322" spans="12:13" x14ac:dyDescent="0.25">
      <c r="L679322" s="472"/>
      <c r="M679322" s="472"/>
    </row>
    <row r="679323" spans="12:13" x14ac:dyDescent="0.25">
      <c r="L679323" s="472"/>
      <c r="M679323" s="472"/>
    </row>
    <row r="679395" spans="12:13" x14ac:dyDescent="0.25">
      <c r="L679395" s="472"/>
      <c r="M679395" s="472"/>
    </row>
    <row r="679396" spans="12:13" x14ac:dyDescent="0.25">
      <c r="L679396" s="472"/>
      <c r="M679396" s="472"/>
    </row>
    <row r="679397" spans="12:13" x14ac:dyDescent="0.25">
      <c r="L679397" s="472"/>
      <c r="M679397" s="472"/>
    </row>
    <row r="679469" spans="12:13" x14ac:dyDescent="0.25">
      <c r="L679469" s="472"/>
      <c r="M679469" s="472"/>
    </row>
    <row r="679470" spans="12:13" x14ac:dyDescent="0.25">
      <c r="L679470" s="472"/>
      <c r="M679470" s="472"/>
    </row>
    <row r="679471" spans="12:13" x14ac:dyDescent="0.25">
      <c r="L679471" s="472"/>
      <c r="M679471" s="472"/>
    </row>
    <row r="679543" spans="12:13" x14ac:dyDescent="0.25">
      <c r="L679543" s="472"/>
      <c r="M679543" s="472"/>
    </row>
    <row r="679544" spans="12:13" x14ac:dyDescent="0.25">
      <c r="L679544" s="472"/>
      <c r="M679544" s="472"/>
    </row>
    <row r="679545" spans="12:13" x14ac:dyDescent="0.25">
      <c r="L679545" s="472"/>
      <c r="M679545" s="472"/>
    </row>
    <row r="679617" spans="12:13" x14ac:dyDescent="0.25">
      <c r="L679617" s="472"/>
      <c r="M679617" s="472"/>
    </row>
    <row r="679618" spans="12:13" x14ac:dyDescent="0.25">
      <c r="L679618" s="472"/>
      <c r="M679618" s="472"/>
    </row>
    <row r="679619" spans="12:13" x14ac:dyDescent="0.25">
      <c r="L679619" s="472"/>
      <c r="M679619" s="472"/>
    </row>
    <row r="679691" spans="12:13" x14ac:dyDescent="0.25">
      <c r="L679691" s="472"/>
      <c r="M679691" s="472"/>
    </row>
    <row r="679692" spans="12:13" x14ac:dyDescent="0.25">
      <c r="L679692" s="472"/>
      <c r="M679692" s="472"/>
    </row>
    <row r="679693" spans="12:13" x14ac:dyDescent="0.25">
      <c r="L679693" s="472"/>
      <c r="M679693" s="472"/>
    </row>
    <row r="679765" spans="12:13" x14ac:dyDescent="0.25">
      <c r="L679765" s="472"/>
      <c r="M679765" s="472"/>
    </row>
    <row r="679766" spans="12:13" x14ac:dyDescent="0.25">
      <c r="L679766" s="472"/>
      <c r="M679766" s="472"/>
    </row>
    <row r="679767" spans="12:13" x14ac:dyDescent="0.25">
      <c r="L679767" s="472"/>
      <c r="M679767" s="472"/>
    </row>
    <row r="679839" spans="12:13" x14ac:dyDescent="0.25">
      <c r="L679839" s="472"/>
      <c r="M679839" s="472"/>
    </row>
    <row r="679840" spans="12:13" x14ac:dyDescent="0.25">
      <c r="L679840" s="472"/>
      <c r="M679840" s="472"/>
    </row>
    <row r="679841" spans="12:13" x14ac:dyDescent="0.25">
      <c r="L679841" s="472"/>
      <c r="M679841" s="472"/>
    </row>
    <row r="679913" spans="12:13" x14ac:dyDescent="0.25">
      <c r="L679913" s="472"/>
      <c r="M679913" s="472"/>
    </row>
    <row r="679914" spans="12:13" x14ac:dyDescent="0.25">
      <c r="L679914" s="472"/>
      <c r="M679914" s="472"/>
    </row>
    <row r="679915" spans="12:13" x14ac:dyDescent="0.25">
      <c r="L679915" s="472"/>
      <c r="M679915" s="472"/>
    </row>
    <row r="679987" spans="12:13" x14ac:dyDescent="0.25">
      <c r="L679987" s="472"/>
      <c r="M679987" s="472"/>
    </row>
    <row r="679988" spans="12:13" x14ac:dyDescent="0.25">
      <c r="L679988" s="472"/>
      <c r="M679988" s="472"/>
    </row>
    <row r="679989" spans="12:13" x14ac:dyDescent="0.25">
      <c r="L679989" s="472"/>
      <c r="M679989" s="472"/>
    </row>
    <row r="680061" spans="12:13" x14ac:dyDescent="0.25">
      <c r="L680061" s="472"/>
      <c r="M680061" s="472"/>
    </row>
    <row r="680062" spans="12:13" x14ac:dyDescent="0.25">
      <c r="L680062" s="472"/>
      <c r="M680062" s="472"/>
    </row>
    <row r="680063" spans="12:13" x14ac:dyDescent="0.25">
      <c r="L680063" s="472"/>
      <c r="M680063" s="472"/>
    </row>
    <row r="680135" spans="12:13" x14ac:dyDescent="0.25">
      <c r="L680135" s="472"/>
      <c r="M680135" s="472"/>
    </row>
    <row r="680136" spans="12:13" x14ac:dyDescent="0.25">
      <c r="L680136" s="472"/>
      <c r="M680136" s="472"/>
    </row>
    <row r="680137" spans="12:13" x14ac:dyDescent="0.25">
      <c r="L680137" s="472"/>
      <c r="M680137" s="472"/>
    </row>
    <row r="680209" spans="12:13" x14ac:dyDescent="0.25">
      <c r="L680209" s="472"/>
      <c r="M680209" s="472"/>
    </row>
    <row r="680210" spans="12:13" x14ac:dyDescent="0.25">
      <c r="L680210" s="472"/>
      <c r="M680210" s="472"/>
    </row>
    <row r="680211" spans="12:13" x14ac:dyDescent="0.25">
      <c r="L680211" s="472"/>
      <c r="M680211" s="472"/>
    </row>
    <row r="680283" spans="12:13" x14ac:dyDescent="0.25">
      <c r="L680283" s="472"/>
      <c r="M680283" s="472"/>
    </row>
    <row r="680284" spans="12:13" x14ac:dyDescent="0.25">
      <c r="L680284" s="472"/>
      <c r="M680284" s="472"/>
    </row>
    <row r="680285" spans="12:13" x14ac:dyDescent="0.25">
      <c r="L680285" s="472"/>
      <c r="M680285" s="472"/>
    </row>
    <row r="680357" spans="12:13" x14ac:dyDescent="0.25">
      <c r="L680357" s="472"/>
      <c r="M680357" s="472"/>
    </row>
    <row r="680358" spans="12:13" x14ac:dyDescent="0.25">
      <c r="L680358" s="472"/>
      <c r="M680358" s="472"/>
    </row>
    <row r="680359" spans="12:13" x14ac:dyDescent="0.25">
      <c r="L680359" s="472"/>
      <c r="M680359" s="472"/>
    </row>
    <row r="680431" spans="12:13" x14ac:dyDescent="0.25">
      <c r="L680431" s="472"/>
      <c r="M680431" s="472"/>
    </row>
    <row r="680432" spans="12:13" x14ac:dyDescent="0.25">
      <c r="L680432" s="472"/>
      <c r="M680432" s="472"/>
    </row>
    <row r="680433" spans="12:13" x14ac:dyDescent="0.25">
      <c r="L680433" s="472"/>
      <c r="M680433" s="472"/>
    </row>
    <row r="680505" spans="12:13" x14ac:dyDescent="0.25">
      <c r="L680505" s="472"/>
      <c r="M680505" s="472"/>
    </row>
    <row r="680506" spans="12:13" x14ac:dyDescent="0.25">
      <c r="L680506" s="472"/>
      <c r="M680506" s="472"/>
    </row>
    <row r="680507" spans="12:13" x14ac:dyDescent="0.25">
      <c r="L680507" s="472"/>
      <c r="M680507" s="472"/>
    </row>
    <row r="680579" spans="12:13" x14ac:dyDescent="0.25">
      <c r="L680579" s="472"/>
      <c r="M680579" s="472"/>
    </row>
    <row r="680580" spans="12:13" x14ac:dyDescent="0.25">
      <c r="L680580" s="472"/>
      <c r="M680580" s="472"/>
    </row>
    <row r="680581" spans="12:13" x14ac:dyDescent="0.25">
      <c r="L680581" s="472"/>
      <c r="M680581" s="472"/>
    </row>
    <row r="680653" spans="12:13" x14ac:dyDescent="0.25">
      <c r="L680653" s="472"/>
      <c r="M680653" s="472"/>
    </row>
    <row r="680654" spans="12:13" x14ac:dyDescent="0.25">
      <c r="L680654" s="472"/>
      <c r="M680654" s="472"/>
    </row>
    <row r="680655" spans="12:13" x14ac:dyDescent="0.25">
      <c r="L680655" s="472"/>
      <c r="M680655" s="472"/>
    </row>
    <row r="680727" spans="12:13" x14ac:dyDescent="0.25">
      <c r="L680727" s="472"/>
      <c r="M680727" s="472"/>
    </row>
    <row r="680728" spans="12:13" x14ac:dyDescent="0.25">
      <c r="L680728" s="472"/>
      <c r="M680728" s="472"/>
    </row>
    <row r="680729" spans="12:13" x14ac:dyDescent="0.25">
      <c r="L680729" s="472"/>
      <c r="M680729" s="472"/>
    </row>
    <row r="680801" spans="12:13" x14ac:dyDescent="0.25">
      <c r="L680801" s="472"/>
      <c r="M680801" s="472"/>
    </row>
    <row r="680802" spans="12:13" x14ac:dyDescent="0.25">
      <c r="L680802" s="472"/>
      <c r="M680802" s="472"/>
    </row>
    <row r="680803" spans="12:13" x14ac:dyDescent="0.25">
      <c r="L680803" s="472"/>
      <c r="M680803" s="472"/>
    </row>
    <row r="680875" spans="12:13" x14ac:dyDescent="0.25">
      <c r="L680875" s="472"/>
      <c r="M680875" s="472"/>
    </row>
    <row r="680876" spans="12:13" x14ac:dyDescent="0.25">
      <c r="L680876" s="472"/>
      <c r="M680876" s="472"/>
    </row>
    <row r="680877" spans="12:13" x14ac:dyDescent="0.25">
      <c r="L680877" s="472"/>
      <c r="M680877" s="472"/>
    </row>
    <row r="680949" spans="12:13" x14ac:dyDescent="0.25">
      <c r="L680949" s="472"/>
      <c r="M680949" s="472"/>
    </row>
    <row r="680950" spans="12:13" x14ac:dyDescent="0.25">
      <c r="L680950" s="472"/>
      <c r="M680950" s="472"/>
    </row>
    <row r="680951" spans="12:13" x14ac:dyDescent="0.25">
      <c r="L680951" s="472"/>
      <c r="M680951" s="472"/>
    </row>
    <row r="681023" spans="12:13" x14ac:dyDescent="0.25">
      <c r="L681023" s="472"/>
      <c r="M681023" s="472"/>
    </row>
    <row r="681024" spans="12:13" x14ac:dyDescent="0.25">
      <c r="L681024" s="472"/>
      <c r="M681024" s="472"/>
    </row>
    <row r="681025" spans="12:13" x14ac:dyDescent="0.25">
      <c r="L681025" s="472"/>
      <c r="M681025" s="472"/>
    </row>
    <row r="681097" spans="12:13" x14ac:dyDescent="0.25">
      <c r="L681097" s="472"/>
      <c r="M681097" s="472"/>
    </row>
    <row r="681098" spans="12:13" x14ac:dyDescent="0.25">
      <c r="L681098" s="472"/>
      <c r="M681098" s="472"/>
    </row>
    <row r="681099" spans="12:13" x14ac:dyDescent="0.25">
      <c r="L681099" s="472"/>
      <c r="M681099" s="472"/>
    </row>
    <row r="681171" spans="12:13" x14ac:dyDescent="0.25">
      <c r="L681171" s="472"/>
      <c r="M681171" s="472"/>
    </row>
    <row r="681172" spans="12:13" x14ac:dyDescent="0.25">
      <c r="L681172" s="472"/>
      <c r="M681172" s="472"/>
    </row>
    <row r="681173" spans="12:13" x14ac:dyDescent="0.25">
      <c r="L681173" s="472"/>
      <c r="M681173" s="472"/>
    </row>
    <row r="681245" spans="12:13" x14ac:dyDescent="0.25">
      <c r="L681245" s="472"/>
      <c r="M681245" s="472"/>
    </row>
    <row r="681246" spans="12:13" x14ac:dyDescent="0.25">
      <c r="L681246" s="472"/>
      <c r="M681246" s="472"/>
    </row>
    <row r="681247" spans="12:13" x14ac:dyDescent="0.25">
      <c r="L681247" s="472"/>
      <c r="M681247" s="472"/>
    </row>
    <row r="681319" spans="12:13" x14ac:dyDescent="0.25">
      <c r="L681319" s="472"/>
      <c r="M681319" s="472"/>
    </row>
    <row r="681320" spans="12:13" x14ac:dyDescent="0.25">
      <c r="L681320" s="472"/>
      <c r="M681320" s="472"/>
    </row>
    <row r="681321" spans="12:13" x14ac:dyDescent="0.25">
      <c r="L681321" s="472"/>
      <c r="M681321" s="472"/>
    </row>
    <row r="681393" spans="12:13" x14ac:dyDescent="0.25">
      <c r="L681393" s="472"/>
      <c r="M681393" s="472"/>
    </row>
    <row r="681394" spans="12:13" x14ac:dyDescent="0.25">
      <c r="L681394" s="472"/>
      <c r="M681394" s="472"/>
    </row>
    <row r="681395" spans="12:13" x14ac:dyDescent="0.25">
      <c r="L681395" s="472"/>
      <c r="M681395" s="472"/>
    </row>
    <row r="681467" spans="12:13" x14ac:dyDescent="0.25">
      <c r="L681467" s="472"/>
      <c r="M681467" s="472"/>
    </row>
    <row r="681468" spans="12:13" x14ac:dyDescent="0.25">
      <c r="L681468" s="472"/>
      <c r="M681468" s="472"/>
    </row>
    <row r="681469" spans="12:13" x14ac:dyDescent="0.25">
      <c r="L681469" s="472"/>
      <c r="M681469" s="472"/>
    </row>
    <row r="681541" spans="12:13" x14ac:dyDescent="0.25">
      <c r="L681541" s="472"/>
      <c r="M681541" s="472"/>
    </row>
    <row r="681542" spans="12:13" x14ac:dyDescent="0.25">
      <c r="L681542" s="472"/>
      <c r="M681542" s="472"/>
    </row>
    <row r="681543" spans="12:13" x14ac:dyDescent="0.25">
      <c r="L681543" s="472"/>
      <c r="M681543" s="472"/>
    </row>
    <row r="681615" spans="12:13" x14ac:dyDescent="0.25">
      <c r="L681615" s="472"/>
      <c r="M681615" s="472"/>
    </row>
    <row r="681616" spans="12:13" x14ac:dyDescent="0.25">
      <c r="L681616" s="472"/>
      <c r="M681616" s="472"/>
    </row>
    <row r="681617" spans="12:13" x14ac:dyDescent="0.25">
      <c r="L681617" s="472"/>
      <c r="M681617" s="472"/>
    </row>
    <row r="681689" spans="12:13" x14ac:dyDescent="0.25">
      <c r="L681689" s="472"/>
      <c r="M681689" s="472"/>
    </row>
    <row r="681690" spans="12:13" x14ac:dyDescent="0.25">
      <c r="L681690" s="472"/>
      <c r="M681690" s="472"/>
    </row>
    <row r="681691" spans="12:13" x14ac:dyDescent="0.25">
      <c r="L681691" s="472"/>
      <c r="M681691" s="472"/>
    </row>
    <row r="681763" spans="12:13" x14ac:dyDescent="0.25">
      <c r="L681763" s="472"/>
      <c r="M681763" s="472"/>
    </row>
    <row r="681764" spans="12:13" x14ac:dyDescent="0.25">
      <c r="L681764" s="472"/>
      <c r="M681764" s="472"/>
    </row>
    <row r="681765" spans="12:13" x14ac:dyDescent="0.25">
      <c r="L681765" s="472"/>
      <c r="M681765" s="472"/>
    </row>
    <row r="681837" spans="12:13" x14ac:dyDescent="0.25">
      <c r="L681837" s="472"/>
      <c r="M681837" s="472"/>
    </row>
    <row r="681838" spans="12:13" x14ac:dyDescent="0.25">
      <c r="L681838" s="472"/>
      <c r="M681838" s="472"/>
    </row>
    <row r="681839" spans="12:13" x14ac:dyDescent="0.25">
      <c r="L681839" s="472"/>
      <c r="M681839" s="472"/>
    </row>
    <row r="681911" spans="12:13" x14ac:dyDescent="0.25">
      <c r="L681911" s="472"/>
      <c r="M681911" s="472"/>
    </row>
    <row r="681912" spans="12:13" x14ac:dyDescent="0.25">
      <c r="L681912" s="472"/>
      <c r="M681912" s="472"/>
    </row>
    <row r="681913" spans="12:13" x14ac:dyDescent="0.25">
      <c r="L681913" s="472"/>
      <c r="M681913" s="472"/>
    </row>
    <row r="681985" spans="12:13" x14ac:dyDescent="0.25">
      <c r="L681985" s="472"/>
      <c r="M681985" s="472"/>
    </row>
    <row r="681986" spans="12:13" x14ac:dyDescent="0.25">
      <c r="L681986" s="472"/>
      <c r="M681986" s="472"/>
    </row>
    <row r="681987" spans="12:13" x14ac:dyDescent="0.25">
      <c r="L681987" s="472"/>
      <c r="M681987" s="472"/>
    </row>
    <row r="682059" spans="12:13" x14ac:dyDescent="0.25">
      <c r="L682059" s="472"/>
      <c r="M682059" s="472"/>
    </row>
    <row r="682060" spans="12:13" x14ac:dyDescent="0.25">
      <c r="L682060" s="472"/>
      <c r="M682060" s="472"/>
    </row>
    <row r="682061" spans="12:13" x14ac:dyDescent="0.25">
      <c r="L682061" s="472"/>
      <c r="M682061" s="472"/>
    </row>
    <row r="682133" spans="12:13" x14ac:dyDescent="0.25">
      <c r="L682133" s="472"/>
      <c r="M682133" s="472"/>
    </row>
    <row r="682134" spans="12:13" x14ac:dyDescent="0.25">
      <c r="L682134" s="472"/>
      <c r="M682134" s="472"/>
    </row>
    <row r="682135" spans="12:13" x14ac:dyDescent="0.25">
      <c r="L682135" s="472"/>
      <c r="M682135" s="472"/>
    </row>
    <row r="682207" spans="12:13" x14ac:dyDescent="0.25">
      <c r="L682207" s="472"/>
      <c r="M682207" s="472"/>
    </row>
    <row r="682208" spans="12:13" x14ac:dyDescent="0.25">
      <c r="L682208" s="472"/>
      <c r="M682208" s="472"/>
    </row>
    <row r="682209" spans="12:13" x14ac:dyDescent="0.25">
      <c r="L682209" s="472"/>
      <c r="M682209" s="472"/>
    </row>
    <row r="682281" spans="12:13" x14ac:dyDescent="0.25">
      <c r="L682281" s="472"/>
      <c r="M682281" s="472"/>
    </row>
    <row r="682282" spans="12:13" x14ac:dyDescent="0.25">
      <c r="L682282" s="472"/>
      <c r="M682282" s="472"/>
    </row>
    <row r="682283" spans="12:13" x14ac:dyDescent="0.25">
      <c r="L682283" s="472"/>
      <c r="M682283" s="472"/>
    </row>
    <row r="682355" spans="12:13" x14ac:dyDescent="0.25">
      <c r="L682355" s="472"/>
      <c r="M682355" s="472"/>
    </row>
    <row r="682356" spans="12:13" x14ac:dyDescent="0.25">
      <c r="L682356" s="472"/>
      <c r="M682356" s="472"/>
    </row>
    <row r="682357" spans="12:13" x14ac:dyDescent="0.25">
      <c r="L682357" s="472"/>
      <c r="M682357" s="472"/>
    </row>
    <row r="682429" spans="12:13" x14ac:dyDescent="0.25">
      <c r="L682429" s="472"/>
      <c r="M682429" s="472"/>
    </row>
    <row r="682430" spans="12:13" x14ac:dyDescent="0.25">
      <c r="L682430" s="472"/>
      <c r="M682430" s="472"/>
    </row>
    <row r="682431" spans="12:13" x14ac:dyDescent="0.25">
      <c r="L682431" s="472"/>
      <c r="M682431" s="472"/>
    </row>
    <row r="682503" spans="12:13" x14ac:dyDescent="0.25">
      <c r="L682503" s="472"/>
      <c r="M682503" s="472"/>
    </row>
    <row r="682504" spans="12:13" x14ac:dyDescent="0.25">
      <c r="L682504" s="472"/>
      <c r="M682504" s="472"/>
    </row>
    <row r="682505" spans="12:13" x14ac:dyDescent="0.25">
      <c r="L682505" s="472"/>
      <c r="M682505" s="472"/>
    </row>
    <row r="682577" spans="12:13" x14ac:dyDescent="0.25">
      <c r="L682577" s="472"/>
      <c r="M682577" s="472"/>
    </row>
    <row r="682578" spans="12:13" x14ac:dyDescent="0.25">
      <c r="L682578" s="472"/>
      <c r="M682578" s="472"/>
    </row>
    <row r="682579" spans="12:13" x14ac:dyDescent="0.25">
      <c r="L682579" s="472"/>
      <c r="M682579" s="472"/>
    </row>
    <row r="682651" spans="12:13" x14ac:dyDescent="0.25">
      <c r="L682651" s="472"/>
      <c r="M682651" s="472"/>
    </row>
    <row r="682652" spans="12:13" x14ac:dyDescent="0.25">
      <c r="L682652" s="472"/>
      <c r="M682652" s="472"/>
    </row>
    <row r="682653" spans="12:13" x14ac:dyDescent="0.25">
      <c r="L682653" s="472"/>
      <c r="M682653" s="472"/>
    </row>
    <row r="682725" spans="12:13" x14ac:dyDescent="0.25">
      <c r="L682725" s="472"/>
      <c r="M682725" s="472"/>
    </row>
    <row r="682726" spans="12:13" x14ac:dyDescent="0.25">
      <c r="L682726" s="472"/>
      <c r="M682726" s="472"/>
    </row>
    <row r="682727" spans="12:13" x14ac:dyDescent="0.25">
      <c r="L682727" s="472"/>
      <c r="M682727" s="472"/>
    </row>
    <row r="682799" spans="12:13" x14ac:dyDescent="0.25">
      <c r="L682799" s="472"/>
      <c r="M682799" s="472"/>
    </row>
    <row r="682800" spans="12:13" x14ac:dyDescent="0.25">
      <c r="L682800" s="472"/>
      <c r="M682800" s="472"/>
    </row>
    <row r="682801" spans="12:13" x14ac:dyDescent="0.25">
      <c r="L682801" s="472"/>
      <c r="M682801" s="472"/>
    </row>
    <row r="682873" spans="12:13" x14ac:dyDescent="0.25">
      <c r="L682873" s="472"/>
      <c r="M682873" s="472"/>
    </row>
    <row r="682874" spans="12:13" x14ac:dyDescent="0.25">
      <c r="L682874" s="472"/>
      <c r="M682874" s="472"/>
    </row>
    <row r="682875" spans="12:13" x14ac:dyDescent="0.25">
      <c r="L682875" s="472"/>
      <c r="M682875" s="472"/>
    </row>
    <row r="682947" spans="12:13" x14ac:dyDescent="0.25">
      <c r="L682947" s="472"/>
      <c r="M682947" s="472"/>
    </row>
    <row r="682948" spans="12:13" x14ac:dyDescent="0.25">
      <c r="L682948" s="472"/>
      <c r="M682948" s="472"/>
    </row>
    <row r="682949" spans="12:13" x14ac:dyDescent="0.25">
      <c r="L682949" s="472"/>
      <c r="M682949" s="472"/>
    </row>
    <row r="683021" spans="12:13" x14ac:dyDescent="0.25">
      <c r="L683021" s="472"/>
      <c r="M683021" s="472"/>
    </row>
    <row r="683022" spans="12:13" x14ac:dyDescent="0.25">
      <c r="L683022" s="472"/>
      <c r="M683022" s="472"/>
    </row>
    <row r="683023" spans="12:13" x14ac:dyDescent="0.25">
      <c r="L683023" s="472"/>
      <c r="M683023" s="472"/>
    </row>
    <row r="683095" spans="12:13" x14ac:dyDescent="0.25">
      <c r="L683095" s="472"/>
      <c r="M683095" s="472"/>
    </row>
    <row r="683096" spans="12:13" x14ac:dyDescent="0.25">
      <c r="L683096" s="472"/>
      <c r="M683096" s="472"/>
    </row>
    <row r="683097" spans="12:13" x14ac:dyDescent="0.25">
      <c r="L683097" s="472"/>
      <c r="M683097" s="472"/>
    </row>
    <row r="683169" spans="12:13" x14ac:dyDescent="0.25">
      <c r="L683169" s="472"/>
      <c r="M683169" s="472"/>
    </row>
    <row r="683170" spans="12:13" x14ac:dyDescent="0.25">
      <c r="L683170" s="472"/>
      <c r="M683170" s="472"/>
    </row>
    <row r="683171" spans="12:13" x14ac:dyDescent="0.25">
      <c r="L683171" s="472"/>
      <c r="M683171" s="472"/>
    </row>
    <row r="683243" spans="12:13" x14ac:dyDescent="0.25">
      <c r="L683243" s="472"/>
      <c r="M683243" s="472"/>
    </row>
    <row r="683244" spans="12:13" x14ac:dyDescent="0.25">
      <c r="L683244" s="472"/>
      <c r="M683244" s="472"/>
    </row>
    <row r="683245" spans="12:13" x14ac:dyDescent="0.25">
      <c r="L683245" s="472"/>
      <c r="M683245" s="472"/>
    </row>
    <row r="683317" spans="12:13" x14ac:dyDescent="0.25">
      <c r="L683317" s="472"/>
      <c r="M683317" s="472"/>
    </row>
    <row r="683318" spans="12:13" x14ac:dyDescent="0.25">
      <c r="L683318" s="472"/>
      <c r="M683318" s="472"/>
    </row>
    <row r="683319" spans="12:13" x14ac:dyDescent="0.25">
      <c r="L683319" s="472"/>
      <c r="M683319" s="472"/>
    </row>
    <row r="683391" spans="12:13" x14ac:dyDescent="0.25">
      <c r="L683391" s="472"/>
      <c r="M683391" s="472"/>
    </row>
    <row r="683392" spans="12:13" x14ac:dyDescent="0.25">
      <c r="L683392" s="472"/>
      <c r="M683392" s="472"/>
    </row>
    <row r="683393" spans="12:13" x14ac:dyDescent="0.25">
      <c r="L683393" s="472"/>
      <c r="M683393" s="472"/>
    </row>
    <row r="683465" spans="12:13" x14ac:dyDescent="0.25">
      <c r="L683465" s="472"/>
      <c r="M683465" s="472"/>
    </row>
    <row r="683466" spans="12:13" x14ac:dyDescent="0.25">
      <c r="L683466" s="472"/>
      <c r="M683466" s="472"/>
    </row>
    <row r="683467" spans="12:13" x14ac:dyDescent="0.25">
      <c r="L683467" s="472"/>
      <c r="M683467" s="472"/>
    </row>
    <row r="683539" spans="12:13" x14ac:dyDescent="0.25">
      <c r="L683539" s="472"/>
      <c r="M683539" s="472"/>
    </row>
    <row r="683540" spans="12:13" x14ac:dyDescent="0.25">
      <c r="L683540" s="472"/>
      <c r="M683540" s="472"/>
    </row>
    <row r="683541" spans="12:13" x14ac:dyDescent="0.25">
      <c r="L683541" s="472"/>
      <c r="M683541" s="472"/>
    </row>
    <row r="683613" spans="12:13" x14ac:dyDescent="0.25">
      <c r="L683613" s="472"/>
      <c r="M683613" s="472"/>
    </row>
    <row r="683614" spans="12:13" x14ac:dyDescent="0.25">
      <c r="L683614" s="472"/>
      <c r="M683614" s="472"/>
    </row>
    <row r="683615" spans="12:13" x14ac:dyDescent="0.25">
      <c r="L683615" s="472"/>
      <c r="M683615" s="472"/>
    </row>
    <row r="683687" spans="12:13" x14ac:dyDescent="0.25">
      <c r="L683687" s="472"/>
      <c r="M683687" s="472"/>
    </row>
    <row r="683688" spans="12:13" x14ac:dyDescent="0.25">
      <c r="L683688" s="472"/>
      <c r="M683688" s="472"/>
    </row>
    <row r="683689" spans="12:13" x14ac:dyDescent="0.25">
      <c r="L683689" s="472"/>
      <c r="M683689" s="472"/>
    </row>
    <row r="683761" spans="12:13" x14ac:dyDescent="0.25">
      <c r="L683761" s="472"/>
      <c r="M683761" s="472"/>
    </row>
    <row r="683762" spans="12:13" x14ac:dyDescent="0.25">
      <c r="L683762" s="472"/>
      <c r="M683762" s="472"/>
    </row>
    <row r="683763" spans="12:13" x14ac:dyDescent="0.25">
      <c r="L683763" s="472"/>
      <c r="M683763" s="472"/>
    </row>
    <row r="683835" spans="12:13" x14ac:dyDescent="0.25">
      <c r="L683835" s="472"/>
      <c r="M683835" s="472"/>
    </row>
    <row r="683836" spans="12:13" x14ac:dyDescent="0.25">
      <c r="L683836" s="472"/>
      <c r="M683836" s="472"/>
    </row>
    <row r="683837" spans="12:13" x14ac:dyDescent="0.25">
      <c r="L683837" s="472"/>
      <c r="M683837" s="472"/>
    </row>
    <row r="683909" spans="12:13" x14ac:dyDescent="0.25">
      <c r="L683909" s="472"/>
      <c r="M683909" s="472"/>
    </row>
    <row r="683910" spans="12:13" x14ac:dyDescent="0.25">
      <c r="L683910" s="472"/>
      <c r="M683910" s="472"/>
    </row>
    <row r="683911" spans="12:13" x14ac:dyDescent="0.25">
      <c r="L683911" s="472"/>
      <c r="M683911" s="472"/>
    </row>
    <row r="683983" spans="12:13" x14ac:dyDescent="0.25">
      <c r="L683983" s="472"/>
      <c r="M683983" s="472"/>
    </row>
    <row r="683984" spans="12:13" x14ac:dyDescent="0.25">
      <c r="L683984" s="472"/>
      <c r="M683984" s="472"/>
    </row>
    <row r="683985" spans="12:13" x14ac:dyDescent="0.25">
      <c r="L683985" s="472"/>
      <c r="M683985" s="472"/>
    </row>
    <row r="684057" spans="12:13" x14ac:dyDescent="0.25">
      <c r="L684057" s="472"/>
      <c r="M684057" s="472"/>
    </row>
    <row r="684058" spans="12:13" x14ac:dyDescent="0.25">
      <c r="L684058" s="472"/>
      <c r="M684058" s="472"/>
    </row>
    <row r="684059" spans="12:13" x14ac:dyDescent="0.25">
      <c r="L684059" s="472"/>
      <c r="M684059" s="472"/>
    </row>
    <row r="684131" spans="12:13" x14ac:dyDescent="0.25">
      <c r="L684131" s="472"/>
      <c r="M684131" s="472"/>
    </row>
    <row r="684132" spans="12:13" x14ac:dyDescent="0.25">
      <c r="L684132" s="472"/>
      <c r="M684132" s="472"/>
    </row>
    <row r="684133" spans="12:13" x14ac:dyDescent="0.25">
      <c r="L684133" s="472"/>
      <c r="M684133" s="472"/>
    </row>
    <row r="684205" spans="12:13" x14ac:dyDescent="0.25">
      <c r="L684205" s="472"/>
      <c r="M684205" s="472"/>
    </row>
    <row r="684206" spans="12:13" x14ac:dyDescent="0.25">
      <c r="L684206" s="472"/>
      <c r="M684206" s="472"/>
    </row>
    <row r="684207" spans="12:13" x14ac:dyDescent="0.25">
      <c r="L684207" s="472"/>
      <c r="M684207" s="472"/>
    </row>
    <row r="684279" spans="12:13" x14ac:dyDescent="0.25">
      <c r="L684279" s="472"/>
      <c r="M684279" s="472"/>
    </row>
    <row r="684280" spans="12:13" x14ac:dyDescent="0.25">
      <c r="L684280" s="472"/>
      <c r="M684280" s="472"/>
    </row>
    <row r="684281" spans="12:13" x14ac:dyDescent="0.25">
      <c r="L684281" s="472"/>
      <c r="M684281" s="472"/>
    </row>
    <row r="684353" spans="12:13" x14ac:dyDescent="0.25">
      <c r="L684353" s="472"/>
      <c r="M684353" s="472"/>
    </row>
    <row r="684354" spans="12:13" x14ac:dyDescent="0.25">
      <c r="L684354" s="472"/>
      <c r="M684354" s="472"/>
    </row>
    <row r="684355" spans="12:13" x14ac:dyDescent="0.25">
      <c r="L684355" s="472"/>
      <c r="M684355" s="472"/>
    </row>
    <row r="684427" spans="12:13" x14ac:dyDescent="0.25">
      <c r="L684427" s="472"/>
      <c r="M684427" s="472"/>
    </row>
    <row r="684428" spans="12:13" x14ac:dyDescent="0.25">
      <c r="L684428" s="472"/>
      <c r="M684428" s="472"/>
    </row>
    <row r="684429" spans="12:13" x14ac:dyDescent="0.25">
      <c r="L684429" s="472"/>
      <c r="M684429" s="472"/>
    </row>
    <row r="684501" spans="12:13" x14ac:dyDescent="0.25">
      <c r="L684501" s="472"/>
      <c r="M684501" s="472"/>
    </row>
    <row r="684502" spans="12:13" x14ac:dyDescent="0.25">
      <c r="L684502" s="472"/>
      <c r="M684502" s="472"/>
    </row>
    <row r="684503" spans="12:13" x14ac:dyDescent="0.25">
      <c r="L684503" s="472"/>
      <c r="M684503" s="472"/>
    </row>
    <row r="684575" spans="12:13" x14ac:dyDescent="0.25">
      <c r="L684575" s="472"/>
      <c r="M684575" s="472"/>
    </row>
    <row r="684576" spans="12:13" x14ac:dyDescent="0.25">
      <c r="L684576" s="472"/>
      <c r="M684576" s="472"/>
    </row>
    <row r="684577" spans="12:13" x14ac:dyDescent="0.25">
      <c r="L684577" s="472"/>
      <c r="M684577" s="472"/>
    </row>
    <row r="684649" spans="12:13" x14ac:dyDescent="0.25">
      <c r="L684649" s="472"/>
      <c r="M684649" s="472"/>
    </row>
    <row r="684650" spans="12:13" x14ac:dyDescent="0.25">
      <c r="L684650" s="472"/>
      <c r="M684650" s="472"/>
    </row>
    <row r="684651" spans="12:13" x14ac:dyDescent="0.25">
      <c r="L684651" s="472"/>
      <c r="M684651" s="472"/>
    </row>
    <row r="684723" spans="12:13" x14ac:dyDescent="0.25">
      <c r="L684723" s="472"/>
      <c r="M684723" s="472"/>
    </row>
    <row r="684724" spans="12:13" x14ac:dyDescent="0.25">
      <c r="L684724" s="472"/>
      <c r="M684724" s="472"/>
    </row>
    <row r="684725" spans="12:13" x14ac:dyDescent="0.25">
      <c r="L684725" s="472"/>
      <c r="M684725" s="472"/>
    </row>
    <row r="684797" spans="12:13" x14ac:dyDescent="0.25">
      <c r="L684797" s="472"/>
      <c r="M684797" s="472"/>
    </row>
    <row r="684798" spans="12:13" x14ac:dyDescent="0.25">
      <c r="L684798" s="472"/>
      <c r="M684798" s="472"/>
    </row>
    <row r="684799" spans="12:13" x14ac:dyDescent="0.25">
      <c r="L684799" s="472"/>
      <c r="M684799" s="472"/>
    </row>
    <row r="684871" spans="12:13" x14ac:dyDescent="0.25">
      <c r="L684871" s="472"/>
      <c r="M684871" s="472"/>
    </row>
    <row r="684872" spans="12:13" x14ac:dyDescent="0.25">
      <c r="L684872" s="472"/>
      <c r="M684872" s="472"/>
    </row>
    <row r="684873" spans="12:13" x14ac:dyDescent="0.25">
      <c r="L684873" s="472"/>
      <c r="M684873" s="472"/>
    </row>
    <row r="684945" spans="12:13" x14ac:dyDescent="0.25">
      <c r="L684945" s="472"/>
      <c r="M684945" s="472"/>
    </row>
    <row r="684946" spans="12:13" x14ac:dyDescent="0.25">
      <c r="L684946" s="472"/>
      <c r="M684946" s="472"/>
    </row>
    <row r="684947" spans="12:13" x14ac:dyDescent="0.25">
      <c r="L684947" s="472"/>
      <c r="M684947" s="472"/>
    </row>
    <row r="685019" spans="12:13" x14ac:dyDescent="0.25">
      <c r="L685019" s="472"/>
      <c r="M685019" s="472"/>
    </row>
    <row r="685020" spans="12:13" x14ac:dyDescent="0.25">
      <c r="L685020" s="472"/>
      <c r="M685020" s="472"/>
    </row>
    <row r="685021" spans="12:13" x14ac:dyDescent="0.25">
      <c r="L685021" s="472"/>
      <c r="M685021" s="472"/>
    </row>
    <row r="685093" spans="12:13" x14ac:dyDescent="0.25">
      <c r="L685093" s="472"/>
      <c r="M685093" s="472"/>
    </row>
    <row r="685094" spans="12:13" x14ac:dyDescent="0.25">
      <c r="L685094" s="472"/>
      <c r="M685094" s="472"/>
    </row>
    <row r="685095" spans="12:13" x14ac:dyDescent="0.25">
      <c r="L685095" s="472"/>
      <c r="M685095" s="472"/>
    </row>
    <row r="685167" spans="12:13" x14ac:dyDescent="0.25">
      <c r="L685167" s="472"/>
      <c r="M685167" s="472"/>
    </row>
    <row r="685168" spans="12:13" x14ac:dyDescent="0.25">
      <c r="L685168" s="472"/>
      <c r="M685168" s="472"/>
    </row>
    <row r="685169" spans="12:13" x14ac:dyDescent="0.25">
      <c r="L685169" s="472"/>
      <c r="M685169" s="472"/>
    </row>
    <row r="685241" spans="12:13" x14ac:dyDescent="0.25">
      <c r="L685241" s="472"/>
      <c r="M685241" s="472"/>
    </row>
    <row r="685242" spans="12:13" x14ac:dyDescent="0.25">
      <c r="L685242" s="472"/>
      <c r="M685242" s="472"/>
    </row>
    <row r="685243" spans="12:13" x14ac:dyDescent="0.25">
      <c r="L685243" s="472"/>
      <c r="M685243" s="472"/>
    </row>
    <row r="685315" spans="12:13" x14ac:dyDescent="0.25">
      <c r="L685315" s="472"/>
      <c r="M685315" s="472"/>
    </row>
    <row r="685316" spans="12:13" x14ac:dyDescent="0.25">
      <c r="L685316" s="472"/>
      <c r="M685316" s="472"/>
    </row>
    <row r="685317" spans="12:13" x14ac:dyDescent="0.25">
      <c r="L685317" s="472"/>
      <c r="M685317" s="472"/>
    </row>
    <row r="685389" spans="12:13" x14ac:dyDescent="0.25">
      <c r="L685389" s="472"/>
      <c r="M685389" s="472"/>
    </row>
    <row r="685390" spans="12:13" x14ac:dyDescent="0.25">
      <c r="L685390" s="472"/>
      <c r="M685390" s="472"/>
    </row>
    <row r="685391" spans="12:13" x14ac:dyDescent="0.25">
      <c r="L685391" s="472"/>
      <c r="M685391" s="472"/>
    </row>
    <row r="685463" spans="12:13" x14ac:dyDescent="0.25">
      <c r="L685463" s="472"/>
      <c r="M685463" s="472"/>
    </row>
    <row r="685464" spans="12:13" x14ac:dyDescent="0.25">
      <c r="L685464" s="472"/>
      <c r="M685464" s="472"/>
    </row>
    <row r="685465" spans="12:13" x14ac:dyDescent="0.25">
      <c r="L685465" s="472"/>
      <c r="M685465" s="472"/>
    </row>
    <row r="685537" spans="12:13" x14ac:dyDescent="0.25">
      <c r="L685537" s="472"/>
      <c r="M685537" s="472"/>
    </row>
    <row r="685538" spans="12:13" x14ac:dyDescent="0.25">
      <c r="L685538" s="472"/>
      <c r="M685538" s="472"/>
    </row>
    <row r="685539" spans="12:13" x14ac:dyDescent="0.25">
      <c r="L685539" s="472"/>
      <c r="M685539" s="472"/>
    </row>
    <row r="685611" spans="12:13" x14ac:dyDescent="0.25">
      <c r="L685611" s="472"/>
      <c r="M685611" s="472"/>
    </row>
    <row r="685612" spans="12:13" x14ac:dyDescent="0.25">
      <c r="L685612" s="472"/>
      <c r="M685612" s="472"/>
    </row>
    <row r="685613" spans="12:13" x14ac:dyDescent="0.25">
      <c r="L685613" s="472"/>
      <c r="M685613" s="472"/>
    </row>
    <row r="685685" spans="12:13" x14ac:dyDescent="0.25">
      <c r="L685685" s="472"/>
      <c r="M685685" s="472"/>
    </row>
    <row r="685686" spans="12:13" x14ac:dyDescent="0.25">
      <c r="L685686" s="472"/>
      <c r="M685686" s="472"/>
    </row>
    <row r="685687" spans="12:13" x14ac:dyDescent="0.25">
      <c r="L685687" s="472"/>
      <c r="M685687" s="472"/>
    </row>
    <row r="685759" spans="12:13" x14ac:dyDescent="0.25">
      <c r="L685759" s="472"/>
      <c r="M685759" s="472"/>
    </row>
    <row r="685760" spans="12:13" x14ac:dyDescent="0.25">
      <c r="L685760" s="472"/>
      <c r="M685760" s="472"/>
    </row>
    <row r="685761" spans="12:13" x14ac:dyDescent="0.25">
      <c r="L685761" s="472"/>
      <c r="M685761" s="472"/>
    </row>
    <row r="685833" spans="12:13" x14ac:dyDescent="0.25">
      <c r="L685833" s="472"/>
      <c r="M685833" s="472"/>
    </row>
    <row r="685834" spans="12:13" x14ac:dyDescent="0.25">
      <c r="L685834" s="472"/>
      <c r="M685834" s="472"/>
    </row>
    <row r="685835" spans="12:13" x14ac:dyDescent="0.25">
      <c r="L685835" s="472"/>
      <c r="M685835" s="472"/>
    </row>
    <row r="685907" spans="12:13" x14ac:dyDescent="0.25">
      <c r="L685907" s="472"/>
      <c r="M685907" s="472"/>
    </row>
    <row r="685908" spans="12:13" x14ac:dyDescent="0.25">
      <c r="L685908" s="472"/>
      <c r="M685908" s="472"/>
    </row>
    <row r="685909" spans="12:13" x14ac:dyDescent="0.25">
      <c r="L685909" s="472"/>
      <c r="M685909" s="472"/>
    </row>
    <row r="685981" spans="12:13" x14ac:dyDescent="0.25">
      <c r="L685981" s="472"/>
      <c r="M685981" s="472"/>
    </row>
    <row r="685982" spans="12:13" x14ac:dyDescent="0.25">
      <c r="L685982" s="472"/>
      <c r="M685982" s="472"/>
    </row>
    <row r="685983" spans="12:13" x14ac:dyDescent="0.25">
      <c r="L685983" s="472"/>
      <c r="M685983" s="472"/>
    </row>
    <row r="686055" spans="12:13" x14ac:dyDescent="0.25">
      <c r="L686055" s="472"/>
      <c r="M686055" s="472"/>
    </row>
    <row r="686056" spans="12:13" x14ac:dyDescent="0.25">
      <c r="L686056" s="472"/>
      <c r="M686056" s="472"/>
    </row>
    <row r="686057" spans="12:13" x14ac:dyDescent="0.25">
      <c r="L686057" s="472"/>
      <c r="M686057" s="472"/>
    </row>
    <row r="686129" spans="12:13" x14ac:dyDescent="0.25">
      <c r="L686129" s="472"/>
      <c r="M686129" s="472"/>
    </row>
    <row r="686130" spans="12:13" x14ac:dyDescent="0.25">
      <c r="L686130" s="472"/>
      <c r="M686130" s="472"/>
    </row>
    <row r="686131" spans="12:13" x14ac:dyDescent="0.25">
      <c r="L686131" s="472"/>
      <c r="M686131" s="472"/>
    </row>
    <row r="686203" spans="12:13" x14ac:dyDescent="0.25">
      <c r="L686203" s="472"/>
      <c r="M686203" s="472"/>
    </row>
    <row r="686204" spans="12:13" x14ac:dyDescent="0.25">
      <c r="L686204" s="472"/>
      <c r="M686204" s="472"/>
    </row>
    <row r="686205" spans="12:13" x14ac:dyDescent="0.25">
      <c r="L686205" s="472"/>
      <c r="M686205" s="472"/>
    </row>
    <row r="686277" spans="12:13" x14ac:dyDescent="0.25">
      <c r="L686277" s="472"/>
      <c r="M686277" s="472"/>
    </row>
    <row r="686278" spans="12:13" x14ac:dyDescent="0.25">
      <c r="L686278" s="472"/>
      <c r="M686278" s="472"/>
    </row>
    <row r="686279" spans="12:13" x14ac:dyDescent="0.25">
      <c r="L686279" s="472"/>
      <c r="M686279" s="472"/>
    </row>
    <row r="686351" spans="12:13" x14ac:dyDescent="0.25">
      <c r="L686351" s="472"/>
      <c r="M686351" s="472"/>
    </row>
    <row r="686352" spans="12:13" x14ac:dyDescent="0.25">
      <c r="L686352" s="472"/>
      <c r="M686352" s="472"/>
    </row>
    <row r="686353" spans="12:13" x14ac:dyDescent="0.25">
      <c r="L686353" s="472"/>
      <c r="M686353" s="472"/>
    </row>
    <row r="686425" spans="12:13" x14ac:dyDescent="0.25">
      <c r="L686425" s="472"/>
      <c r="M686425" s="472"/>
    </row>
    <row r="686426" spans="12:13" x14ac:dyDescent="0.25">
      <c r="L686426" s="472"/>
      <c r="M686426" s="472"/>
    </row>
    <row r="686427" spans="12:13" x14ac:dyDescent="0.25">
      <c r="L686427" s="472"/>
      <c r="M686427" s="472"/>
    </row>
    <row r="686499" spans="12:13" x14ac:dyDescent="0.25">
      <c r="L686499" s="472"/>
      <c r="M686499" s="472"/>
    </row>
    <row r="686500" spans="12:13" x14ac:dyDescent="0.25">
      <c r="L686500" s="472"/>
      <c r="M686500" s="472"/>
    </row>
    <row r="686501" spans="12:13" x14ac:dyDescent="0.25">
      <c r="L686501" s="472"/>
      <c r="M686501" s="472"/>
    </row>
    <row r="686573" spans="12:13" x14ac:dyDescent="0.25">
      <c r="L686573" s="472"/>
      <c r="M686573" s="472"/>
    </row>
    <row r="686574" spans="12:13" x14ac:dyDescent="0.25">
      <c r="L686574" s="472"/>
      <c r="M686574" s="472"/>
    </row>
    <row r="686575" spans="12:13" x14ac:dyDescent="0.25">
      <c r="L686575" s="472"/>
      <c r="M686575" s="472"/>
    </row>
    <row r="686647" spans="12:13" x14ac:dyDescent="0.25">
      <c r="L686647" s="472"/>
      <c r="M686647" s="472"/>
    </row>
    <row r="686648" spans="12:13" x14ac:dyDescent="0.25">
      <c r="L686648" s="472"/>
      <c r="M686648" s="472"/>
    </row>
    <row r="686649" spans="12:13" x14ac:dyDescent="0.25">
      <c r="L686649" s="472"/>
      <c r="M686649" s="472"/>
    </row>
    <row r="686721" spans="12:13" x14ac:dyDescent="0.25">
      <c r="L686721" s="472"/>
      <c r="M686721" s="472"/>
    </row>
    <row r="686722" spans="12:13" x14ac:dyDescent="0.25">
      <c r="L686722" s="472"/>
      <c r="M686722" s="472"/>
    </row>
    <row r="686723" spans="12:13" x14ac:dyDescent="0.25">
      <c r="L686723" s="472"/>
      <c r="M686723" s="472"/>
    </row>
    <row r="686795" spans="12:13" x14ac:dyDescent="0.25">
      <c r="L686795" s="472"/>
      <c r="M686795" s="472"/>
    </row>
    <row r="686796" spans="12:13" x14ac:dyDescent="0.25">
      <c r="L686796" s="472"/>
      <c r="M686796" s="472"/>
    </row>
    <row r="686797" spans="12:13" x14ac:dyDescent="0.25">
      <c r="L686797" s="472"/>
      <c r="M686797" s="472"/>
    </row>
    <row r="686869" spans="12:13" x14ac:dyDescent="0.25">
      <c r="L686869" s="472"/>
      <c r="M686869" s="472"/>
    </row>
    <row r="686870" spans="12:13" x14ac:dyDescent="0.25">
      <c r="L686870" s="472"/>
      <c r="M686870" s="472"/>
    </row>
    <row r="686871" spans="12:13" x14ac:dyDescent="0.25">
      <c r="L686871" s="472"/>
      <c r="M686871" s="472"/>
    </row>
    <row r="686943" spans="12:13" x14ac:dyDescent="0.25">
      <c r="L686943" s="472"/>
      <c r="M686943" s="472"/>
    </row>
    <row r="686944" spans="12:13" x14ac:dyDescent="0.25">
      <c r="L686944" s="472"/>
      <c r="M686944" s="472"/>
    </row>
    <row r="686945" spans="12:13" x14ac:dyDescent="0.25">
      <c r="L686945" s="472"/>
      <c r="M686945" s="472"/>
    </row>
    <row r="687017" spans="12:13" x14ac:dyDescent="0.25">
      <c r="L687017" s="472"/>
      <c r="M687017" s="472"/>
    </row>
    <row r="687018" spans="12:13" x14ac:dyDescent="0.25">
      <c r="L687018" s="472"/>
      <c r="M687018" s="472"/>
    </row>
    <row r="687019" spans="12:13" x14ac:dyDescent="0.25">
      <c r="L687019" s="472"/>
      <c r="M687019" s="472"/>
    </row>
    <row r="687091" spans="12:13" x14ac:dyDescent="0.25">
      <c r="L687091" s="472"/>
      <c r="M687091" s="472"/>
    </row>
    <row r="687092" spans="12:13" x14ac:dyDescent="0.25">
      <c r="L687092" s="472"/>
      <c r="M687092" s="472"/>
    </row>
    <row r="687093" spans="12:13" x14ac:dyDescent="0.25">
      <c r="L687093" s="472"/>
      <c r="M687093" s="472"/>
    </row>
    <row r="687165" spans="12:13" x14ac:dyDescent="0.25">
      <c r="L687165" s="472"/>
      <c r="M687165" s="472"/>
    </row>
    <row r="687166" spans="12:13" x14ac:dyDescent="0.25">
      <c r="L687166" s="472"/>
      <c r="M687166" s="472"/>
    </row>
    <row r="687167" spans="12:13" x14ac:dyDescent="0.25">
      <c r="L687167" s="472"/>
      <c r="M687167" s="472"/>
    </row>
    <row r="687239" spans="12:13" x14ac:dyDescent="0.25">
      <c r="L687239" s="472"/>
      <c r="M687239" s="472"/>
    </row>
    <row r="687240" spans="12:13" x14ac:dyDescent="0.25">
      <c r="L687240" s="472"/>
      <c r="M687240" s="472"/>
    </row>
    <row r="687241" spans="12:13" x14ac:dyDescent="0.25">
      <c r="L687241" s="472"/>
      <c r="M687241" s="472"/>
    </row>
    <row r="687313" spans="12:13" x14ac:dyDescent="0.25">
      <c r="L687313" s="472"/>
      <c r="M687313" s="472"/>
    </row>
    <row r="687314" spans="12:13" x14ac:dyDescent="0.25">
      <c r="L687314" s="472"/>
      <c r="M687314" s="472"/>
    </row>
    <row r="687315" spans="12:13" x14ac:dyDescent="0.25">
      <c r="L687315" s="472"/>
      <c r="M687315" s="472"/>
    </row>
    <row r="687387" spans="12:13" x14ac:dyDescent="0.25">
      <c r="L687387" s="472"/>
      <c r="M687387" s="472"/>
    </row>
    <row r="687388" spans="12:13" x14ac:dyDescent="0.25">
      <c r="L687388" s="472"/>
      <c r="M687388" s="472"/>
    </row>
    <row r="687389" spans="12:13" x14ac:dyDescent="0.25">
      <c r="L687389" s="472"/>
      <c r="M687389" s="472"/>
    </row>
    <row r="687461" spans="12:13" x14ac:dyDescent="0.25">
      <c r="L687461" s="472"/>
      <c r="M687461" s="472"/>
    </row>
    <row r="687462" spans="12:13" x14ac:dyDescent="0.25">
      <c r="L687462" s="472"/>
      <c r="M687462" s="472"/>
    </row>
    <row r="687463" spans="12:13" x14ac:dyDescent="0.25">
      <c r="L687463" s="472"/>
      <c r="M687463" s="472"/>
    </row>
    <row r="687535" spans="12:13" x14ac:dyDescent="0.25">
      <c r="L687535" s="472"/>
      <c r="M687535" s="472"/>
    </row>
    <row r="687536" spans="12:13" x14ac:dyDescent="0.25">
      <c r="L687536" s="472"/>
      <c r="M687536" s="472"/>
    </row>
    <row r="687537" spans="12:13" x14ac:dyDescent="0.25">
      <c r="L687537" s="472"/>
      <c r="M687537" s="472"/>
    </row>
    <row r="687609" spans="12:13" x14ac:dyDescent="0.25">
      <c r="L687609" s="472"/>
      <c r="M687609" s="472"/>
    </row>
    <row r="687610" spans="12:13" x14ac:dyDescent="0.25">
      <c r="L687610" s="472"/>
      <c r="M687610" s="472"/>
    </row>
    <row r="687611" spans="12:13" x14ac:dyDescent="0.25">
      <c r="L687611" s="472"/>
      <c r="M687611" s="472"/>
    </row>
    <row r="687683" spans="12:13" x14ac:dyDescent="0.25">
      <c r="L687683" s="472"/>
      <c r="M687683" s="472"/>
    </row>
    <row r="687684" spans="12:13" x14ac:dyDescent="0.25">
      <c r="L687684" s="472"/>
      <c r="M687684" s="472"/>
    </row>
    <row r="687685" spans="12:13" x14ac:dyDescent="0.25">
      <c r="L687685" s="472"/>
      <c r="M687685" s="472"/>
    </row>
    <row r="687757" spans="12:13" x14ac:dyDescent="0.25">
      <c r="L687757" s="472"/>
      <c r="M687757" s="472"/>
    </row>
    <row r="687758" spans="12:13" x14ac:dyDescent="0.25">
      <c r="L687758" s="472"/>
      <c r="M687758" s="472"/>
    </row>
    <row r="687759" spans="12:13" x14ac:dyDescent="0.25">
      <c r="L687759" s="472"/>
      <c r="M687759" s="472"/>
    </row>
    <row r="687831" spans="12:13" x14ac:dyDescent="0.25">
      <c r="L687831" s="472"/>
      <c r="M687831" s="472"/>
    </row>
    <row r="687832" spans="12:13" x14ac:dyDescent="0.25">
      <c r="L687832" s="472"/>
      <c r="M687832" s="472"/>
    </row>
    <row r="687833" spans="12:13" x14ac:dyDescent="0.25">
      <c r="L687833" s="472"/>
      <c r="M687833" s="472"/>
    </row>
    <row r="687905" spans="12:13" x14ac:dyDescent="0.25">
      <c r="L687905" s="472"/>
      <c r="M687905" s="472"/>
    </row>
    <row r="687906" spans="12:13" x14ac:dyDescent="0.25">
      <c r="L687906" s="472"/>
      <c r="M687906" s="472"/>
    </row>
    <row r="687907" spans="12:13" x14ac:dyDescent="0.25">
      <c r="L687907" s="472"/>
      <c r="M687907" s="472"/>
    </row>
    <row r="687979" spans="12:13" x14ac:dyDescent="0.25">
      <c r="L687979" s="472"/>
      <c r="M687979" s="472"/>
    </row>
    <row r="687980" spans="12:13" x14ac:dyDescent="0.25">
      <c r="L687980" s="472"/>
      <c r="M687980" s="472"/>
    </row>
    <row r="687981" spans="12:13" x14ac:dyDescent="0.25">
      <c r="L687981" s="472"/>
      <c r="M687981" s="472"/>
    </row>
    <row r="688053" spans="12:13" x14ac:dyDescent="0.25">
      <c r="L688053" s="472"/>
      <c r="M688053" s="472"/>
    </row>
    <row r="688054" spans="12:13" x14ac:dyDescent="0.25">
      <c r="L688054" s="472"/>
      <c r="M688054" s="472"/>
    </row>
    <row r="688055" spans="12:13" x14ac:dyDescent="0.25">
      <c r="L688055" s="472"/>
      <c r="M688055" s="472"/>
    </row>
    <row r="688127" spans="12:13" x14ac:dyDescent="0.25">
      <c r="L688127" s="472"/>
      <c r="M688127" s="472"/>
    </row>
    <row r="688128" spans="12:13" x14ac:dyDescent="0.25">
      <c r="L688128" s="472"/>
      <c r="M688128" s="472"/>
    </row>
    <row r="688129" spans="12:13" x14ac:dyDescent="0.25">
      <c r="L688129" s="472"/>
      <c r="M688129" s="472"/>
    </row>
    <row r="688201" spans="12:13" x14ac:dyDescent="0.25">
      <c r="L688201" s="472"/>
      <c r="M688201" s="472"/>
    </row>
    <row r="688202" spans="12:13" x14ac:dyDescent="0.25">
      <c r="L688202" s="472"/>
      <c r="M688202" s="472"/>
    </row>
    <row r="688203" spans="12:13" x14ac:dyDescent="0.25">
      <c r="L688203" s="472"/>
      <c r="M688203" s="472"/>
    </row>
    <row r="688275" spans="12:13" x14ac:dyDescent="0.25">
      <c r="L688275" s="472"/>
      <c r="M688275" s="472"/>
    </row>
    <row r="688276" spans="12:13" x14ac:dyDescent="0.25">
      <c r="L688276" s="472"/>
      <c r="M688276" s="472"/>
    </row>
    <row r="688277" spans="12:13" x14ac:dyDescent="0.25">
      <c r="L688277" s="472"/>
      <c r="M688277" s="472"/>
    </row>
    <row r="688349" spans="12:13" x14ac:dyDescent="0.25">
      <c r="L688349" s="472"/>
      <c r="M688349" s="472"/>
    </row>
    <row r="688350" spans="12:13" x14ac:dyDescent="0.25">
      <c r="L688350" s="472"/>
      <c r="M688350" s="472"/>
    </row>
    <row r="688351" spans="12:13" x14ac:dyDescent="0.25">
      <c r="L688351" s="472"/>
      <c r="M688351" s="472"/>
    </row>
    <row r="688423" spans="12:13" x14ac:dyDescent="0.25">
      <c r="L688423" s="472"/>
      <c r="M688423" s="472"/>
    </row>
    <row r="688424" spans="12:13" x14ac:dyDescent="0.25">
      <c r="L688424" s="472"/>
      <c r="M688424" s="472"/>
    </row>
    <row r="688425" spans="12:13" x14ac:dyDescent="0.25">
      <c r="L688425" s="472"/>
      <c r="M688425" s="472"/>
    </row>
    <row r="688497" spans="12:13" x14ac:dyDescent="0.25">
      <c r="L688497" s="472"/>
      <c r="M688497" s="472"/>
    </row>
    <row r="688498" spans="12:13" x14ac:dyDescent="0.25">
      <c r="L688498" s="472"/>
      <c r="M688498" s="472"/>
    </row>
    <row r="688499" spans="12:13" x14ac:dyDescent="0.25">
      <c r="L688499" s="472"/>
      <c r="M688499" s="472"/>
    </row>
    <row r="688571" spans="12:13" x14ac:dyDescent="0.25">
      <c r="L688571" s="472"/>
      <c r="M688571" s="472"/>
    </row>
    <row r="688572" spans="12:13" x14ac:dyDescent="0.25">
      <c r="L688572" s="472"/>
      <c r="M688572" s="472"/>
    </row>
    <row r="688573" spans="12:13" x14ac:dyDescent="0.25">
      <c r="L688573" s="472"/>
      <c r="M688573" s="472"/>
    </row>
    <row r="688645" spans="12:13" x14ac:dyDescent="0.25">
      <c r="L688645" s="472"/>
      <c r="M688645" s="472"/>
    </row>
    <row r="688646" spans="12:13" x14ac:dyDescent="0.25">
      <c r="L688646" s="472"/>
      <c r="M688646" s="472"/>
    </row>
    <row r="688647" spans="12:13" x14ac:dyDescent="0.25">
      <c r="L688647" s="472"/>
      <c r="M688647" s="472"/>
    </row>
    <row r="688719" spans="12:13" x14ac:dyDescent="0.25">
      <c r="L688719" s="472"/>
      <c r="M688719" s="472"/>
    </row>
    <row r="688720" spans="12:13" x14ac:dyDescent="0.25">
      <c r="L688720" s="472"/>
      <c r="M688720" s="472"/>
    </row>
    <row r="688721" spans="12:13" x14ac:dyDescent="0.25">
      <c r="L688721" s="472"/>
      <c r="M688721" s="472"/>
    </row>
    <row r="688793" spans="12:13" x14ac:dyDescent="0.25">
      <c r="L688793" s="472"/>
      <c r="M688793" s="472"/>
    </row>
    <row r="688794" spans="12:13" x14ac:dyDescent="0.25">
      <c r="L688794" s="472"/>
      <c r="M688794" s="472"/>
    </row>
    <row r="688795" spans="12:13" x14ac:dyDescent="0.25">
      <c r="L688795" s="472"/>
      <c r="M688795" s="472"/>
    </row>
    <row r="688867" spans="12:13" x14ac:dyDescent="0.25">
      <c r="L688867" s="472"/>
      <c r="M688867" s="472"/>
    </row>
    <row r="688868" spans="12:13" x14ac:dyDescent="0.25">
      <c r="L688868" s="472"/>
      <c r="M688868" s="472"/>
    </row>
    <row r="688869" spans="12:13" x14ac:dyDescent="0.25">
      <c r="L688869" s="472"/>
      <c r="M688869" s="472"/>
    </row>
    <row r="688941" spans="12:13" x14ac:dyDescent="0.25">
      <c r="L688941" s="472"/>
      <c r="M688941" s="472"/>
    </row>
    <row r="688942" spans="12:13" x14ac:dyDescent="0.25">
      <c r="L688942" s="472"/>
      <c r="M688942" s="472"/>
    </row>
    <row r="688943" spans="12:13" x14ac:dyDescent="0.25">
      <c r="L688943" s="472"/>
      <c r="M688943" s="472"/>
    </row>
    <row r="689015" spans="12:13" x14ac:dyDescent="0.25">
      <c r="L689015" s="472"/>
      <c r="M689015" s="472"/>
    </row>
    <row r="689016" spans="12:13" x14ac:dyDescent="0.25">
      <c r="L689016" s="472"/>
      <c r="M689016" s="472"/>
    </row>
    <row r="689017" spans="12:13" x14ac:dyDescent="0.25">
      <c r="L689017" s="472"/>
      <c r="M689017" s="472"/>
    </row>
    <row r="689089" spans="12:13" x14ac:dyDescent="0.25">
      <c r="L689089" s="472"/>
      <c r="M689089" s="472"/>
    </row>
    <row r="689090" spans="12:13" x14ac:dyDescent="0.25">
      <c r="L689090" s="472"/>
      <c r="M689090" s="472"/>
    </row>
    <row r="689091" spans="12:13" x14ac:dyDescent="0.25">
      <c r="L689091" s="472"/>
      <c r="M689091" s="472"/>
    </row>
    <row r="689163" spans="12:13" x14ac:dyDescent="0.25">
      <c r="L689163" s="472"/>
      <c r="M689163" s="472"/>
    </row>
    <row r="689164" spans="12:13" x14ac:dyDescent="0.25">
      <c r="L689164" s="472"/>
      <c r="M689164" s="472"/>
    </row>
    <row r="689165" spans="12:13" x14ac:dyDescent="0.25">
      <c r="L689165" s="472"/>
      <c r="M689165" s="472"/>
    </row>
    <row r="689237" spans="12:13" x14ac:dyDescent="0.25">
      <c r="L689237" s="472"/>
      <c r="M689237" s="472"/>
    </row>
    <row r="689238" spans="12:13" x14ac:dyDescent="0.25">
      <c r="L689238" s="472"/>
      <c r="M689238" s="472"/>
    </row>
    <row r="689239" spans="12:13" x14ac:dyDescent="0.25">
      <c r="L689239" s="472"/>
      <c r="M689239" s="472"/>
    </row>
    <row r="689311" spans="12:13" x14ac:dyDescent="0.25">
      <c r="L689311" s="472"/>
      <c r="M689311" s="472"/>
    </row>
    <row r="689312" spans="12:13" x14ac:dyDescent="0.25">
      <c r="L689312" s="472"/>
      <c r="M689312" s="472"/>
    </row>
    <row r="689313" spans="12:13" x14ac:dyDescent="0.25">
      <c r="L689313" s="472"/>
      <c r="M689313" s="472"/>
    </row>
    <row r="689385" spans="12:13" x14ac:dyDescent="0.25">
      <c r="L689385" s="472"/>
      <c r="M689385" s="472"/>
    </row>
    <row r="689386" spans="12:13" x14ac:dyDescent="0.25">
      <c r="L689386" s="472"/>
      <c r="M689386" s="472"/>
    </row>
    <row r="689387" spans="12:13" x14ac:dyDescent="0.25">
      <c r="L689387" s="472"/>
      <c r="M689387" s="472"/>
    </row>
    <row r="689459" spans="12:13" x14ac:dyDescent="0.25">
      <c r="L689459" s="472"/>
      <c r="M689459" s="472"/>
    </row>
    <row r="689460" spans="12:13" x14ac:dyDescent="0.25">
      <c r="L689460" s="472"/>
      <c r="M689460" s="472"/>
    </row>
    <row r="689461" spans="12:13" x14ac:dyDescent="0.25">
      <c r="L689461" s="472"/>
      <c r="M689461" s="472"/>
    </row>
    <row r="689533" spans="12:13" x14ac:dyDescent="0.25">
      <c r="L689533" s="472"/>
      <c r="M689533" s="472"/>
    </row>
    <row r="689534" spans="12:13" x14ac:dyDescent="0.25">
      <c r="L689534" s="472"/>
      <c r="M689534" s="472"/>
    </row>
    <row r="689535" spans="12:13" x14ac:dyDescent="0.25">
      <c r="L689535" s="472"/>
      <c r="M689535" s="472"/>
    </row>
    <row r="689607" spans="12:13" x14ac:dyDescent="0.25">
      <c r="L689607" s="472"/>
      <c r="M689607" s="472"/>
    </row>
    <row r="689608" spans="12:13" x14ac:dyDescent="0.25">
      <c r="L689608" s="472"/>
      <c r="M689608" s="472"/>
    </row>
    <row r="689609" spans="12:13" x14ac:dyDescent="0.25">
      <c r="L689609" s="472"/>
      <c r="M689609" s="472"/>
    </row>
    <row r="689681" spans="12:13" x14ac:dyDescent="0.25">
      <c r="L689681" s="472"/>
      <c r="M689681" s="472"/>
    </row>
    <row r="689682" spans="12:13" x14ac:dyDescent="0.25">
      <c r="L689682" s="472"/>
      <c r="M689682" s="472"/>
    </row>
    <row r="689683" spans="12:13" x14ac:dyDescent="0.25">
      <c r="L689683" s="472"/>
      <c r="M689683" s="472"/>
    </row>
    <row r="689755" spans="12:13" x14ac:dyDescent="0.25">
      <c r="L689755" s="472"/>
      <c r="M689755" s="472"/>
    </row>
    <row r="689756" spans="12:13" x14ac:dyDescent="0.25">
      <c r="L689756" s="472"/>
      <c r="M689756" s="472"/>
    </row>
    <row r="689757" spans="12:13" x14ac:dyDescent="0.25">
      <c r="L689757" s="472"/>
      <c r="M689757" s="472"/>
    </row>
    <row r="689829" spans="12:13" x14ac:dyDescent="0.25">
      <c r="L689829" s="472"/>
      <c r="M689829" s="472"/>
    </row>
    <row r="689830" spans="12:13" x14ac:dyDescent="0.25">
      <c r="L689830" s="472"/>
      <c r="M689830" s="472"/>
    </row>
    <row r="689831" spans="12:13" x14ac:dyDescent="0.25">
      <c r="L689831" s="472"/>
      <c r="M689831" s="472"/>
    </row>
    <row r="689903" spans="12:13" x14ac:dyDescent="0.25">
      <c r="L689903" s="472"/>
      <c r="M689903" s="472"/>
    </row>
    <row r="689904" spans="12:13" x14ac:dyDescent="0.25">
      <c r="L689904" s="472"/>
      <c r="M689904" s="472"/>
    </row>
    <row r="689905" spans="12:13" x14ac:dyDescent="0.25">
      <c r="L689905" s="472"/>
      <c r="M689905" s="472"/>
    </row>
    <row r="689977" spans="12:13" x14ac:dyDescent="0.25">
      <c r="L689977" s="472"/>
      <c r="M689977" s="472"/>
    </row>
    <row r="689978" spans="12:13" x14ac:dyDescent="0.25">
      <c r="L689978" s="472"/>
      <c r="M689978" s="472"/>
    </row>
    <row r="689979" spans="12:13" x14ac:dyDescent="0.25">
      <c r="L689979" s="472"/>
      <c r="M689979" s="472"/>
    </row>
    <row r="690051" spans="12:13" x14ac:dyDescent="0.25">
      <c r="L690051" s="472"/>
      <c r="M690051" s="472"/>
    </row>
    <row r="690052" spans="12:13" x14ac:dyDescent="0.25">
      <c r="L690052" s="472"/>
      <c r="M690052" s="472"/>
    </row>
    <row r="690053" spans="12:13" x14ac:dyDescent="0.25">
      <c r="L690053" s="472"/>
      <c r="M690053" s="472"/>
    </row>
    <row r="690125" spans="12:13" x14ac:dyDescent="0.25">
      <c r="L690125" s="472"/>
      <c r="M690125" s="472"/>
    </row>
    <row r="690126" spans="12:13" x14ac:dyDescent="0.25">
      <c r="L690126" s="472"/>
      <c r="M690126" s="472"/>
    </row>
    <row r="690127" spans="12:13" x14ac:dyDescent="0.25">
      <c r="L690127" s="472"/>
      <c r="M690127" s="472"/>
    </row>
    <row r="690199" spans="12:13" x14ac:dyDescent="0.25">
      <c r="L690199" s="472"/>
      <c r="M690199" s="472"/>
    </row>
    <row r="690200" spans="12:13" x14ac:dyDescent="0.25">
      <c r="L690200" s="472"/>
      <c r="M690200" s="472"/>
    </row>
    <row r="690201" spans="12:13" x14ac:dyDescent="0.25">
      <c r="L690201" s="472"/>
      <c r="M690201" s="472"/>
    </row>
    <row r="690273" spans="12:13" x14ac:dyDescent="0.25">
      <c r="L690273" s="472"/>
      <c r="M690273" s="472"/>
    </row>
    <row r="690274" spans="12:13" x14ac:dyDescent="0.25">
      <c r="L690274" s="472"/>
      <c r="M690274" s="472"/>
    </row>
    <row r="690275" spans="12:13" x14ac:dyDescent="0.25">
      <c r="L690275" s="472"/>
      <c r="M690275" s="472"/>
    </row>
    <row r="690347" spans="12:13" x14ac:dyDescent="0.25">
      <c r="L690347" s="472"/>
      <c r="M690347" s="472"/>
    </row>
    <row r="690348" spans="12:13" x14ac:dyDescent="0.25">
      <c r="L690348" s="472"/>
      <c r="M690348" s="472"/>
    </row>
    <row r="690349" spans="12:13" x14ac:dyDescent="0.25">
      <c r="L690349" s="472"/>
      <c r="M690349" s="472"/>
    </row>
    <row r="690421" spans="12:13" x14ac:dyDescent="0.25">
      <c r="L690421" s="472"/>
      <c r="M690421" s="472"/>
    </row>
    <row r="690422" spans="12:13" x14ac:dyDescent="0.25">
      <c r="L690422" s="472"/>
      <c r="M690422" s="472"/>
    </row>
    <row r="690423" spans="12:13" x14ac:dyDescent="0.25">
      <c r="L690423" s="472"/>
      <c r="M690423" s="472"/>
    </row>
    <row r="690495" spans="12:13" x14ac:dyDescent="0.25">
      <c r="L690495" s="472"/>
      <c r="M690495" s="472"/>
    </row>
    <row r="690496" spans="12:13" x14ac:dyDescent="0.25">
      <c r="L690496" s="472"/>
      <c r="M690496" s="472"/>
    </row>
    <row r="690497" spans="12:13" x14ac:dyDescent="0.25">
      <c r="L690497" s="472"/>
      <c r="M690497" s="472"/>
    </row>
    <row r="690569" spans="12:13" x14ac:dyDescent="0.25">
      <c r="L690569" s="472"/>
      <c r="M690569" s="472"/>
    </row>
    <row r="690570" spans="12:13" x14ac:dyDescent="0.25">
      <c r="L690570" s="472"/>
      <c r="M690570" s="472"/>
    </row>
    <row r="690571" spans="12:13" x14ac:dyDescent="0.25">
      <c r="L690571" s="472"/>
      <c r="M690571" s="472"/>
    </row>
    <row r="690643" spans="12:13" x14ac:dyDescent="0.25">
      <c r="L690643" s="472"/>
      <c r="M690643" s="472"/>
    </row>
    <row r="690644" spans="12:13" x14ac:dyDescent="0.25">
      <c r="L690644" s="472"/>
      <c r="M690644" s="472"/>
    </row>
    <row r="690645" spans="12:13" x14ac:dyDescent="0.25">
      <c r="L690645" s="472"/>
      <c r="M690645" s="472"/>
    </row>
    <row r="690717" spans="12:13" x14ac:dyDescent="0.25">
      <c r="L690717" s="472"/>
      <c r="M690717" s="472"/>
    </row>
    <row r="690718" spans="12:13" x14ac:dyDescent="0.25">
      <c r="L690718" s="472"/>
      <c r="M690718" s="472"/>
    </row>
    <row r="690719" spans="12:13" x14ac:dyDescent="0.25">
      <c r="L690719" s="472"/>
      <c r="M690719" s="472"/>
    </row>
    <row r="690791" spans="12:13" x14ac:dyDescent="0.25">
      <c r="L690791" s="472"/>
      <c r="M690791" s="472"/>
    </row>
    <row r="690792" spans="12:13" x14ac:dyDescent="0.25">
      <c r="L690792" s="472"/>
      <c r="M690792" s="472"/>
    </row>
    <row r="690793" spans="12:13" x14ac:dyDescent="0.25">
      <c r="L690793" s="472"/>
      <c r="M690793" s="472"/>
    </row>
    <row r="690865" spans="12:13" x14ac:dyDescent="0.25">
      <c r="L690865" s="472"/>
      <c r="M690865" s="472"/>
    </row>
    <row r="690866" spans="12:13" x14ac:dyDescent="0.25">
      <c r="L690866" s="472"/>
      <c r="M690866" s="472"/>
    </row>
    <row r="690867" spans="12:13" x14ac:dyDescent="0.25">
      <c r="L690867" s="472"/>
      <c r="M690867" s="472"/>
    </row>
    <row r="690939" spans="12:13" x14ac:dyDescent="0.25">
      <c r="L690939" s="472"/>
      <c r="M690939" s="472"/>
    </row>
    <row r="690940" spans="12:13" x14ac:dyDescent="0.25">
      <c r="L690940" s="472"/>
      <c r="M690940" s="472"/>
    </row>
    <row r="690941" spans="12:13" x14ac:dyDescent="0.25">
      <c r="L690941" s="472"/>
      <c r="M690941" s="472"/>
    </row>
    <row r="691013" spans="12:13" x14ac:dyDescent="0.25">
      <c r="L691013" s="472"/>
      <c r="M691013" s="472"/>
    </row>
    <row r="691014" spans="12:13" x14ac:dyDescent="0.25">
      <c r="L691014" s="472"/>
      <c r="M691014" s="472"/>
    </row>
    <row r="691015" spans="12:13" x14ac:dyDescent="0.25">
      <c r="L691015" s="472"/>
      <c r="M691015" s="472"/>
    </row>
    <row r="691087" spans="12:13" x14ac:dyDescent="0.25">
      <c r="L691087" s="472"/>
      <c r="M691087" s="472"/>
    </row>
    <row r="691088" spans="12:13" x14ac:dyDescent="0.25">
      <c r="L691088" s="472"/>
      <c r="M691088" s="472"/>
    </row>
    <row r="691089" spans="12:13" x14ac:dyDescent="0.25">
      <c r="L691089" s="472"/>
      <c r="M691089" s="472"/>
    </row>
    <row r="691161" spans="12:13" x14ac:dyDescent="0.25">
      <c r="L691161" s="472"/>
      <c r="M691161" s="472"/>
    </row>
    <row r="691162" spans="12:13" x14ac:dyDescent="0.25">
      <c r="L691162" s="472"/>
      <c r="M691162" s="472"/>
    </row>
    <row r="691163" spans="12:13" x14ac:dyDescent="0.25">
      <c r="L691163" s="472"/>
      <c r="M691163" s="472"/>
    </row>
    <row r="691235" spans="12:13" x14ac:dyDescent="0.25">
      <c r="L691235" s="472"/>
      <c r="M691235" s="472"/>
    </row>
    <row r="691236" spans="12:13" x14ac:dyDescent="0.25">
      <c r="L691236" s="472"/>
      <c r="M691236" s="472"/>
    </row>
    <row r="691237" spans="12:13" x14ac:dyDescent="0.25">
      <c r="L691237" s="472"/>
      <c r="M691237" s="472"/>
    </row>
    <row r="691309" spans="12:13" x14ac:dyDescent="0.25">
      <c r="L691309" s="472"/>
      <c r="M691309" s="472"/>
    </row>
    <row r="691310" spans="12:13" x14ac:dyDescent="0.25">
      <c r="L691310" s="472"/>
      <c r="M691310" s="472"/>
    </row>
    <row r="691311" spans="12:13" x14ac:dyDescent="0.25">
      <c r="L691311" s="472"/>
      <c r="M691311" s="472"/>
    </row>
    <row r="691383" spans="12:13" x14ac:dyDescent="0.25">
      <c r="L691383" s="472"/>
      <c r="M691383" s="472"/>
    </row>
    <row r="691384" spans="12:13" x14ac:dyDescent="0.25">
      <c r="L691384" s="472"/>
      <c r="M691384" s="472"/>
    </row>
    <row r="691385" spans="12:13" x14ac:dyDescent="0.25">
      <c r="L691385" s="472"/>
      <c r="M691385" s="472"/>
    </row>
    <row r="691457" spans="12:13" x14ac:dyDescent="0.25">
      <c r="L691457" s="472"/>
      <c r="M691457" s="472"/>
    </row>
    <row r="691458" spans="12:13" x14ac:dyDescent="0.25">
      <c r="L691458" s="472"/>
      <c r="M691458" s="472"/>
    </row>
    <row r="691459" spans="12:13" x14ac:dyDescent="0.25">
      <c r="L691459" s="472"/>
      <c r="M691459" s="472"/>
    </row>
    <row r="691531" spans="12:13" x14ac:dyDescent="0.25">
      <c r="L691531" s="472"/>
      <c r="M691531" s="472"/>
    </row>
    <row r="691532" spans="12:13" x14ac:dyDescent="0.25">
      <c r="L691532" s="472"/>
      <c r="M691532" s="472"/>
    </row>
    <row r="691533" spans="12:13" x14ac:dyDescent="0.25">
      <c r="L691533" s="472"/>
      <c r="M691533" s="472"/>
    </row>
    <row r="691605" spans="12:13" x14ac:dyDescent="0.25">
      <c r="L691605" s="472"/>
      <c r="M691605" s="472"/>
    </row>
    <row r="691606" spans="12:13" x14ac:dyDescent="0.25">
      <c r="L691606" s="472"/>
      <c r="M691606" s="472"/>
    </row>
    <row r="691607" spans="12:13" x14ac:dyDescent="0.25">
      <c r="L691607" s="472"/>
      <c r="M691607" s="472"/>
    </row>
    <row r="691679" spans="12:13" x14ac:dyDescent="0.25">
      <c r="L691679" s="472"/>
      <c r="M691679" s="472"/>
    </row>
    <row r="691680" spans="12:13" x14ac:dyDescent="0.25">
      <c r="L691680" s="472"/>
      <c r="M691680" s="472"/>
    </row>
    <row r="691681" spans="12:13" x14ac:dyDescent="0.25">
      <c r="L691681" s="472"/>
      <c r="M691681" s="472"/>
    </row>
    <row r="691753" spans="12:13" x14ac:dyDescent="0.25">
      <c r="L691753" s="472"/>
      <c r="M691753" s="472"/>
    </row>
    <row r="691754" spans="12:13" x14ac:dyDescent="0.25">
      <c r="L691754" s="472"/>
      <c r="M691754" s="472"/>
    </row>
    <row r="691755" spans="12:13" x14ac:dyDescent="0.25">
      <c r="L691755" s="472"/>
      <c r="M691755" s="472"/>
    </row>
    <row r="691827" spans="12:13" x14ac:dyDescent="0.25">
      <c r="L691827" s="472"/>
      <c r="M691827" s="472"/>
    </row>
    <row r="691828" spans="12:13" x14ac:dyDescent="0.25">
      <c r="L691828" s="472"/>
      <c r="M691828" s="472"/>
    </row>
    <row r="691829" spans="12:13" x14ac:dyDescent="0.25">
      <c r="L691829" s="472"/>
      <c r="M691829" s="472"/>
    </row>
    <row r="691901" spans="12:13" x14ac:dyDescent="0.25">
      <c r="L691901" s="472"/>
      <c r="M691901" s="472"/>
    </row>
    <row r="691902" spans="12:13" x14ac:dyDescent="0.25">
      <c r="L691902" s="472"/>
      <c r="M691902" s="472"/>
    </row>
    <row r="691903" spans="12:13" x14ac:dyDescent="0.25">
      <c r="L691903" s="472"/>
      <c r="M691903" s="472"/>
    </row>
    <row r="691975" spans="12:13" x14ac:dyDescent="0.25">
      <c r="L691975" s="472"/>
      <c r="M691975" s="472"/>
    </row>
    <row r="691976" spans="12:13" x14ac:dyDescent="0.25">
      <c r="L691976" s="472"/>
      <c r="M691976" s="472"/>
    </row>
    <row r="691977" spans="12:13" x14ac:dyDescent="0.25">
      <c r="L691977" s="472"/>
      <c r="M691977" s="472"/>
    </row>
    <row r="692049" spans="12:13" x14ac:dyDescent="0.25">
      <c r="L692049" s="472"/>
      <c r="M692049" s="472"/>
    </row>
    <row r="692050" spans="12:13" x14ac:dyDescent="0.25">
      <c r="L692050" s="472"/>
      <c r="M692050" s="472"/>
    </row>
    <row r="692051" spans="12:13" x14ac:dyDescent="0.25">
      <c r="L692051" s="472"/>
      <c r="M692051" s="472"/>
    </row>
    <row r="692123" spans="12:13" x14ac:dyDescent="0.25">
      <c r="L692123" s="472"/>
      <c r="M692123" s="472"/>
    </row>
    <row r="692124" spans="12:13" x14ac:dyDescent="0.25">
      <c r="L692124" s="472"/>
      <c r="M692124" s="472"/>
    </row>
    <row r="692125" spans="12:13" x14ac:dyDescent="0.25">
      <c r="L692125" s="472"/>
      <c r="M692125" s="472"/>
    </row>
    <row r="692197" spans="12:13" x14ac:dyDescent="0.25">
      <c r="L692197" s="472"/>
      <c r="M692197" s="472"/>
    </row>
    <row r="692198" spans="12:13" x14ac:dyDescent="0.25">
      <c r="L692198" s="472"/>
      <c r="M692198" s="472"/>
    </row>
    <row r="692199" spans="12:13" x14ac:dyDescent="0.25">
      <c r="L692199" s="472"/>
      <c r="M692199" s="472"/>
    </row>
    <row r="692271" spans="12:13" x14ac:dyDescent="0.25">
      <c r="L692271" s="472"/>
      <c r="M692271" s="472"/>
    </row>
    <row r="692272" spans="12:13" x14ac:dyDescent="0.25">
      <c r="L692272" s="472"/>
      <c r="M692272" s="472"/>
    </row>
    <row r="692273" spans="12:13" x14ac:dyDescent="0.25">
      <c r="L692273" s="472"/>
      <c r="M692273" s="472"/>
    </row>
    <row r="692345" spans="12:13" x14ac:dyDescent="0.25">
      <c r="L692345" s="472"/>
      <c r="M692345" s="472"/>
    </row>
    <row r="692346" spans="12:13" x14ac:dyDescent="0.25">
      <c r="L692346" s="472"/>
      <c r="M692346" s="472"/>
    </row>
    <row r="692347" spans="12:13" x14ac:dyDescent="0.25">
      <c r="L692347" s="472"/>
      <c r="M692347" s="472"/>
    </row>
    <row r="692419" spans="12:13" x14ac:dyDescent="0.25">
      <c r="L692419" s="472"/>
      <c r="M692419" s="472"/>
    </row>
    <row r="692420" spans="12:13" x14ac:dyDescent="0.25">
      <c r="L692420" s="472"/>
      <c r="M692420" s="472"/>
    </row>
    <row r="692421" spans="12:13" x14ac:dyDescent="0.25">
      <c r="L692421" s="472"/>
      <c r="M692421" s="472"/>
    </row>
    <row r="692493" spans="12:13" x14ac:dyDescent="0.25">
      <c r="L692493" s="472"/>
      <c r="M692493" s="472"/>
    </row>
    <row r="692494" spans="12:13" x14ac:dyDescent="0.25">
      <c r="L692494" s="472"/>
      <c r="M692494" s="472"/>
    </row>
    <row r="692495" spans="12:13" x14ac:dyDescent="0.25">
      <c r="L692495" s="472"/>
      <c r="M692495" s="472"/>
    </row>
    <row r="692567" spans="12:13" x14ac:dyDescent="0.25">
      <c r="L692567" s="472"/>
      <c r="M692567" s="472"/>
    </row>
    <row r="692568" spans="12:13" x14ac:dyDescent="0.25">
      <c r="L692568" s="472"/>
      <c r="M692568" s="472"/>
    </row>
    <row r="692569" spans="12:13" x14ac:dyDescent="0.25">
      <c r="L692569" s="472"/>
      <c r="M692569" s="472"/>
    </row>
    <row r="692641" spans="12:13" x14ac:dyDescent="0.25">
      <c r="L692641" s="472"/>
      <c r="M692641" s="472"/>
    </row>
    <row r="692642" spans="12:13" x14ac:dyDescent="0.25">
      <c r="L692642" s="472"/>
      <c r="M692642" s="472"/>
    </row>
    <row r="692643" spans="12:13" x14ac:dyDescent="0.25">
      <c r="L692643" s="472"/>
      <c r="M692643" s="472"/>
    </row>
    <row r="692715" spans="12:13" x14ac:dyDescent="0.25">
      <c r="L692715" s="472"/>
      <c r="M692715" s="472"/>
    </row>
    <row r="692716" spans="12:13" x14ac:dyDescent="0.25">
      <c r="L692716" s="472"/>
      <c r="M692716" s="472"/>
    </row>
    <row r="692717" spans="12:13" x14ac:dyDescent="0.25">
      <c r="L692717" s="472"/>
      <c r="M692717" s="472"/>
    </row>
    <row r="692789" spans="12:13" x14ac:dyDescent="0.25">
      <c r="L692789" s="472"/>
      <c r="M692789" s="472"/>
    </row>
    <row r="692790" spans="12:13" x14ac:dyDescent="0.25">
      <c r="L692790" s="472"/>
      <c r="M692790" s="472"/>
    </row>
    <row r="692791" spans="12:13" x14ac:dyDescent="0.25">
      <c r="L692791" s="472"/>
      <c r="M692791" s="472"/>
    </row>
    <row r="692863" spans="12:13" x14ac:dyDescent="0.25">
      <c r="L692863" s="472"/>
      <c r="M692863" s="472"/>
    </row>
    <row r="692864" spans="12:13" x14ac:dyDescent="0.25">
      <c r="L692864" s="472"/>
      <c r="M692864" s="472"/>
    </row>
    <row r="692865" spans="12:13" x14ac:dyDescent="0.25">
      <c r="L692865" s="472"/>
      <c r="M692865" s="472"/>
    </row>
    <row r="692937" spans="12:13" x14ac:dyDescent="0.25">
      <c r="L692937" s="472"/>
      <c r="M692937" s="472"/>
    </row>
    <row r="692938" spans="12:13" x14ac:dyDescent="0.25">
      <c r="L692938" s="472"/>
      <c r="M692938" s="472"/>
    </row>
    <row r="692939" spans="12:13" x14ac:dyDescent="0.25">
      <c r="L692939" s="472"/>
      <c r="M692939" s="472"/>
    </row>
    <row r="693011" spans="12:13" x14ac:dyDescent="0.25">
      <c r="L693011" s="472"/>
      <c r="M693011" s="472"/>
    </row>
    <row r="693012" spans="12:13" x14ac:dyDescent="0.25">
      <c r="L693012" s="472"/>
      <c r="M693012" s="472"/>
    </row>
    <row r="693013" spans="12:13" x14ac:dyDescent="0.25">
      <c r="L693013" s="472"/>
      <c r="M693013" s="472"/>
    </row>
    <row r="693085" spans="12:13" x14ac:dyDescent="0.25">
      <c r="L693085" s="472"/>
      <c r="M693085" s="472"/>
    </row>
    <row r="693086" spans="12:13" x14ac:dyDescent="0.25">
      <c r="L693086" s="472"/>
      <c r="M693086" s="472"/>
    </row>
    <row r="693087" spans="12:13" x14ac:dyDescent="0.25">
      <c r="L693087" s="472"/>
      <c r="M693087" s="472"/>
    </row>
    <row r="693159" spans="12:13" x14ac:dyDescent="0.25">
      <c r="L693159" s="472"/>
      <c r="M693159" s="472"/>
    </row>
    <row r="693160" spans="12:13" x14ac:dyDescent="0.25">
      <c r="L693160" s="472"/>
      <c r="M693160" s="472"/>
    </row>
    <row r="693161" spans="12:13" x14ac:dyDescent="0.25">
      <c r="L693161" s="472"/>
      <c r="M693161" s="472"/>
    </row>
    <row r="693233" spans="12:13" x14ac:dyDescent="0.25">
      <c r="L693233" s="472"/>
      <c r="M693233" s="472"/>
    </row>
    <row r="693234" spans="12:13" x14ac:dyDescent="0.25">
      <c r="L693234" s="472"/>
      <c r="M693234" s="472"/>
    </row>
    <row r="693235" spans="12:13" x14ac:dyDescent="0.25">
      <c r="L693235" s="472"/>
      <c r="M693235" s="472"/>
    </row>
    <row r="693307" spans="12:13" x14ac:dyDescent="0.25">
      <c r="L693307" s="472"/>
      <c r="M693307" s="472"/>
    </row>
    <row r="693308" spans="12:13" x14ac:dyDescent="0.25">
      <c r="L693308" s="472"/>
      <c r="M693308" s="472"/>
    </row>
    <row r="693309" spans="12:13" x14ac:dyDescent="0.25">
      <c r="L693309" s="472"/>
      <c r="M693309" s="472"/>
    </row>
    <row r="693381" spans="12:13" x14ac:dyDescent="0.25">
      <c r="L693381" s="472"/>
      <c r="M693381" s="472"/>
    </row>
    <row r="693382" spans="12:13" x14ac:dyDescent="0.25">
      <c r="L693382" s="472"/>
      <c r="M693382" s="472"/>
    </row>
    <row r="693383" spans="12:13" x14ac:dyDescent="0.25">
      <c r="L693383" s="472"/>
      <c r="M693383" s="472"/>
    </row>
    <row r="693455" spans="12:13" x14ac:dyDescent="0.25">
      <c r="L693455" s="472"/>
      <c r="M693455" s="472"/>
    </row>
    <row r="693456" spans="12:13" x14ac:dyDescent="0.25">
      <c r="L693456" s="472"/>
      <c r="M693456" s="472"/>
    </row>
    <row r="693457" spans="12:13" x14ac:dyDescent="0.25">
      <c r="L693457" s="472"/>
      <c r="M693457" s="472"/>
    </row>
    <row r="693529" spans="12:13" x14ac:dyDescent="0.25">
      <c r="L693529" s="472"/>
      <c r="M693529" s="472"/>
    </row>
    <row r="693530" spans="12:13" x14ac:dyDescent="0.25">
      <c r="L693530" s="472"/>
      <c r="M693530" s="472"/>
    </row>
    <row r="693531" spans="12:13" x14ac:dyDescent="0.25">
      <c r="L693531" s="472"/>
      <c r="M693531" s="472"/>
    </row>
    <row r="693603" spans="12:13" x14ac:dyDescent="0.25">
      <c r="L693603" s="472"/>
      <c r="M693603" s="472"/>
    </row>
    <row r="693604" spans="12:13" x14ac:dyDescent="0.25">
      <c r="L693604" s="472"/>
      <c r="M693604" s="472"/>
    </row>
    <row r="693605" spans="12:13" x14ac:dyDescent="0.25">
      <c r="L693605" s="472"/>
      <c r="M693605" s="472"/>
    </row>
    <row r="693677" spans="12:13" x14ac:dyDescent="0.25">
      <c r="L693677" s="472"/>
      <c r="M693677" s="472"/>
    </row>
    <row r="693678" spans="12:13" x14ac:dyDescent="0.25">
      <c r="L693678" s="472"/>
      <c r="M693678" s="472"/>
    </row>
    <row r="693679" spans="12:13" x14ac:dyDescent="0.25">
      <c r="L693679" s="472"/>
      <c r="M693679" s="472"/>
    </row>
    <row r="693751" spans="12:13" x14ac:dyDescent="0.25">
      <c r="L693751" s="472"/>
      <c r="M693751" s="472"/>
    </row>
    <row r="693752" spans="12:13" x14ac:dyDescent="0.25">
      <c r="L693752" s="472"/>
      <c r="M693752" s="472"/>
    </row>
    <row r="693753" spans="12:13" x14ac:dyDescent="0.25">
      <c r="L693753" s="472"/>
      <c r="M693753" s="472"/>
    </row>
    <row r="693825" spans="12:13" x14ac:dyDescent="0.25">
      <c r="L693825" s="472"/>
      <c r="M693825" s="472"/>
    </row>
    <row r="693826" spans="12:13" x14ac:dyDescent="0.25">
      <c r="L693826" s="472"/>
      <c r="M693826" s="472"/>
    </row>
    <row r="693827" spans="12:13" x14ac:dyDescent="0.25">
      <c r="L693827" s="472"/>
      <c r="M693827" s="472"/>
    </row>
    <row r="693899" spans="12:13" x14ac:dyDescent="0.25">
      <c r="L693899" s="472"/>
      <c r="M693899" s="472"/>
    </row>
    <row r="693900" spans="12:13" x14ac:dyDescent="0.25">
      <c r="L693900" s="472"/>
      <c r="M693900" s="472"/>
    </row>
    <row r="693901" spans="12:13" x14ac:dyDescent="0.25">
      <c r="L693901" s="472"/>
      <c r="M693901" s="472"/>
    </row>
    <row r="693973" spans="12:13" x14ac:dyDescent="0.25">
      <c r="L693973" s="472"/>
      <c r="M693973" s="472"/>
    </row>
    <row r="693974" spans="12:13" x14ac:dyDescent="0.25">
      <c r="L693974" s="472"/>
      <c r="M693974" s="472"/>
    </row>
    <row r="693975" spans="12:13" x14ac:dyDescent="0.25">
      <c r="L693975" s="472"/>
      <c r="M693975" s="472"/>
    </row>
    <row r="694047" spans="12:13" x14ac:dyDescent="0.25">
      <c r="L694047" s="472"/>
      <c r="M694047" s="472"/>
    </row>
    <row r="694048" spans="12:13" x14ac:dyDescent="0.25">
      <c r="L694048" s="472"/>
      <c r="M694048" s="472"/>
    </row>
    <row r="694049" spans="12:13" x14ac:dyDescent="0.25">
      <c r="L694049" s="472"/>
      <c r="M694049" s="472"/>
    </row>
    <row r="694121" spans="12:13" x14ac:dyDescent="0.25">
      <c r="L694121" s="472"/>
      <c r="M694121" s="472"/>
    </row>
    <row r="694122" spans="12:13" x14ac:dyDescent="0.25">
      <c r="L694122" s="472"/>
      <c r="M694122" s="472"/>
    </row>
    <row r="694123" spans="12:13" x14ac:dyDescent="0.25">
      <c r="L694123" s="472"/>
      <c r="M694123" s="472"/>
    </row>
    <row r="694195" spans="12:13" x14ac:dyDescent="0.25">
      <c r="L694195" s="472"/>
      <c r="M694195" s="472"/>
    </row>
    <row r="694196" spans="12:13" x14ac:dyDescent="0.25">
      <c r="L694196" s="472"/>
      <c r="M694196" s="472"/>
    </row>
    <row r="694197" spans="12:13" x14ac:dyDescent="0.25">
      <c r="L694197" s="472"/>
      <c r="M694197" s="472"/>
    </row>
    <row r="694269" spans="12:13" x14ac:dyDescent="0.25">
      <c r="L694269" s="472"/>
      <c r="M694269" s="472"/>
    </row>
    <row r="694270" spans="12:13" x14ac:dyDescent="0.25">
      <c r="L694270" s="472"/>
      <c r="M694270" s="472"/>
    </row>
    <row r="694271" spans="12:13" x14ac:dyDescent="0.25">
      <c r="L694271" s="472"/>
      <c r="M694271" s="472"/>
    </row>
    <row r="694343" spans="12:13" x14ac:dyDescent="0.25">
      <c r="L694343" s="472"/>
      <c r="M694343" s="472"/>
    </row>
    <row r="694344" spans="12:13" x14ac:dyDescent="0.25">
      <c r="L694344" s="472"/>
      <c r="M694344" s="472"/>
    </row>
    <row r="694345" spans="12:13" x14ac:dyDescent="0.25">
      <c r="L694345" s="472"/>
      <c r="M694345" s="472"/>
    </row>
    <row r="694417" spans="12:13" x14ac:dyDescent="0.25">
      <c r="L694417" s="472"/>
      <c r="M694417" s="472"/>
    </row>
    <row r="694418" spans="12:13" x14ac:dyDescent="0.25">
      <c r="L694418" s="472"/>
      <c r="M694418" s="472"/>
    </row>
    <row r="694419" spans="12:13" x14ac:dyDescent="0.25">
      <c r="L694419" s="472"/>
      <c r="M694419" s="472"/>
    </row>
    <row r="694491" spans="12:13" x14ac:dyDescent="0.25">
      <c r="L694491" s="472"/>
      <c r="M694491" s="472"/>
    </row>
    <row r="694492" spans="12:13" x14ac:dyDescent="0.25">
      <c r="L694492" s="472"/>
      <c r="M694492" s="472"/>
    </row>
    <row r="694493" spans="12:13" x14ac:dyDescent="0.25">
      <c r="L694493" s="472"/>
      <c r="M694493" s="472"/>
    </row>
    <row r="694565" spans="12:13" x14ac:dyDescent="0.25">
      <c r="L694565" s="472"/>
      <c r="M694565" s="472"/>
    </row>
    <row r="694566" spans="12:13" x14ac:dyDescent="0.25">
      <c r="L694566" s="472"/>
      <c r="M694566" s="472"/>
    </row>
    <row r="694567" spans="12:13" x14ac:dyDescent="0.25">
      <c r="L694567" s="472"/>
      <c r="M694567" s="472"/>
    </row>
    <row r="694639" spans="12:13" x14ac:dyDescent="0.25">
      <c r="L694639" s="472"/>
      <c r="M694639" s="472"/>
    </row>
    <row r="694640" spans="12:13" x14ac:dyDescent="0.25">
      <c r="L694640" s="472"/>
      <c r="M694640" s="472"/>
    </row>
    <row r="694641" spans="12:13" x14ac:dyDescent="0.25">
      <c r="L694641" s="472"/>
      <c r="M694641" s="472"/>
    </row>
    <row r="694713" spans="12:13" x14ac:dyDescent="0.25">
      <c r="L694713" s="472"/>
      <c r="M694713" s="472"/>
    </row>
    <row r="694714" spans="12:13" x14ac:dyDescent="0.25">
      <c r="L694714" s="472"/>
      <c r="M694714" s="472"/>
    </row>
    <row r="694715" spans="12:13" x14ac:dyDescent="0.25">
      <c r="L694715" s="472"/>
      <c r="M694715" s="472"/>
    </row>
    <row r="694787" spans="12:13" x14ac:dyDescent="0.25">
      <c r="L694787" s="472"/>
      <c r="M694787" s="472"/>
    </row>
    <row r="694788" spans="12:13" x14ac:dyDescent="0.25">
      <c r="L694788" s="472"/>
      <c r="M694788" s="472"/>
    </row>
    <row r="694789" spans="12:13" x14ac:dyDescent="0.25">
      <c r="L694789" s="472"/>
      <c r="M694789" s="472"/>
    </row>
    <row r="694861" spans="12:13" x14ac:dyDescent="0.25">
      <c r="L694861" s="472"/>
      <c r="M694861" s="472"/>
    </row>
    <row r="694862" spans="12:13" x14ac:dyDescent="0.25">
      <c r="L694862" s="472"/>
      <c r="M694862" s="472"/>
    </row>
    <row r="694863" spans="12:13" x14ac:dyDescent="0.25">
      <c r="L694863" s="472"/>
      <c r="M694863" s="472"/>
    </row>
    <row r="694935" spans="12:13" x14ac:dyDescent="0.25">
      <c r="L694935" s="472"/>
      <c r="M694935" s="472"/>
    </row>
    <row r="694936" spans="12:13" x14ac:dyDescent="0.25">
      <c r="L694936" s="472"/>
      <c r="M694936" s="472"/>
    </row>
    <row r="694937" spans="12:13" x14ac:dyDescent="0.25">
      <c r="L694937" s="472"/>
      <c r="M694937" s="472"/>
    </row>
    <row r="695009" spans="12:13" x14ac:dyDescent="0.25">
      <c r="L695009" s="472"/>
      <c r="M695009" s="472"/>
    </row>
    <row r="695010" spans="12:13" x14ac:dyDescent="0.25">
      <c r="L695010" s="472"/>
      <c r="M695010" s="472"/>
    </row>
    <row r="695011" spans="12:13" x14ac:dyDescent="0.25">
      <c r="L695011" s="472"/>
      <c r="M695011" s="472"/>
    </row>
    <row r="695083" spans="12:13" x14ac:dyDescent="0.25">
      <c r="L695083" s="472"/>
      <c r="M695083" s="472"/>
    </row>
    <row r="695084" spans="12:13" x14ac:dyDescent="0.25">
      <c r="L695084" s="472"/>
      <c r="M695084" s="472"/>
    </row>
    <row r="695085" spans="12:13" x14ac:dyDescent="0.25">
      <c r="L695085" s="472"/>
      <c r="M695085" s="472"/>
    </row>
    <row r="695157" spans="12:13" x14ac:dyDescent="0.25">
      <c r="L695157" s="472"/>
      <c r="M695157" s="472"/>
    </row>
    <row r="695158" spans="12:13" x14ac:dyDescent="0.25">
      <c r="L695158" s="472"/>
      <c r="M695158" s="472"/>
    </row>
    <row r="695159" spans="12:13" x14ac:dyDescent="0.25">
      <c r="L695159" s="472"/>
      <c r="M695159" s="472"/>
    </row>
    <row r="695231" spans="12:13" x14ac:dyDescent="0.25">
      <c r="L695231" s="472"/>
      <c r="M695231" s="472"/>
    </row>
    <row r="695232" spans="12:13" x14ac:dyDescent="0.25">
      <c r="L695232" s="472"/>
      <c r="M695232" s="472"/>
    </row>
    <row r="695233" spans="12:13" x14ac:dyDescent="0.25">
      <c r="L695233" s="472"/>
      <c r="M695233" s="472"/>
    </row>
    <row r="695305" spans="12:13" x14ac:dyDescent="0.25">
      <c r="L695305" s="472"/>
      <c r="M695305" s="472"/>
    </row>
    <row r="695306" spans="12:13" x14ac:dyDescent="0.25">
      <c r="L695306" s="472"/>
      <c r="M695306" s="472"/>
    </row>
    <row r="695307" spans="12:13" x14ac:dyDescent="0.25">
      <c r="L695307" s="472"/>
      <c r="M695307" s="472"/>
    </row>
    <row r="695379" spans="12:13" x14ac:dyDescent="0.25">
      <c r="L695379" s="472"/>
      <c r="M695379" s="472"/>
    </row>
    <row r="695380" spans="12:13" x14ac:dyDescent="0.25">
      <c r="L695380" s="472"/>
      <c r="M695380" s="472"/>
    </row>
    <row r="695381" spans="12:13" x14ac:dyDescent="0.25">
      <c r="L695381" s="472"/>
      <c r="M695381" s="472"/>
    </row>
    <row r="695453" spans="12:13" x14ac:dyDescent="0.25">
      <c r="L695453" s="472"/>
      <c r="M695453" s="472"/>
    </row>
    <row r="695454" spans="12:13" x14ac:dyDescent="0.25">
      <c r="L695454" s="472"/>
      <c r="M695454" s="472"/>
    </row>
    <row r="695455" spans="12:13" x14ac:dyDescent="0.25">
      <c r="L695455" s="472"/>
      <c r="M695455" s="472"/>
    </row>
    <row r="695527" spans="12:13" x14ac:dyDescent="0.25">
      <c r="L695527" s="472"/>
      <c r="M695527" s="472"/>
    </row>
    <row r="695528" spans="12:13" x14ac:dyDescent="0.25">
      <c r="L695528" s="472"/>
      <c r="M695528" s="472"/>
    </row>
    <row r="695529" spans="12:13" x14ac:dyDescent="0.25">
      <c r="L695529" s="472"/>
      <c r="M695529" s="472"/>
    </row>
    <row r="695601" spans="12:13" x14ac:dyDescent="0.25">
      <c r="L695601" s="472"/>
      <c r="M695601" s="472"/>
    </row>
    <row r="695602" spans="12:13" x14ac:dyDescent="0.25">
      <c r="L695602" s="472"/>
      <c r="M695602" s="472"/>
    </row>
    <row r="695603" spans="12:13" x14ac:dyDescent="0.25">
      <c r="L695603" s="472"/>
      <c r="M695603" s="472"/>
    </row>
    <row r="695675" spans="12:13" x14ac:dyDescent="0.25">
      <c r="L695675" s="472"/>
      <c r="M695675" s="472"/>
    </row>
    <row r="695676" spans="12:13" x14ac:dyDescent="0.25">
      <c r="L695676" s="472"/>
      <c r="M695676" s="472"/>
    </row>
    <row r="695677" spans="12:13" x14ac:dyDescent="0.25">
      <c r="L695677" s="472"/>
      <c r="M695677" s="472"/>
    </row>
    <row r="695749" spans="12:13" x14ac:dyDescent="0.25">
      <c r="L695749" s="472"/>
      <c r="M695749" s="472"/>
    </row>
    <row r="695750" spans="12:13" x14ac:dyDescent="0.25">
      <c r="L695750" s="472"/>
      <c r="M695750" s="472"/>
    </row>
    <row r="695751" spans="12:13" x14ac:dyDescent="0.25">
      <c r="L695751" s="472"/>
      <c r="M695751" s="472"/>
    </row>
    <row r="695823" spans="12:13" x14ac:dyDescent="0.25">
      <c r="L695823" s="472"/>
      <c r="M695823" s="472"/>
    </row>
    <row r="695824" spans="12:13" x14ac:dyDescent="0.25">
      <c r="L695824" s="472"/>
      <c r="M695824" s="472"/>
    </row>
    <row r="695825" spans="12:13" x14ac:dyDescent="0.25">
      <c r="L695825" s="472"/>
      <c r="M695825" s="472"/>
    </row>
    <row r="695897" spans="12:13" x14ac:dyDescent="0.25">
      <c r="L695897" s="472"/>
      <c r="M695897" s="472"/>
    </row>
    <row r="695898" spans="12:13" x14ac:dyDescent="0.25">
      <c r="L695898" s="472"/>
      <c r="M695898" s="472"/>
    </row>
    <row r="695899" spans="12:13" x14ac:dyDescent="0.25">
      <c r="L695899" s="472"/>
      <c r="M695899" s="472"/>
    </row>
    <row r="695971" spans="12:13" x14ac:dyDescent="0.25">
      <c r="L695971" s="472"/>
      <c r="M695971" s="472"/>
    </row>
    <row r="695972" spans="12:13" x14ac:dyDescent="0.25">
      <c r="L695972" s="472"/>
      <c r="M695972" s="472"/>
    </row>
    <row r="695973" spans="12:13" x14ac:dyDescent="0.25">
      <c r="L695973" s="472"/>
      <c r="M695973" s="472"/>
    </row>
    <row r="696045" spans="12:13" x14ac:dyDescent="0.25">
      <c r="L696045" s="472"/>
      <c r="M696045" s="472"/>
    </row>
    <row r="696046" spans="12:13" x14ac:dyDescent="0.25">
      <c r="L696046" s="472"/>
      <c r="M696046" s="472"/>
    </row>
    <row r="696047" spans="12:13" x14ac:dyDescent="0.25">
      <c r="L696047" s="472"/>
      <c r="M696047" s="472"/>
    </row>
    <row r="696119" spans="12:13" x14ac:dyDescent="0.25">
      <c r="L696119" s="472"/>
      <c r="M696119" s="472"/>
    </row>
    <row r="696120" spans="12:13" x14ac:dyDescent="0.25">
      <c r="L696120" s="472"/>
      <c r="M696120" s="472"/>
    </row>
    <row r="696121" spans="12:13" x14ac:dyDescent="0.25">
      <c r="L696121" s="472"/>
      <c r="M696121" s="472"/>
    </row>
    <row r="696193" spans="12:13" x14ac:dyDescent="0.25">
      <c r="L696193" s="472"/>
      <c r="M696193" s="472"/>
    </row>
    <row r="696194" spans="12:13" x14ac:dyDescent="0.25">
      <c r="L696194" s="472"/>
      <c r="M696194" s="472"/>
    </row>
    <row r="696195" spans="12:13" x14ac:dyDescent="0.25">
      <c r="L696195" s="472"/>
      <c r="M696195" s="472"/>
    </row>
    <row r="696267" spans="12:13" x14ac:dyDescent="0.25">
      <c r="L696267" s="472"/>
      <c r="M696267" s="472"/>
    </row>
    <row r="696268" spans="12:13" x14ac:dyDescent="0.25">
      <c r="L696268" s="472"/>
      <c r="M696268" s="472"/>
    </row>
    <row r="696269" spans="12:13" x14ac:dyDescent="0.25">
      <c r="L696269" s="472"/>
      <c r="M696269" s="472"/>
    </row>
    <row r="696341" spans="12:13" x14ac:dyDescent="0.25">
      <c r="L696341" s="472"/>
      <c r="M696341" s="472"/>
    </row>
    <row r="696342" spans="12:13" x14ac:dyDescent="0.25">
      <c r="L696342" s="472"/>
      <c r="M696342" s="472"/>
    </row>
    <row r="696343" spans="12:13" x14ac:dyDescent="0.25">
      <c r="L696343" s="472"/>
      <c r="M696343" s="472"/>
    </row>
    <row r="696415" spans="12:13" x14ac:dyDescent="0.25">
      <c r="L696415" s="472"/>
      <c r="M696415" s="472"/>
    </row>
    <row r="696416" spans="12:13" x14ac:dyDescent="0.25">
      <c r="L696416" s="472"/>
      <c r="M696416" s="472"/>
    </row>
    <row r="696417" spans="12:13" x14ac:dyDescent="0.25">
      <c r="L696417" s="472"/>
      <c r="M696417" s="472"/>
    </row>
    <row r="696489" spans="12:13" x14ac:dyDescent="0.25">
      <c r="L696489" s="472"/>
      <c r="M696489" s="472"/>
    </row>
    <row r="696490" spans="12:13" x14ac:dyDescent="0.25">
      <c r="L696490" s="472"/>
      <c r="M696490" s="472"/>
    </row>
    <row r="696491" spans="12:13" x14ac:dyDescent="0.25">
      <c r="L696491" s="472"/>
      <c r="M696491" s="472"/>
    </row>
    <row r="696563" spans="12:13" x14ac:dyDescent="0.25">
      <c r="L696563" s="472"/>
      <c r="M696563" s="472"/>
    </row>
    <row r="696564" spans="12:13" x14ac:dyDescent="0.25">
      <c r="L696564" s="472"/>
      <c r="M696564" s="472"/>
    </row>
    <row r="696565" spans="12:13" x14ac:dyDescent="0.25">
      <c r="L696565" s="472"/>
      <c r="M696565" s="472"/>
    </row>
    <row r="696637" spans="12:13" x14ac:dyDescent="0.25">
      <c r="L696637" s="472"/>
      <c r="M696637" s="472"/>
    </row>
    <row r="696638" spans="12:13" x14ac:dyDescent="0.25">
      <c r="L696638" s="472"/>
      <c r="M696638" s="472"/>
    </row>
    <row r="696639" spans="12:13" x14ac:dyDescent="0.25">
      <c r="L696639" s="472"/>
      <c r="M696639" s="472"/>
    </row>
    <row r="696711" spans="12:13" x14ac:dyDescent="0.25">
      <c r="L696711" s="472"/>
      <c r="M696711" s="472"/>
    </row>
    <row r="696712" spans="12:13" x14ac:dyDescent="0.25">
      <c r="L696712" s="472"/>
      <c r="M696712" s="472"/>
    </row>
    <row r="696713" spans="12:13" x14ac:dyDescent="0.25">
      <c r="L696713" s="472"/>
      <c r="M696713" s="472"/>
    </row>
    <row r="696785" spans="12:13" x14ac:dyDescent="0.25">
      <c r="L696785" s="472"/>
      <c r="M696785" s="472"/>
    </row>
    <row r="696786" spans="12:13" x14ac:dyDescent="0.25">
      <c r="L696786" s="472"/>
      <c r="M696786" s="472"/>
    </row>
    <row r="696787" spans="12:13" x14ac:dyDescent="0.25">
      <c r="L696787" s="472"/>
      <c r="M696787" s="472"/>
    </row>
    <row r="696859" spans="12:13" x14ac:dyDescent="0.25">
      <c r="L696859" s="472"/>
      <c r="M696859" s="472"/>
    </row>
    <row r="696860" spans="12:13" x14ac:dyDescent="0.25">
      <c r="L696860" s="472"/>
      <c r="M696860" s="472"/>
    </row>
    <row r="696861" spans="12:13" x14ac:dyDescent="0.25">
      <c r="L696861" s="472"/>
      <c r="M696861" s="472"/>
    </row>
    <row r="696933" spans="12:13" x14ac:dyDescent="0.25">
      <c r="L696933" s="472"/>
      <c r="M696933" s="472"/>
    </row>
    <row r="696934" spans="12:13" x14ac:dyDescent="0.25">
      <c r="L696934" s="472"/>
      <c r="M696934" s="472"/>
    </row>
    <row r="696935" spans="12:13" x14ac:dyDescent="0.25">
      <c r="L696935" s="472"/>
      <c r="M696935" s="472"/>
    </row>
    <row r="697007" spans="12:13" x14ac:dyDescent="0.25">
      <c r="L697007" s="472"/>
      <c r="M697007" s="472"/>
    </row>
    <row r="697008" spans="12:13" x14ac:dyDescent="0.25">
      <c r="L697008" s="472"/>
      <c r="M697008" s="472"/>
    </row>
    <row r="697009" spans="12:13" x14ac:dyDescent="0.25">
      <c r="L697009" s="472"/>
      <c r="M697009" s="472"/>
    </row>
    <row r="697081" spans="12:13" x14ac:dyDescent="0.25">
      <c r="L697081" s="472"/>
      <c r="M697081" s="472"/>
    </row>
    <row r="697082" spans="12:13" x14ac:dyDescent="0.25">
      <c r="L697082" s="472"/>
      <c r="M697082" s="472"/>
    </row>
    <row r="697083" spans="12:13" x14ac:dyDescent="0.25">
      <c r="L697083" s="472"/>
      <c r="M697083" s="472"/>
    </row>
    <row r="697155" spans="12:13" x14ac:dyDescent="0.25">
      <c r="L697155" s="472"/>
      <c r="M697155" s="472"/>
    </row>
    <row r="697156" spans="12:13" x14ac:dyDescent="0.25">
      <c r="L697156" s="472"/>
      <c r="M697156" s="472"/>
    </row>
    <row r="697157" spans="12:13" x14ac:dyDescent="0.25">
      <c r="L697157" s="472"/>
      <c r="M697157" s="472"/>
    </row>
    <row r="697229" spans="12:13" x14ac:dyDescent="0.25">
      <c r="L697229" s="472"/>
      <c r="M697229" s="472"/>
    </row>
    <row r="697230" spans="12:13" x14ac:dyDescent="0.25">
      <c r="L697230" s="472"/>
      <c r="M697230" s="472"/>
    </row>
    <row r="697231" spans="12:13" x14ac:dyDescent="0.25">
      <c r="L697231" s="472"/>
      <c r="M697231" s="472"/>
    </row>
    <row r="697303" spans="12:13" x14ac:dyDescent="0.25">
      <c r="L697303" s="472"/>
      <c r="M697303" s="472"/>
    </row>
    <row r="697304" spans="12:13" x14ac:dyDescent="0.25">
      <c r="L697304" s="472"/>
      <c r="M697304" s="472"/>
    </row>
    <row r="697305" spans="12:13" x14ac:dyDescent="0.25">
      <c r="L697305" s="472"/>
      <c r="M697305" s="472"/>
    </row>
    <row r="697377" spans="12:13" x14ac:dyDescent="0.25">
      <c r="L697377" s="472"/>
      <c r="M697377" s="472"/>
    </row>
    <row r="697378" spans="12:13" x14ac:dyDescent="0.25">
      <c r="L697378" s="472"/>
      <c r="M697378" s="472"/>
    </row>
    <row r="697379" spans="12:13" x14ac:dyDescent="0.25">
      <c r="L697379" s="472"/>
      <c r="M697379" s="472"/>
    </row>
    <row r="697451" spans="12:13" x14ac:dyDescent="0.25">
      <c r="L697451" s="472"/>
      <c r="M697451" s="472"/>
    </row>
    <row r="697452" spans="12:13" x14ac:dyDescent="0.25">
      <c r="L697452" s="472"/>
      <c r="M697452" s="472"/>
    </row>
    <row r="697453" spans="12:13" x14ac:dyDescent="0.25">
      <c r="L697453" s="472"/>
      <c r="M697453" s="472"/>
    </row>
    <row r="697525" spans="12:13" x14ac:dyDescent="0.25">
      <c r="L697525" s="472"/>
      <c r="M697525" s="472"/>
    </row>
    <row r="697526" spans="12:13" x14ac:dyDescent="0.25">
      <c r="L697526" s="472"/>
      <c r="M697526" s="472"/>
    </row>
    <row r="697527" spans="12:13" x14ac:dyDescent="0.25">
      <c r="L697527" s="472"/>
      <c r="M697527" s="472"/>
    </row>
    <row r="697599" spans="12:13" x14ac:dyDescent="0.25">
      <c r="L697599" s="472"/>
      <c r="M697599" s="472"/>
    </row>
    <row r="697600" spans="12:13" x14ac:dyDescent="0.25">
      <c r="L697600" s="472"/>
      <c r="M697600" s="472"/>
    </row>
    <row r="697601" spans="12:13" x14ac:dyDescent="0.25">
      <c r="L697601" s="472"/>
      <c r="M697601" s="472"/>
    </row>
    <row r="697673" spans="12:13" x14ac:dyDescent="0.25">
      <c r="L697673" s="472"/>
      <c r="M697673" s="472"/>
    </row>
    <row r="697674" spans="12:13" x14ac:dyDescent="0.25">
      <c r="L697674" s="472"/>
      <c r="M697674" s="472"/>
    </row>
    <row r="697675" spans="12:13" x14ac:dyDescent="0.25">
      <c r="L697675" s="472"/>
      <c r="M697675" s="472"/>
    </row>
    <row r="697747" spans="12:13" x14ac:dyDescent="0.25">
      <c r="L697747" s="472"/>
      <c r="M697747" s="472"/>
    </row>
    <row r="697748" spans="12:13" x14ac:dyDescent="0.25">
      <c r="L697748" s="472"/>
      <c r="M697748" s="472"/>
    </row>
    <row r="697749" spans="12:13" x14ac:dyDescent="0.25">
      <c r="L697749" s="472"/>
      <c r="M697749" s="472"/>
    </row>
    <row r="697821" spans="12:13" x14ac:dyDescent="0.25">
      <c r="L697821" s="472"/>
      <c r="M697821" s="472"/>
    </row>
    <row r="697822" spans="12:13" x14ac:dyDescent="0.25">
      <c r="L697822" s="472"/>
      <c r="M697822" s="472"/>
    </row>
    <row r="697823" spans="12:13" x14ac:dyDescent="0.25">
      <c r="L697823" s="472"/>
      <c r="M697823" s="472"/>
    </row>
    <row r="697895" spans="12:13" x14ac:dyDescent="0.25">
      <c r="L697895" s="472"/>
      <c r="M697895" s="472"/>
    </row>
    <row r="697896" spans="12:13" x14ac:dyDescent="0.25">
      <c r="L697896" s="472"/>
      <c r="M697896" s="472"/>
    </row>
    <row r="697897" spans="12:13" x14ac:dyDescent="0.25">
      <c r="L697897" s="472"/>
      <c r="M697897" s="472"/>
    </row>
    <row r="697969" spans="12:13" x14ac:dyDescent="0.25">
      <c r="L697969" s="472"/>
      <c r="M697969" s="472"/>
    </row>
    <row r="697970" spans="12:13" x14ac:dyDescent="0.25">
      <c r="L697970" s="472"/>
      <c r="M697970" s="472"/>
    </row>
    <row r="697971" spans="12:13" x14ac:dyDescent="0.25">
      <c r="L697971" s="472"/>
      <c r="M697971" s="472"/>
    </row>
    <row r="698043" spans="12:13" x14ac:dyDescent="0.25">
      <c r="L698043" s="472"/>
      <c r="M698043" s="472"/>
    </row>
    <row r="698044" spans="12:13" x14ac:dyDescent="0.25">
      <c r="L698044" s="472"/>
      <c r="M698044" s="472"/>
    </row>
    <row r="698045" spans="12:13" x14ac:dyDescent="0.25">
      <c r="L698045" s="472"/>
      <c r="M698045" s="472"/>
    </row>
    <row r="698117" spans="12:13" x14ac:dyDescent="0.25">
      <c r="L698117" s="472"/>
      <c r="M698117" s="472"/>
    </row>
    <row r="698118" spans="12:13" x14ac:dyDescent="0.25">
      <c r="L698118" s="472"/>
      <c r="M698118" s="472"/>
    </row>
    <row r="698119" spans="12:13" x14ac:dyDescent="0.25">
      <c r="L698119" s="472"/>
      <c r="M698119" s="472"/>
    </row>
    <row r="698191" spans="12:13" x14ac:dyDescent="0.25">
      <c r="L698191" s="472"/>
      <c r="M698191" s="472"/>
    </row>
    <row r="698192" spans="12:13" x14ac:dyDescent="0.25">
      <c r="L698192" s="472"/>
      <c r="M698192" s="472"/>
    </row>
    <row r="698193" spans="12:13" x14ac:dyDescent="0.25">
      <c r="L698193" s="472"/>
      <c r="M698193" s="472"/>
    </row>
    <row r="698265" spans="12:13" x14ac:dyDescent="0.25">
      <c r="L698265" s="472"/>
      <c r="M698265" s="472"/>
    </row>
    <row r="698266" spans="12:13" x14ac:dyDescent="0.25">
      <c r="L698266" s="472"/>
      <c r="M698266" s="472"/>
    </row>
    <row r="698267" spans="12:13" x14ac:dyDescent="0.25">
      <c r="L698267" s="472"/>
      <c r="M698267" s="472"/>
    </row>
    <row r="698339" spans="12:13" x14ac:dyDescent="0.25">
      <c r="L698339" s="472"/>
      <c r="M698339" s="472"/>
    </row>
    <row r="698340" spans="12:13" x14ac:dyDescent="0.25">
      <c r="L698340" s="472"/>
      <c r="M698340" s="472"/>
    </row>
    <row r="698341" spans="12:13" x14ac:dyDescent="0.25">
      <c r="L698341" s="472"/>
      <c r="M698341" s="472"/>
    </row>
    <row r="698413" spans="12:13" x14ac:dyDescent="0.25">
      <c r="L698413" s="472"/>
      <c r="M698413" s="472"/>
    </row>
    <row r="698414" spans="12:13" x14ac:dyDescent="0.25">
      <c r="L698414" s="472"/>
      <c r="M698414" s="472"/>
    </row>
    <row r="698415" spans="12:13" x14ac:dyDescent="0.25">
      <c r="L698415" s="472"/>
      <c r="M698415" s="472"/>
    </row>
    <row r="698487" spans="12:13" x14ac:dyDescent="0.25">
      <c r="L698487" s="472"/>
      <c r="M698487" s="472"/>
    </row>
    <row r="698488" spans="12:13" x14ac:dyDescent="0.25">
      <c r="L698488" s="472"/>
      <c r="M698488" s="472"/>
    </row>
    <row r="698489" spans="12:13" x14ac:dyDescent="0.25">
      <c r="L698489" s="472"/>
      <c r="M698489" s="472"/>
    </row>
    <row r="698561" spans="12:13" x14ac:dyDescent="0.25">
      <c r="L698561" s="472"/>
      <c r="M698561" s="472"/>
    </row>
    <row r="698562" spans="12:13" x14ac:dyDescent="0.25">
      <c r="L698562" s="472"/>
      <c r="M698562" s="472"/>
    </row>
    <row r="698563" spans="12:13" x14ac:dyDescent="0.25">
      <c r="L698563" s="472"/>
      <c r="M698563" s="472"/>
    </row>
    <row r="698635" spans="12:13" x14ac:dyDescent="0.25">
      <c r="L698635" s="472"/>
      <c r="M698635" s="472"/>
    </row>
    <row r="698636" spans="12:13" x14ac:dyDescent="0.25">
      <c r="L698636" s="472"/>
      <c r="M698636" s="472"/>
    </row>
    <row r="698637" spans="12:13" x14ac:dyDescent="0.25">
      <c r="L698637" s="472"/>
      <c r="M698637" s="472"/>
    </row>
    <row r="698709" spans="12:13" x14ac:dyDescent="0.25">
      <c r="L698709" s="472"/>
      <c r="M698709" s="472"/>
    </row>
    <row r="698710" spans="12:13" x14ac:dyDescent="0.25">
      <c r="L698710" s="472"/>
      <c r="M698710" s="472"/>
    </row>
    <row r="698711" spans="12:13" x14ac:dyDescent="0.25">
      <c r="L698711" s="472"/>
      <c r="M698711" s="472"/>
    </row>
    <row r="698783" spans="12:13" x14ac:dyDescent="0.25">
      <c r="L698783" s="472"/>
      <c r="M698783" s="472"/>
    </row>
    <row r="698784" spans="12:13" x14ac:dyDescent="0.25">
      <c r="L698784" s="472"/>
      <c r="M698784" s="472"/>
    </row>
    <row r="698785" spans="12:13" x14ac:dyDescent="0.25">
      <c r="L698785" s="472"/>
      <c r="M698785" s="472"/>
    </row>
    <row r="698857" spans="12:13" x14ac:dyDescent="0.25">
      <c r="L698857" s="472"/>
      <c r="M698857" s="472"/>
    </row>
    <row r="698858" spans="12:13" x14ac:dyDescent="0.25">
      <c r="L698858" s="472"/>
      <c r="M698858" s="472"/>
    </row>
    <row r="698859" spans="12:13" x14ac:dyDescent="0.25">
      <c r="L698859" s="472"/>
      <c r="M698859" s="472"/>
    </row>
    <row r="698931" spans="12:13" x14ac:dyDescent="0.25">
      <c r="L698931" s="472"/>
      <c r="M698931" s="472"/>
    </row>
    <row r="698932" spans="12:13" x14ac:dyDescent="0.25">
      <c r="L698932" s="472"/>
      <c r="M698932" s="472"/>
    </row>
    <row r="698933" spans="12:13" x14ac:dyDescent="0.25">
      <c r="L698933" s="472"/>
      <c r="M698933" s="472"/>
    </row>
    <row r="699005" spans="12:13" x14ac:dyDescent="0.25">
      <c r="L699005" s="472"/>
      <c r="M699005" s="472"/>
    </row>
    <row r="699006" spans="12:13" x14ac:dyDescent="0.25">
      <c r="L699006" s="472"/>
      <c r="M699006" s="472"/>
    </row>
    <row r="699007" spans="12:13" x14ac:dyDescent="0.25">
      <c r="L699007" s="472"/>
      <c r="M699007" s="472"/>
    </row>
    <row r="699079" spans="12:13" x14ac:dyDescent="0.25">
      <c r="L699079" s="472"/>
      <c r="M699079" s="472"/>
    </row>
    <row r="699080" spans="12:13" x14ac:dyDescent="0.25">
      <c r="L699080" s="472"/>
      <c r="M699080" s="472"/>
    </row>
    <row r="699081" spans="12:13" x14ac:dyDescent="0.25">
      <c r="L699081" s="472"/>
      <c r="M699081" s="472"/>
    </row>
    <row r="699153" spans="12:13" x14ac:dyDescent="0.25">
      <c r="L699153" s="472"/>
      <c r="M699153" s="472"/>
    </row>
    <row r="699154" spans="12:13" x14ac:dyDescent="0.25">
      <c r="L699154" s="472"/>
      <c r="M699154" s="472"/>
    </row>
    <row r="699155" spans="12:13" x14ac:dyDescent="0.25">
      <c r="L699155" s="472"/>
      <c r="M699155" s="472"/>
    </row>
    <row r="699227" spans="12:13" x14ac:dyDescent="0.25">
      <c r="L699227" s="472"/>
      <c r="M699227" s="472"/>
    </row>
    <row r="699228" spans="12:13" x14ac:dyDescent="0.25">
      <c r="L699228" s="472"/>
      <c r="M699228" s="472"/>
    </row>
    <row r="699229" spans="12:13" x14ac:dyDescent="0.25">
      <c r="L699229" s="472"/>
      <c r="M699229" s="472"/>
    </row>
    <row r="699301" spans="12:13" x14ac:dyDescent="0.25">
      <c r="L699301" s="472"/>
      <c r="M699301" s="472"/>
    </row>
    <row r="699302" spans="12:13" x14ac:dyDescent="0.25">
      <c r="L699302" s="472"/>
      <c r="M699302" s="472"/>
    </row>
    <row r="699303" spans="12:13" x14ac:dyDescent="0.25">
      <c r="L699303" s="472"/>
      <c r="M699303" s="472"/>
    </row>
    <row r="699375" spans="12:13" x14ac:dyDescent="0.25">
      <c r="L699375" s="472"/>
      <c r="M699375" s="472"/>
    </row>
    <row r="699376" spans="12:13" x14ac:dyDescent="0.25">
      <c r="L699376" s="472"/>
      <c r="M699376" s="472"/>
    </row>
    <row r="699377" spans="12:13" x14ac:dyDescent="0.25">
      <c r="L699377" s="472"/>
      <c r="M699377" s="472"/>
    </row>
    <row r="699449" spans="12:13" x14ac:dyDescent="0.25">
      <c r="L699449" s="472"/>
      <c r="M699449" s="472"/>
    </row>
    <row r="699450" spans="12:13" x14ac:dyDescent="0.25">
      <c r="L699450" s="472"/>
      <c r="M699450" s="472"/>
    </row>
    <row r="699451" spans="12:13" x14ac:dyDescent="0.25">
      <c r="L699451" s="472"/>
      <c r="M699451" s="472"/>
    </row>
    <row r="699523" spans="12:13" x14ac:dyDescent="0.25">
      <c r="L699523" s="472"/>
      <c r="M699523" s="472"/>
    </row>
    <row r="699524" spans="12:13" x14ac:dyDescent="0.25">
      <c r="L699524" s="472"/>
      <c r="M699524" s="472"/>
    </row>
    <row r="699525" spans="12:13" x14ac:dyDescent="0.25">
      <c r="L699525" s="472"/>
      <c r="M699525" s="472"/>
    </row>
    <row r="699597" spans="12:13" x14ac:dyDescent="0.25">
      <c r="L699597" s="472"/>
      <c r="M699597" s="472"/>
    </row>
    <row r="699598" spans="12:13" x14ac:dyDescent="0.25">
      <c r="L699598" s="472"/>
      <c r="M699598" s="472"/>
    </row>
    <row r="699599" spans="12:13" x14ac:dyDescent="0.25">
      <c r="L699599" s="472"/>
      <c r="M699599" s="472"/>
    </row>
    <row r="699671" spans="12:13" x14ac:dyDescent="0.25">
      <c r="L699671" s="472"/>
      <c r="M699671" s="472"/>
    </row>
    <row r="699672" spans="12:13" x14ac:dyDescent="0.25">
      <c r="L699672" s="472"/>
      <c r="M699672" s="472"/>
    </row>
    <row r="699673" spans="12:13" x14ac:dyDescent="0.25">
      <c r="L699673" s="472"/>
      <c r="M699673" s="472"/>
    </row>
    <row r="699745" spans="12:13" x14ac:dyDescent="0.25">
      <c r="L699745" s="472"/>
      <c r="M699745" s="472"/>
    </row>
    <row r="699746" spans="12:13" x14ac:dyDescent="0.25">
      <c r="L699746" s="472"/>
      <c r="M699746" s="472"/>
    </row>
    <row r="699747" spans="12:13" x14ac:dyDescent="0.25">
      <c r="L699747" s="472"/>
      <c r="M699747" s="472"/>
    </row>
    <row r="699819" spans="12:13" x14ac:dyDescent="0.25">
      <c r="L699819" s="472"/>
      <c r="M699819" s="472"/>
    </row>
    <row r="699820" spans="12:13" x14ac:dyDescent="0.25">
      <c r="L699820" s="472"/>
      <c r="M699820" s="472"/>
    </row>
    <row r="699821" spans="12:13" x14ac:dyDescent="0.25">
      <c r="L699821" s="472"/>
      <c r="M699821" s="472"/>
    </row>
    <row r="699893" spans="12:13" x14ac:dyDescent="0.25">
      <c r="L699893" s="472"/>
      <c r="M699893" s="472"/>
    </row>
    <row r="699894" spans="12:13" x14ac:dyDescent="0.25">
      <c r="L699894" s="472"/>
      <c r="M699894" s="472"/>
    </row>
    <row r="699895" spans="12:13" x14ac:dyDescent="0.25">
      <c r="L699895" s="472"/>
      <c r="M699895" s="472"/>
    </row>
    <row r="699967" spans="12:13" x14ac:dyDescent="0.25">
      <c r="L699967" s="472"/>
      <c r="M699967" s="472"/>
    </row>
    <row r="699968" spans="12:13" x14ac:dyDescent="0.25">
      <c r="L699968" s="472"/>
      <c r="M699968" s="472"/>
    </row>
    <row r="699969" spans="12:13" x14ac:dyDescent="0.25">
      <c r="L699969" s="472"/>
      <c r="M699969" s="472"/>
    </row>
    <row r="700041" spans="12:13" x14ac:dyDescent="0.25">
      <c r="L700041" s="472"/>
      <c r="M700041" s="472"/>
    </row>
    <row r="700042" spans="12:13" x14ac:dyDescent="0.25">
      <c r="L700042" s="472"/>
      <c r="M700042" s="472"/>
    </row>
    <row r="700043" spans="12:13" x14ac:dyDescent="0.25">
      <c r="L700043" s="472"/>
      <c r="M700043" s="472"/>
    </row>
    <row r="700115" spans="12:13" x14ac:dyDescent="0.25">
      <c r="L700115" s="472"/>
      <c r="M700115" s="472"/>
    </row>
    <row r="700116" spans="12:13" x14ac:dyDescent="0.25">
      <c r="L700116" s="472"/>
      <c r="M700116" s="472"/>
    </row>
    <row r="700117" spans="12:13" x14ac:dyDescent="0.25">
      <c r="L700117" s="472"/>
      <c r="M700117" s="472"/>
    </row>
    <row r="700189" spans="12:13" x14ac:dyDescent="0.25">
      <c r="L700189" s="472"/>
      <c r="M700189" s="472"/>
    </row>
    <row r="700190" spans="12:13" x14ac:dyDescent="0.25">
      <c r="L700190" s="472"/>
      <c r="M700190" s="472"/>
    </row>
    <row r="700191" spans="12:13" x14ac:dyDescent="0.25">
      <c r="L700191" s="472"/>
      <c r="M700191" s="472"/>
    </row>
    <row r="700263" spans="12:13" x14ac:dyDescent="0.25">
      <c r="L700263" s="472"/>
      <c r="M700263" s="472"/>
    </row>
    <row r="700264" spans="12:13" x14ac:dyDescent="0.25">
      <c r="L700264" s="472"/>
      <c r="M700264" s="472"/>
    </row>
    <row r="700265" spans="12:13" x14ac:dyDescent="0.25">
      <c r="L700265" s="472"/>
      <c r="M700265" s="472"/>
    </row>
    <row r="700337" spans="12:13" x14ac:dyDescent="0.25">
      <c r="L700337" s="472"/>
      <c r="M700337" s="472"/>
    </row>
    <row r="700338" spans="12:13" x14ac:dyDescent="0.25">
      <c r="L700338" s="472"/>
      <c r="M700338" s="472"/>
    </row>
    <row r="700339" spans="12:13" x14ac:dyDescent="0.25">
      <c r="L700339" s="472"/>
      <c r="M700339" s="472"/>
    </row>
    <row r="700411" spans="12:13" x14ac:dyDescent="0.25">
      <c r="L700411" s="472"/>
      <c r="M700411" s="472"/>
    </row>
    <row r="700412" spans="12:13" x14ac:dyDescent="0.25">
      <c r="L700412" s="472"/>
      <c r="M700412" s="472"/>
    </row>
    <row r="700413" spans="12:13" x14ac:dyDescent="0.25">
      <c r="L700413" s="472"/>
      <c r="M700413" s="472"/>
    </row>
    <row r="700485" spans="12:13" x14ac:dyDescent="0.25">
      <c r="L700485" s="472"/>
      <c r="M700485" s="472"/>
    </row>
    <row r="700486" spans="12:13" x14ac:dyDescent="0.25">
      <c r="L700486" s="472"/>
      <c r="M700486" s="472"/>
    </row>
    <row r="700487" spans="12:13" x14ac:dyDescent="0.25">
      <c r="L700487" s="472"/>
      <c r="M700487" s="472"/>
    </row>
    <row r="700559" spans="12:13" x14ac:dyDescent="0.25">
      <c r="L700559" s="472"/>
      <c r="M700559" s="472"/>
    </row>
    <row r="700560" spans="12:13" x14ac:dyDescent="0.25">
      <c r="L700560" s="472"/>
      <c r="M700560" s="472"/>
    </row>
    <row r="700561" spans="12:13" x14ac:dyDescent="0.25">
      <c r="L700561" s="472"/>
      <c r="M700561" s="472"/>
    </row>
    <row r="700633" spans="12:13" x14ac:dyDescent="0.25">
      <c r="L700633" s="472"/>
      <c r="M700633" s="472"/>
    </row>
    <row r="700634" spans="12:13" x14ac:dyDescent="0.25">
      <c r="L700634" s="472"/>
      <c r="M700634" s="472"/>
    </row>
    <row r="700635" spans="12:13" x14ac:dyDescent="0.25">
      <c r="L700635" s="472"/>
      <c r="M700635" s="472"/>
    </row>
    <row r="700707" spans="12:13" x14ac:dyDescent="0.25">
      <c r="L700707" s="472"/>
      <c r="M700707" s="472"/>
    </row>
    <row r="700708" spans="12:13" x14ac:dyDescent="0.25">
      <c r="L700708" s="472"/>
      <c r="M700708" s="472"/>
    </row>
    <row r="700709" spans="12:13" x14ac:dyDescent="0.25">
      <c r="L700709" s="472"/>
      <c r="M700709" s="472"/>
    </row>
    <row r="700781" spans="12:13" x14ac:dyDescent="0.25">
      <c r="L700781" s="472"/>
      <c r="M700781" s="472"/>
    </row>
    <row r="700782" spans="12:13" x14ac:dyDescent="0.25">
      <c r="L700782" s="472"/>
      <c r="M700782" s="472"/>
    </row>
    <row r="700783" spans="12:13" x14ac:dyDescent="0.25">
      <c r="L700783" s="472"/>
      <c r="M700783" s="472"/>
    </row>
    <row r="700855" spans="12:13" x14ac:dyDescent="0.25">
      <c r="L700855" s="472"/>
      <c r="M700855" s="472"/>
    </row>
    <row r="700856" spans="12:13" x14ac:dyDescent="0.25">
      <c r="L700856" s="472"/>
      <c r="M700856" s="472"/>
    </row>
    <row r="700857" spans="12:13" x14ac:dyDescent="0.25">
      <c r="L700857" s="472"/>
      <c r="M700857" s="472"/>
    </row>
    <row r="700929" spans="12:13" x14ac:dyDescent="0.25">
      <c r="L700929" s="472"/>
      <c r="M700929" s="472"/>
    </row>
    <row r="700930" spans="12:13" x14ac:dyDescent="0.25">
      <c r="L700930" s="472"/>
      <c r="M700930" s="472"/>
    </row>
    <row r="700931" spans="12:13" x14ac:dyDescent="0.25">
      <c r="L700931" s="472"/>
      <c r="M700931" s="472"/>
    </row>
    <row r="701003" spans="12:13" x14ac:dyDescent="0.25">
      <c r="L701003" s="472"/>
      <c r="M701003" s="472"/>
    </row>
    <row r="701004" spans="12:13" x14ac:dyDescent="0.25">
      <c r="L701004" s="472"/>
      <c r="M701004" s="472"/>
    </row>
    <row r="701005" spans="12:13" x14ac:dyDescent="0.25">
      <c r="L701005" s="472"/>
      <c r="M701005" s="472"/>
    </row>
    <row r="701077" spans="12:13" x14ac:dyDescent="0.25">
      <c r="L701077" s="472"/>
      <c r="M701077" s="472"/>
    </row>
    <row r="701078" spans="12:13" x14ac:dyDescent="0.25">
      <c r="L701078" s="472"/>
      <c r="M701078" s="472"/>
    </row>
    <row r="701079" spans="12:13" x14ac:dyDescent="0.25">
      <c r="L701079" s="472"/>
      <c r="M701079" s="472"/>
    </row>
    <row r="701151" spans="12:13" x14ac:dyDescent="0.25">
      <c r="L701151" s="472"/>
      <c r="M701151" s="472"/>
    </row>
    <row r="701152" spans="12:13" x14ac:dyDescent="0.25">
      <c r="L701152" s="472"/>
      <c r="M701152" s="472"/>
    </row>
    <row r="701153" spans="12:13" x14ac:dyDescent="0.25">
      <c r="L701153" s="472"/>
      <c r="M701153" s="472"/>
    </row>
    <row r="701225" spans="12:13" x14ac:dyDescent="0.25">
      <c r="L701225" s="472"/>
      <c r="M701225" s="472"/>
    </row>
    <row r="701226" spans="12:13" x14ac:dyDescent="0.25">
      <c r="L701226" s="472"/>
      <c r="M701226" s="472"/>
    </row>
    <row r="701227" spans="12:13" x14ac:dyDescent="0.25">
      <c r="L701227" s="472"/>
      <c r="M701227" s="472"/>
    </row>
    <row r="701299" spans="12:13" x14ac:dyDescent="0.25">
      <c r="L701299" s="472"/>
      <c r="M701299" s="472"/>
    </row>
    <row r="701300" spans="12:13" x14ac:dyDescent="0.25">
      <c r="L701300" s="472"/>
      <c r="M701300" s="472"/>
    </row>
    <row r="701301" spans="12:13" x14ac:dyDescent="0.25">
      <c r="L701301" s="472"/>
      <c r="M701301" s="472"/>
    </row>
    <row r="701373" spans="12:13" x14ac:dyDescent="0.25">
      <c r="L701373" s="472"/>
      <c r="M701373" s="472"/>
    </row>
    <row r="701374" spans="12:13" x14ac:dyDescent="0.25">
      <c r="L701374" s="472"/>
      <c r="M701374" s="472"/>
    </row>
    <row r="701375" spans="12:13" x14ac:dyDescent="0.25">
      <c r="L701375" s="472"/>
      <c r="M701375" s="472"/>
    </row>
    <row r="701447" spans="12:13" x14ac:dyDescent="0.25">
      <c r="L701447" s="472"/>
      <c r="M701447" s="472"/>
    </row>
    <row r="701448" spans="12:13" x14ac:dyDescent="0.25">
      <c r="L701448" s="472"/>
      <c r="M701448" s="472"/>
    </row>
    <row r="701449" spans="12:13" x14ac:dyDescent="0.25">
      <c r="L701449" s="472"/>
      <c r="M701449" s="472"/>
    </row>
    <row r="701521" spans="12:13" x14ac:dyDescent="0.25">
      <c r="L701521" s="472"/>
      <c r="M701521" s="472"/>
    </row>
    <row r="701522" spans="12:13" x14ac:dyDescent="0.25">
      <c r="L701522" s="472"/>
      <c r="M701522" s="472"/>
    </row>
    <row r="701523" spans="12:13" x14ac:dyDescent="0.25">
      <c r="L701523" s="472"/>
      <c r="M701523" s="472"/>
    </row>
    <row r="701595" spans="12:13" x14ac:dyDescent="0.25">
      <c r="L701595" s="472"/>
      <c r="M701595" s="472"/>
    </row>
    <row r="701596" spans="12:13" x14ac:dyDescent="0.25">
      <c r="L701596" s="472"/>
      <c r="M701596" s="472"/>
    </row>
    <row r="701597" spans="12:13" x14ac:dyDescent="0.25">
      <c r="L701597" s="472"/>
      <c r="M701597" s="472"/>
    </row>
    <row r="701669" spans="12:13" x14ac:dyDescent="0.25">
      <c r="L701669" s="472"/>
      <c r="M701669" s="472"/>
    </row>
    <row r="701670" spans="12:13" x14ac:dyDescent="0.25">
      <c r="L701670" s="472"/>
      <c r="M701670" s="472"/>
    </row>
    <row r="701671" spans="12:13" x14ac:dyDescent="0.25">
      <c r="L701671" s="472"/>
      <c r="M701671" s="472"/>
    </row>
    <row r="701743" spans="12:13" x14ac:dyDescent="0.25">
      <c r="L701743" s="472"/>
      <c r="M701743" s="472"/>
    </row>
    <row r="701744" spans="12:13" x14ac:dyDescent="0.25">
      <c r="L701744" s="472"/>
      <c r="M701744" s="472"/>
    </row>
    <row r="701745" spans="12:13" x14ac:dyDescent="0.25">
      <c r="L701745" s="472"/>
      <c r="M701745" s="472"/>
    </row>
    <row r="701817" spans="12:13" x14ac:dyDescent="0.25">
      <c r="L701817" s="472"/>
      <c r="M701817" s="472"/>
    </row>
    <row r="701818" spans="12:13" x14ac:dyDescent="0.25">
      <c r="L701818" s="472"/>
      <c r="M701818" s="472"/>
    </row>
    <row r="701819" spans="12:13" x14ac:dyDescent="0.25">
      <c r="L701819" s="472"/>
      <c r="M701819" s="472"/>
    </row>
    <row r="701891" spans="12:13" x14ac:dyDescent="0.25">
      <c r="L701891" s="472"/>
      <c r="M701891" s="472"/>
    </row>
    <row r="701892" spans="12:13" x14ac:dyDescent="0.25">
      <c r="L701892" s="472"/>
      <c r="M701892" s="472"/>
    </row>
    <row r="701893" spans="12:13" x14ac:dyDescent="0.25">
      <c r="L701893" s="472"/>
      <c r="M701893" s="472"/>
    </row>
    <row r="701965" spans="12:13" x14ac:dyDescent="0.25">
      <c r="L701965" s="472"/>
      <c r="M701965" s="472"/>
    </row>
    <row r="701966" spans="12:13" x14ac:dyDescent="0.25">
      <c r="L701966" s="472"/>
      <c r="M701966" s="472"/>
    </row>
    <row r="701967" spans="12:13" x14ac:dyDescent="0.25">
      <c r="L701967" s="472"/>
      <c r="M701967" s="472"/>
    </row>
    <row r="702039" spans="12:13" x14ac:dyDescent="0.25">
      <c r="L702039" s="472"/>
      <c r="M702039" s="472"/>
    </row>
    <row r="702040" spans="12:13" x14ac:dyDescent="0.25">
      <c r="L702040" s="472"/>
      <c r="M702040" s="472"/>
    </row>
    <row r="702041" spans="12:13" x14ac:dyDescent="0.25">
      <c r="L702041" s="472"/>
      <c r="M702041" s="472"/>
    </row>
    <row r="702113" spans="12:13" x14ac:dyDescent="0.25">
      <c r="L702113" s="472"/>
      <c r="M702113" s="472"/>
    </row>
    <row r="702114" spans="12:13" x14ac:dyDescent="0.25">
      <c r="L702114" s="472"/>
      <c r="M702114" s="472"/>
    </row>
    <row r="702115" spans="12:13" x14ac:dyDescent="0.25">
      <c r="L702115" s="472"/>
      <c r="M702115" s="472"/>
    </row>
    <row r="702187" spans="12:13" x14ac:dyDescent="0.25">
      <c r="L702187" s="472"/>
      <c r="M702187" s="472"/>
    </row>
    <row r="702188" spans="12:13" x14ac:dyDescent="0.25">
      <c r="L702188" s="472"/>
      <c r="M702188" s="472"/>
    </row>
    <row r="702189" spans="12:13" x14ac:dyDescent="0.25">
      <c r="L702189" s="472"/>
      <c r="M702189" s="472"/>
    </row>
    <row r="702261" spans="12:13" x14ac:dyDescent="0.25">
      <c r="L702261" s="472"/>
      <c r="M702261" s="472"/>
    </row>
    <row r="702262" spans="12:13" x14ac:dyDescent="0.25">
      <c r="L702262" s="472"/>
      <c r="M702262" s="472"/>
    </row>
    <row r="702263" spans="12:13" x14ac:dyDescent="0.25">
      <c r="L702263" s="472"/>
      <c r="M702263" s="472"/>
    </row>
    <row r="702335" spans="12:13" x14ac:dyDescent="0.25">
      <c r="L702335" s="472"/>
      <c r="M702335" s="472"/>
    </row>
    <row r="702336" spans="12:13" x14ac:dyDescent="0.25">
      <c r="L702336" s="472"/>
      <c r="M702336" s="472"/>
    </row>
    <row r="702337" spans="12:13" x14ac:dyDescent="0.25">
      <c r="L702337" s="472"/>
      <c r="M702337" s="472"/>
    </row>
    <row r="702409" spans="12:13" x14ac:dyDescent="0.25">
      <c r="L702409" s="472"/>
      <c r="M702409" s="472"/>
    </row>
    <row r="702410" spans="12:13" x14ac:dyDescent="0.25">
      <c r="L702410" s="472"/>
      <c r="M702410" s="472"/>
    </row>
    <row r="702411" spans="12:13" x14ac:dyDescent="0.25">
      <c r="L702411" s="472"/>
      <c r="M702411" s="472"/>
    </row>
    <row r="702483" spans="12:13" x14ac:dyDescent="0.25">
      <c r="L702483" s="472"/>
      <c r="M702483" s="472"/>
    </row>
    <row r="702484" spans="12:13" x14ac:dyDescent="0.25">
      <c r="L702484" s="472"/>
      <c r="M702484" s="472"/>
    </row>
    <row r="702485" spans="12:13" x14ac:dyDescent="0.25">
      <c r="L702485" s="472"/>
      <c r="M702485" s="472"/>
    </row>
    <row r="702557" spans="12:13" x14ac:dyDescent="0.25">
      <c r="L702557" s="472"/>
      <c r="M702557" s="472"/>
    </row>
    <row r="702558" spans="12:13" x14ac:dyDescent="0.25">
      <c r="L702558" s="472"/>
      <c r="M702558" s="472"/>
    </row>
    <row r="702559" spans="12:13" x14ac:dyDescent="0.25">
      <c r="L702559" s="472"/>
      <c r="M702559" s="472"/>
    </row>
    <row r="702631" spans="12:13" x14ac:dyDescent="0.25">
      <c r="L702631" s="472"/>
      <c r="M702631" s="472"/>
    </row>
    <row r="702632" spans="12:13" x14ac:dyDescent="0.25">
      <c r="L702632" s="472"/>
      <c r="M702632" s="472"/>
    </row>
    <row r="702633" spans="12:13" x14ac:dyDescent="0.25">
      <c r="L702633" s="472"/>
      <c r="M702633" s="472"/>
    </row>
    <row r="702705" spans="12:13" x14ac:dyDescent="0.25">
      <c r="L702705" s="472"/>
      <c r="M702705" s="472"/>
    </row>
    <row r="702706" spans="12:13" x14ac:dyDescent="0.25">
      <c r="L702706" s="472"/>
      <c r="M702706" s="472"/>
    </row>
    <row r="702707" spans="12:13" x14ac:dyDescent="0.25">
      <c r="L702707" s="472"/>
      <c r="M702707" s="472"/>
    </row>
    <row r="702779" spans="12:13" x14ac:dyDescent="0.25">
      <c r="L702779" s="472"/>
      <c r="M702779" s="472"/>
    </row>
    <row r="702780" spans="12:13" x14ac:dyDescent="0.25">
      <c r="L702780" s="472"/>
      <c r="M702780" s="472"/>
    </row>
    <row r="702781" spans="12:13" x14ac:dyDescent="0.25">
      <c r="L702781" s="472"/>
      <c r="M702781" s="472"/>
    </row>
    <row r="702853" spans="12:13" x14ac:dyDescent="0.25">
      <c r="L702853" s="472"/>
      <c r="M702853" s="472"/>
    </row>
    <row r="702854" spans="12:13" x14ac:dyDescent="0.25">
      <c r="L702854" s="472"/>
      <c r="M702854" s="472"/>
    </row>
    <row r="702855" spans="12:13" x14ac:dyDescent="0.25">
      <c r="L702855" s="472"/>
      <c r="M702855" s="472"/>
    </row>
    <row r="702927" spans="12:13" x14ac:dyDescent="0.25">
      <c r="L702927" s="472"/>
      <c r="M702927" s="472"/>
    </row>
    <row r="702928" spans="12:13" x14ac:dyDescent="0.25">
      <c r="L702928" s="472"/>
      <c r="M702928" s="472"/>
    </row>
    <row r="702929" spans="12:13" x14ac:dyDescent="0.25">
      <c r="L702929" s="472"/>
      <c r="M702929" s="472"/>
    </row>
    <row r="703001" spans="12:13" x14ac:dyDescent="0.25">
      <c r="L703001" s="472"/>
      <c r="M703001" s="472"/>
    </row>
    <row r="703002" spans="12:13" x14ac:dyDescent="0.25">
      <c r="L703002" s="472"/>
      <c r="M703002" s="472"/>
    </row>
    <row r="703003" spans="12:13" x14ac:dyDescent="0.25">
      <c r="L703003" s="472"/>
      <c r="M703003" s="472"/>
    </row>
    <row r="703075" spans="12:13" x14ac:dyDescent="0.25">
      <c r="L703075" s="472"/>
      <c r="M703075" s="472"/>
    </row>
    <row r="703076" spans="12:13" x14ac:dyDescent="0.25">
      <c r="L703076" s="472"/>
      <c r="M703076" s="472"/>
    </row>
    <row r="703077" spans="12:13" x14ac:dyDescent="0.25">
      <c r="L703077" s="472"/>
      <c r="M703077" s="472"/>
    </row>
    <row r="703149" spans="12:13" x14ac:dyDescent="0.25">
      <c r="L703149" s="472"/>
      <c r="M703149" s="472"/>
    </row>
    <row r="703150" spans="12:13" x14ac:dyDescent="0.25">
      <c r="L703150" s="472"/>
      <c r="M703150" s="472"/>
    </row>
    <row r="703151" spans="12:13" x14ac:dyDescent="0.25">
      <c r="L703151" s="472"/>
      <c r="M703151" s="472"/>
    </row>
    <row r="703223" spans="12:13" x14ac:dyDescent="0.25">
      <c r="L703223" s="472"/>
      <c r="M703223" s="472"/>
    </row>
    <row r="703224" spans="12:13" x14ac:dyDescent="0.25">
      <c r="L703224" s="472"/>
      <c r="M703224" s="472"/>
    </row>
    <row r="703225" spans="12:13" x14ac:dyDescent="0.25">
      <c r="L703225" s="472"/>
      <c r="M703225" s="472"/>
    </row>
    <row r="703297" spans="12:13" x14ac:dyDescent="0.25">
      <c r="L703297" s="472"/>
      <c r="M703297" s="472"/>
    </row>
    <row r="703298" spans="12:13" x14ac:dyDescent="0.25">
      <c r="L703298" s="472"/>
      <c r="M703298" s="472"/>
    </row>
    <row r="703299" spans="12:13" x14ac:dyDescent="0.25">
      <c r="L703299" s="472"/>
      <c r="M703299" s="472"/>
    </row>
    <row r="703371" spans="12:13" x14ac:dyDescent="0.25">
      <c r="L703371" s="472"/>
      <c r="M703371" s="472"/>
    </row>
    <row r="703372" spans="12:13" x14ac:dyDescent="0.25">
      <c r="L703372" s="472"/>
      <c r="M703372" s="472"/>
    </row>
    <row r="703373" spans="12:13" x14ac:dyDescent="0.25">
      <c r="L703373" s="472"/>
      <c r="M703373" s="472"/>
    </row>
    <row r="703445" spans="12:13" x14ac:dyDescent="0.25">
      <c r="L703445" s="472"/>
      <c r="M703445" s="472"/>
    </row>
    <row r="703446" spans="12:13" x14ac:dyDescent="0.25">
      <c r="L703446" s="472"/>
      <c r="M703446" s="472"/>
    </row>
    <row r="703447" spans="12:13" x14ac:dyDescent="0.25">
      <c r="L703447" s="472"/>
      <c r="M703447" s="472"/>
    </row>
    <row r="703519" spans="12:13" x14ac:dyDescent="0.25">
      <c r="L703519" s="472"/>
      <c r="M703519" s="472"/>
    </row>
    <row r="703520" spans="12:13" x14ac:dyDescent="0.25">
      <c r="L703520" s="472"/>
      <c r="M703520" s="472"/>
    </row>
    <row r="703521" spans="12:13" x14ac:dyDescent="0.25">
      <c r="L703521" s="472"/>
      <c r="M703521" s="472"/>
    </row>
    <row r="703593" spans="12:13" x14ac:dyDescent="0.25">
      <c r="L703593" s="472"/>
      <c r="M703593" s="472"/>
    </row>
    <row r="703594" spans="12:13" x14ac:dyDescent="0.25">
      <c r="L703594" s="472"/>
      <c r="M703594" s="472"/>
    </row>
    <row r="703595" spans="12:13" x14ac:dyDescent="0.25">
      <c r="L703595" s="472"/>
      <c r="M703595" s="472"/>
    </row>
    <row r="703667" spans="12:13" x14ac:dyDescent="0.25">
      <c r="L703667" s="472"/>
      <c r="M703667" s="472"/>
    </row>
    <row r="703668" spans="12:13" x14ac:dyDescent="0.25">
      <c r="L703668" s="472"/>
      <c r="M703668" s="472"/>
    </row>
    <row r="703669" spans="12:13" x14ac:dyDescent="0.25">
      <c r="L703669" s="472"/>
      <c r="M703669" s="472"/>
    </row>
    <row r="703741" spans="12:13" x14ac:dyDescent="0.25">
      <c r="L703741" s="472"/>
      <c r="M703741" s="472"/>
    </row>
    <row r="703742" spans="12:13" x14ac:dyDescent="0.25">
      <c r="L703742" s="472"/>
      <c r="M703742" s="472"/>
    </row>
    <row r="703743" spans="12:13" x14ac:dyDescent="0.25">
      <c r="L703743" s="472"/>
      <c r="M703743" s="472"/>
    </row>
    <row r="703815" spans="12:13" x14ac:dyDescent="0.25">
      <c r="L703815" s="472"/>
      <c r="M703815" s="472"/>
    </row>
    <row r="703816" spans="12:13" x14ac:dyDescent="0.25">
      <c r="L703816" s="472"/>
      <c r="M703816" s="472"/>
    </row>
    <row r="703817" spans="12:13" x14ac:dyDescent="0.25">
      <c r="L703817" s="472"/>
      <c r="M703817" s="472"/>
    </row>
    <row r="703889" spans="12:13" x14ac:dyDescent="0.25">
      <c r="L703889" s="472"/>
      <c r="M703889" s="472"/>
    </row>
    <row r="703890" spans="12:13" x14ac:dyDescent="0.25">
      <c r="L703890" s="472"/>
      <c r="M703890" s="472"/>
    </row>
    <row r="703891" spans="12:13" x14ac:dyDescent="0.25">
      <c r="L703891" s="472"/>
      <c r="M703891" s="472"/>
    </row>
    <row r="703963" spans="12:13" x14ac:dyDescent="0.25">
      <c r="L703963" s="472"/>
      <c r="M703963" s="472"/>
    </row>
    <row r="703964" spans="12:13" x14ac:dyDescent="0.25">
      <c r="L703964" s="472"/>
      <c r="M703964" s="472"/>
    </row>
    <row r="703965" spans="12:13" x14ac:dyDescent="0.25">
      <c r="L703965" s="472"/>
      <c r="M703965" s="472"/>
    </row>
    <row r="704037" spans="12:13" x14ac:dyDescent="0.25">
      <c r="L704037" s="472"/>
      <c r="M704037" s="472"/>
    </row>
    <row r="704038" spans="12:13" x14ac:dyDescent="0.25">
      <c r="L704038" s="472"/>
      <c r="M704038" s="472"/>
    </row>
    <row r="704039" spans="12:13" x14ac:dyDescent="0.25">
      <c r="L704039" s="472"/>
      <c r="M704039" s="472"/>
    </row>
    <row r="704111" spans="12:13" x14ac:dyDescent="0.25">
      <c r="L704111" s="472"/>
      <c r="M704111" s="472"/>
    </row>
    <row r="704112" spans="12:13" x14ac:dyDescent="0.25">
      <c r="L704112" s="472"/>
      <c r="M704112" s="472"/>
    </row>
    <row r="704113" spans="12:13" x14ac:dyDescent="0.25">
      <c r="L704113" s="472"/>
      <c r="M704113" s="472"/>
    </row>
    <row r="704185" spans="12:13" x14ac:dyDescent="0.25">
      <c r="L704185" s="472"/>
      <c r="M704185" s="472"/>
    </row>
    <row r="704186" spans="12:13" x14ac:dyDescent="0.25">
      <c r="L704186" s="472"/>
      <c r="M704186" s="472"/>
    </row>
    <row r="704187" spans="12:13" x14ac:dyDescent="0.25">
      <c r="L704187" s="472"/>
      <c r="M704187" s="472"/>
    </row>
    <row r="704259" spans="12:13" x14ac:dyDescent="0.25">
      <c r="L704259" s="472"/>
      <c r="M704259" s="472"/>
    </row>
    <row r="704260" spans="12:13" x14ac:dyDescent="0.25">
      <c r="L704260" s="472"/>
      <c r="M704260" s="472"/>
    </row>
    <row r="704261" spans="12:13" x14ac:dyDescent="0.25">
      <c r="L704261" s="472"/>
      <c r="M704261" s="472"/>
    </row>
    <row r="704333" spans="12:13" x14ac:dyDescent="0.25">
      <c r="L704333" s="472"/>
      <c r="M704333" s="472"/>
    </row>
    <row r="704334" spans="12:13" x14ac:dyDescent="0.25">
      <c r="L704334" s="472"/>
      <c r="M704334" s="472"/>
    </row>
    <row r="704335" spans="12:13" x14ac:dyDescent="0.25">
      <c r="L704335" s="472"/>
      <c r="M704335" s="472"/>
    </row>
    <row r="704407" spans="12:13" x14ac:dyDescent="0.25">
      <c r="L704407" s="472"/>
      <c r="M704407" s="472"/>
    </row>
    <row r="704408" spans="12:13" x14ac:dyDescent="0.25">
      <c r="L704408" s="472"/>
      <c r="M704408" s="472"/>
    </row>
    <row r="704409" spans="12:13" x14ac:dyDescent="0.25">
      <c r="L704409" s="472"/>
      <c r="M704409" s="472"/>
    </row>
    <row r="704481" spans="12:13" x14ac:dyDescent="0.25">
      <c r="L704481" s="472"/>
      <c r="M704481" s="472"/>
    </row>
    <row r="704482" spans="12:13" x14ac:dyDescent="0.25">
      <c r="L704482" s="472"/>
      <c r="M704482" s="472"/>
    </row>
    <row r="704483" spans="12:13" x14ac:dyDescent="0.25">
      <c r="L704483" s="472"/>
      <c r="M704483" s="472"/>
    </row>
    <row r="704555" spans="12:13" x14ac:dyDescent="0.25">
      <c r="L704555" s="472"/>
      <c r="M704555" s="472"/>
    </row>
    <row r="704556" spans="12:13" x14ac:dyDescent="0.25">
      <c r="L704556" s="472"/>
      <c r="M704556" s="472"/>
    </row>
    <row r="704557" spans="12:13" x14ac:dyDescent="0.25">
      <c r="L704557" s="472"/>
      <c r="M704557" s="472"/>
    </row>
    <row r="704629" spans="12:13" x14ac:dyDescent="0.25">
      <c r="L704629" s="472"/>
      <c r="M704629" s="472"/>
    </row>
    <row r="704630" spans="12:13" x14ac:dyDescent="0.25">
      <c r="L704630" s="472"/>
      <c r="M704630" s="472"/>
    </row>
    <row r="704631" spans="12:13" x14ac:dyDescent="0.25">
      <c r="L704631" s="472"/>
      <c r="M704631" s="472"/>
    </row>
    <row r="704703" spans="12:13" x14ac:dyDescent="0.25">
      <c r="L704703" s="472"/>
      <c r="M704703" s="472"/>
    </row>
    <row r="704704" spans="12:13" x14ac:dyDescent="0.25">
      <c r="L704704" s="472"/>
      <c r="M704704" s="472"/>
    </row>
    <row r="704705" spans="12:13" x14ac:dyDescent="0.25">
      <c r="L704705" s="472"/>
      <c r="M704705" s="472"/>
    </row>
    <row r="704777" spans="12:13" x14ac:dyDescent="0.25">
      <c r="L704777" s="472"/>
      <c r="M704777" s="472"/>
    </row>
    <row r="704778" spans="12:13" x14ac:dyDescent="0.25">
      <c r="L704778" s="472"/>
      <c r="M704778" s="472"/>
    </row>
    <row r="704779" spans="12:13" x14ac:dyDescent="0.25">
      <c r="L704779" s="472"/>
      <c r="M704779" s="472"/>
    </row>
    <row r="704851" spans="12:13" x14ac:dyDescent="0.25">
      <c r="L704851" s="472"/>
      <c r="M704851" s="472"/>
    </row>
    <row r="704852" spans="12:13" x14ac:dyDescent="0.25">
      <c r="L704852" s="472"/>
      <c r="M704852" s="472"/>
    </row>
    <row r="704853" spans="12:13" x14ac:dyDescent="0.25">
      <c r="L704853" s="472"/>
      <c r="M704853" s="472"/>
    </row>
    <row r="704925" spans="12:13" x14ac:dyDescent="0.25">
      <c r="L704925" s="472"/>
      <c r="M704925" s="472"/>
    </row>
    <row r="704926" spans="12:13" x14ac:dyDescent="0.25">
      <c r="L704926" s="472"/>
      <c r="M704926" s="472"/>
    </row>
    <row r="704927" spans="12:13" x14ac:dyDescent="0.25">
      <c r="L704927" s="472"/>
      <c r="M704927" s="472"/>
    </row>
    <row r="704999" spans="12:13" x14ac:dyDescent="0.25">
      <c r="L704999" s="472"/>
      <c r="M704999" s="472"/>
    </row>
    <row r="705000" spans="12:13" x14ac:dyDescent="0.25">
      <c r="L705000" s="472"/>
      <c r="M705000" s="472"/>
    </row>
    <row r="705001" spans="12:13" x14ac:dyDescent="0.25">
      <c r="L705001" s="472"/>
      <c r="M705001" s="472"/>
    </row>
    <row r="705073" spans="12:13" x14ac:dyDescent="0.25">
      <c r="L705073" s="472"/>
      <c r="M705073" s="472"/>
    </row>
    <row r="705074" spans="12:13" x14ac:dyDescent="0.25">
      <c r="L705074" s="472"/>
      <c r="M705074" s="472"/>
    </row>
    <row r="705075" spans="12:13" x14ac:dyDescent="0.25">
      <c r="L705075" s="472"/>
      <c r="M705075" s="472"/>
    </row>
    <row r="705147" spans="12:13" x14ac:dyDescent="0.25">
      <c r="L705147" s="472"/>
      <c r="M705147" s="472"/>
    </row>
    <row r="705148" spans="12:13" x14ac:dyDescent="0.25">
      <c r="L705148" s="472"/>
      <c r="M705148" s="472"/>
    </row>
    <row r="705149" spans="12:13" x14ac:dyDescent="0.25">
      <c r="L705149" s="472"/>
      <c r="M705149" s="472"/>
    </row>
    <row r="705221" spans="12:13" x14ac:dyDescent="0.25">
      <c r="L705221" s="472"/>
      <c r="M705221" s="472"/>
    </row>
    <row r="705222" spans="12:13" x14ac:dyDescent="0.25">
      <c r="L705222" s="472"/>
      <c r="M705222" s="472"/>
    </row>
    <row r="705223" spans="12:13" x14ac:dyDescent="0.25">
      <c r="L705223" s="472"/>
      <c r="M705223" s="472"/>
    </row>
    <row r="705295" spans="12:13" x14ac:dyDescent="0.25">
      <c r="L705295" s="472"/>
      <c r="M705295" s="472"/>
    </row>
    <row r="705296" spans="12:13" x14ac:dyDescent="0.25">
      <c r="L705296" s="472"/>
      <c r="M705296" s="472"/>
    </row>
    <row r="705297" spans="12:13" x14ac:dyDescent="0.25">
      <c r="L705297" s="472"/>
      <c r="M705297" s="472"/>
    </row>
    <row r="705369" spans="12:13" x14ac:dyDescent="0.25">
      <c r="L705369" s="472"/>
      <c r="M705369" s="472"/>
    </row>
    <row r="705370" spans="12:13" x14ac:dyDescent="0.25">
      <c r="L705370" s="472"/>
      <c r="M705370" s="472"/>
    </row>
    <row r="705371" spans="12:13" x14ac:dyDescent="0.25">
      <c r="L705371" s="472"/>
      <c r="M705371" s="472"/>
    </row>
    <row r="705443" spans="12:13" x14ac:dyDescent="0.25">
      <c r="L705443" s="472"/>
      <c r="M705443" s="472"/>
    </row>
    <row r="705444" spans="12:13" x14ac:dyDescent="0.25">
      <c r="L705444" s="472"/>
      <c r="M705444" s="472"/>
    </row>
    <row r="705445" spans="12:13" x14ac:dyDescent="0.25">
      <c r="L705445" s="472"/>
      <c r="M705445" s="472"/>
    </row>
    <row r="705517" spans="12:13" x14ac:dyDescent="0.25">
      <c r="L705517" s="472"/>
      <c r="M705517" s="472"/>
    </row>
    <row r="705518" spans="12:13" x14ac:dyDescent="0.25">
      <c r="L705518" s="472"/>
      <c r="M705518" s="472"/>
    </row>
    <row r="705519" spans="12:13" x14ac:dyDescent="0.25">
      <c r="L705519" s="472"/>
      <c r="M705519" s="472"/>
    </row>
    <row r="705591" spans="12:13" x14ac:dyDescent="0.25">
      <c r="L705591" s="472"/>
      <c r="M705591" s="472"/>
    </row>
    <row r="705592" spans="12:13" x14ac:dyDescent="0.25">
      <c r="L705592" s="472"/>
      <c r="M705592" s="472"/>
    </row>
    <row r="705593" spans="12:13" x14ac:dyDescent="0.25">
      <c r="L705593" s="472"/>
      <c r="M705593" s="472"/>
    </row>
    <row r="705665" spans="12:13" x14ac:dyDescent="0.25">
      <c r="L705665" s="472"/>
      <c r="M705665" s="472"/>
    </row>
    <row r="705666" spans="12:13" x14ac:dyDescent="0.25">
      <c r="L705666" s="472"/>
      <c r="M705666" s="472"/>
    </row>
    <row r="705667" spans="12:13" x14ac:dyDescent="0.25">
      <c r="L705667" s="472"/>
      <c r="M705667" s="472"/>
    </row>
    <row r="705739" spans="12:13" x14ac:dyDescent="0.25">
      <c r="L705739" s="472"/>
      <c r="M705739" s="472"/>
    </row>
    <row r="705740" spans="12:13" x14ac:dyDescent="0.25">
      <c r="L705740" s="472"/>
      <c r="M705740" s="472"/>
    </row>
    <row r="705741" spans="12:13" x14ac:dyDescent="0.25">
      <c r="L705741" s="472"/>
      <c r="M705741" s="472"/>
    </row>
    <row r="705813" spans="12:13" x14ac:dyDescent="0.25">
      <c r="L705813" s="472"/>
      <c r="M705813" s="472"/>
    </row>
    <row r="705814" spans="12:13" x14ac:dyDescent="0.25">
      <c r="L705814" s="472"/>
      <c r="M705814" s="472"/>
    </row>
    <row r="705815" spans="12:13" x14ac:dyDescent="0.25">
      <c r="L705815" s="472"/>
      <c r="M705815" s="472"/>
    </row>
    <row r="705887" spans="12:13" x14ac:dyDescent="0.25">
      <c r="L705887" s="472"/>
      <c r="M705887" s="472"/>
    </row>
    <row r="705888" spans="12:13" x14ac:dyDescent="0.25">
      <c r="L705888" s="472"/>
      <c r="M705888" s="472"/>
    </row>
    <row r="705889" spans="12:13" x14ac:dyDescent="0.25">
      <c r="L705889" s="472"/>
      <c r="M705889" s="472"/>
    </row>
    <row r="705961" spans="12:13" x14ac:dyDescent="0.25">
      <c r="L705961" s="472"/>
      <c r="M705961" s="472"/>
    </row>
    <row r="705962" spans="12:13" x14ac:dyDescent="0.25">
      <c r="L705962" s="472"/>
      <c r="M705962" s="472"/>
    </row>
    <row r="705963" spans="12:13" x14ac:dyDescent="0.25">
      <c r="L705963" s="472"/>
      <c r="M705963" s="472"/>
    </row>
    <row r="706035" spans="12:13" x14ac:dyDescent="0.25">
      <c r="L706035" s="472"/>
      <c r="M706035" s="472"/>
    </row>
    <row r="706036" spans="12:13" x14ac:dyDescent="0.25">
      <c r="L706036" s="472"/>
      <c r="M706036" s="472"/>
    </row>
    <row r="706037" spans="12:13" x14ac:dyDescent="0.25">
      <c r="L706037" s="472"/>
      <c r="M706037" s="472"/>
    </row>
    <row r="706109" spans="12:13" x14ac:dyDescent="0.25">
      <c r="L706109" s="472"/>
      <c r="M706109" s="472"/>
    </row>
    <row r="706110" spans="12:13" x14ac:dyDescent="0.25">
      <c r="L706110" s="472"/>
      <c r="M706110" s="472"/>
    </row>
    <row r="706111" spans="12:13" x14ac:dyDescent="0.25">
      <c r="L706111" s="472"/>
      <c r="M706111" s="472"/>
    </row>
    <row r="706183" spans="12:13" x14ac:dyDescent="0.25">
      <c r="L706183" s="472"/>
      <c r="M706183" s="472"/>
    </row>
    <row r="706184" spans="12:13" x14ac:dyDescent="0.25">
      <c r="L706184" s="472"/>
      <c r="M706184" s="472"/>
    </row>
    <row r="706185" spans="12:13" x14ac:dyDescent="0.25">
      <c r="L706185" s="472"/>
      <c r="M706185" s="472"/>
    </row>
    <row r="706257" spans="12:13" x14ac:dyDescent="0.25">
      <c r="L706257" s="472"/>
      <c r="M706257" s="472"/>
    </row>
    <row r="706258" spans="12:13" x14ac:dyDescent="0.25">
      <c r="L706258" s="472"/>
      <c r="M706258" s="472"/>
    </row>
    <row r="706259" spans="12:13" x14ac:dyDescent="0.25">
      <c r="L706259" s="472"/>
      <c r="M706259" s="472"/>
    </row>
    <row r="706331" spans="12:13" x14ac:dyDescent="0.25">
      <c r="L706331" s="472"/>
      <c r="M706331" s="472"/>
    </row>
    <row r="706332" spans="12:13" x14ac:dyDescent="0.25">
      <c r="L706332" s="472"/>
      <c r="M706332" s="472"/>
    </row>
    <row r="706333" spans="12:13" x14ac:dyDescent="0.25">
      <c r="L706333" s="472"/>
      <c r="M706333" s="472"/>
    </row>
    <row r="706405" spans="12:13" x14ac:dyDescent="0.25">
      <c r="L706405" s="472"/>
      <c r="M706405" s="472"/>
    </row>
    <row r="706406" spans="12:13" x14ac:dyDescent="0.25">
      <c r="L706406" s="472"/>
      <c r="M706406" s="472"/>
    </row>
    <row r="706407" spans="12:13" x14ac:dyDescent="0.25">
      <c r="L706407" s="472"/>
      <c r="M706407" s="472"/>
    </row>
    <row r="706479" spans="12:13" x14ac:dyDescent="0.25">
      <c r="L706479" s="472"/>
      <c r="M706479" s="472"/>
    </row>
    <row r="706480" spans="12:13" x14ac:dyDescent="0.25">
      <c r="L706480" s="472"/>
      <c r="M706480" s="472"/>
    </row>
    <row r="706481" spans="12:13" x14ac:dyDescent="0.25">
      <c r="L706481" s="472"/>
      <c r="M706481" s="472"/>
    </row>
    <row r="706553" spans="12:13" x14ac:dyDescent="0.25">
      <c r="L706553" s="472"/>
      <c r="M706553" s="472"/>
    </row>
    <row r="706554" spans="12:13" x14ac:dyDescent="0.25">
      <c r="L706554" s="472"/>
      <c r="M706554" s="472"/>
    </row>
    <row r="706555" spans="12:13" x14ac:dyDescent="0.25">
      <c r="L706555" s="472"/>
      <c r="M706555" s="472"/>
    </row>
    <row r="706627" spans="12:13" x14ac:dyDescent="0.25">
      <c r="L706627" s="472"/>
      <c r="M706627" s="472"/>
    </row>
    <row r="706628" spans="12:13" x14ac:dyDescent="0.25">
      <c r="L706628" s="472"/>
      <c r="M706628" s="472"/>
    </row>
    <row r="706629" spans="12:13" x14ac:dyDescent="0.25">
      <c r="L706629" s="472"/>
      <c r="M706629" s="472"/>
    </row>
    <row r="706701" spans="12:13" x14ac:dyDescent="0.25">
      <c r="L706701" s="472"/>
      <c r="M706701" s="472"/>
    </row>
    <row r="706702" spans="12:13" x14ac:dyDescent="0.25">
      <c r="L706702" s="472"/>
      <c r="M706702" s="472"/>
    </row>
    <row r="706703" spans="12:13" x14ac:dyDescent="0.25">
      <c r="L706703" s="472"/>
      <c r="M706703" s="472"/>
    </row>
    <row r="706775" spans="12:13" x14ac:dyDescent="0.25">
      <c r="L706775" s="472"/>
      <c r="M706775" s="472"/>
    </row>
    <row r="706776" spans="12:13" x14ac:dyDescent="0.25">
      <c r="L706776" s="472"/>
      <c r="M706776" s="472"/>
    </row>
    <row r="706777" spans="12:13" x14ac:dyDescent="0.25">
      <c r="L706777" s="472"/>
      <c r="M706777" s="472"/>
    </row>
    <row r="706849" spans="12:13" x14ac:dyDescent="0.25">
      <c r="L706849" s="472"/>
      <c r="M706849" s="472"/>
    </row>
    <row r="706850" spans="12:13" x14ac:dyDescent="0.25">
      <c r="L706850" s="472"/>
      <c r="M706850" s="472"/>
    </row>
    <row r="706851" spans="12:13" x14ac:dyDescent="0.25">
      <c r="L706851" s="472"/>
      <c r="M706851" s="472"/>
    </row>
    <row r="706923" spans="12:13" x14ac:dyDescent="0.25">
      <c r="L706923" s="472"/>
      <c r="M706923" s="472"/>
    </row>
    <row r="706924" spans="12:13" x14ac:dyDescent="0.25">
      <c r="L706924" s="472"/>
      <c r="M706924" s="472"/>
    </row>
    <row r="706925" spans="12:13" x14ac:dyDescent="0.25">
      <c r="L706925" s="472"/>
      <c r="M706925" s="472"/>
    </row>
    <row r="706997" spans="12:13" x14ac:dyDescent="0.25">
      <c r="L706997" s="472"/>
      <c r="M706997" s="472"/>
    </row>
    <row r="706998" spans="12:13" x14ac:dyDescent="0.25">
      <c r="L706998" s="472"/>
      <c r="M706998" s="472"/>
    </row>
    <row r="706999" spans="12:13" x14ac:dyDescent="0.25">
      <c r="L706999" s="472"/>
      <c r="M706999" s="472"/>
    </row>
    <row r="707071" spans="12:13" x14ac:dyDescent="0.25">
      <c r="L707071" s="472"/>
      <c r="M707071" s="472"/>
    </row>
    <row r="707072" spans="12:13" x14ac:dyDescent="0.25">
      <c r="L707072" s="472"/>
      <c r="M707072" s="472"/>
    </row>
    <row r="707073" spans="12:13" x14ac:dyDescent="0.25">
      <c r="L707073" s="472"/>
      <c r="M707073" s="472"/>
    </row>
    <row r="707145" spans="12:13" x14ac:dyDescent="0.25">
      <c r="L707145" s="472"/>
      <c r="M707145" s="472"/>
    </row>
    <row r="707146" spans="12:13" x14ac:dyDescent="0.25">
      <c r="L707146" s="472"/>
      <c r="M707146" s="472"/>
    </row>
    <row r="707147" spans="12:13" x14ac:dyDescent="0.25">
      <c r="L707147" s="472"/>
      <c r="M707147" s="472"/>
    </row>
    <row r="707219" spans="12:13" x14ac:dyDescent="0.25">
      <c r="L707219" s="472"/>
      <c r="M707219" s="472"/>
    </row>
    <row r="707220" spans="12:13" x14ac:dyDescent="0.25">
      <c r="L707220" s="472"/>
      <c r="M707220" s="472"/>
    </row>
    <row r="707221" spans="12:13" x14ac:dyDescent="0.25">
      <c r="L707221" s="472"/>
      <c r="M707221" s="472"/>
    </row>
    <row r="707293" spans="12:13" x14ac:dyDescent="0.25">
      <c r="L707293" s="472"/>
      <c r="M707293" s="472"/>
    </row>
    <row r="707294" spans="12:13" x14ac:dyDescent="0.25">
      <c r="L707294" s="472"/>
      <c r="M707294" s="472"/>
    </row>
    <row r="707295" spans="12:13" x14ac:dyDescent="0.25">
      <c r="L707295" s="472"/>
      <c r="M707295" s="472"/>
    </row>
    <row r="707367" spans="12:13" x14ac:dyDescent="0.25">
      <c r="L707367" s="472"/>
      <c r="M707367" s="472"/>
    </row>
    <row r="707368" spans="12:13" x14ac:dyDescent="0.25">
      <c r="L707368" s="472"/>
      <c r="M707368" s="472"/>
    </row>
    <row r="707369" spans="12:13" x14ac:dyDescent="0.25">
      <c r="L707369" s="472"/>
      <c r="M707369" s="472"/>
    </row>
    <row r="707441" spans="12:13" x14ac:dyDescent="0.25">
      <c r="L707441" s="472"/>
      <c r="M707441" s="472"/>
    </row>
    <row r="707442" spans="12:13" x14ac:dyDescent="0.25">
      <c r="L707442" s="472"/>
      <c r="M707442" s="472"/>
    </row>
    <row r="707443" spans="12:13" x14ac:dyDescent="0.25">
      <c r="L707443" s="472"/>
      <c r="M707443" s="472"/>
    </row>
    <row r="707515" spans="12:13" x14ac:dyDescent="0.25">
      <c r="L707515" s="472"/>
      <c r="M707515" s="472"/>
    </row>
    <row r="707516" spans="12:13" x14ac:dyDescent="0.25">
      <c r="L707516" s="472"/>
      <c r="M707516" s="472"/>
    </row>
    <row r="707517" spans="12:13" x14ac:dyDescent="0.25">
      <c r="L707517" s="472"/>
      <c r="M707517" s="472"/>
    </row>
    <row r="707589" spans="12:13" x14ac:dyDescent="0.25">
      <c r="L707589" s="472"/>
      <c r="M707589" s="472"/>
    </row>
    <row r="707590" spans="12:13" x14ac:dyDescent="0.25">
      <c r="L707590" s="472"/>
      <c r="M707590" s="472"/>
    </row>
    <row r="707591" spans="12:13" x14ac:dyDescent="0.25">
      <c r="L707591" s="472"/>
      <c r="M707591" s="472"/>
    </row>
    <row r="707663" spans="12:13" x14ac:dyDescent="0.25">
      <c r="L707663" s="472"/>
      <c r="M707663" s="472"/>
    </row>
    <row r="707664" spans="12:13" x14ac:dyDescent="0.25">
      <c r="L707664" s="472"/>
      <c r="M707664" s="472"/>
    </row>
    <row r="707665" spans="12:13" x14ac:dyDescent="0.25">
      <c r="L707665" s="472"/>
      <c r="M707665" s="472"/>
    </row>
    <row r="707737" spans="12:13" x14ac:dyDescent="0.25">
      <c r="L707737" s="472"/>
      <c r="M707737" s="472"/>
    </row>
    <row r="707738" spans="12:13" x14ac:dyDescent="0.25">
      <c r="L707738" s="472"/>
      <c r="M707738" s="472"/>
    </row>
    <row r="707739" spans="12:13" x14ac:dyDescent="0.25">
      <c r="L707739" s="472"/>
      <c r="M707739" s="472"/>
    </row>
    <row r="707811" spans="12:13" x14ac:dyDescent="0.25">
      <c r="L707811" s="472"/>
      <c r="M707811" s="472"/>
    </row>
    <row r="707812" spans="12:13" x14ac:dyDescent="0.25">
      <c r="L707812" s="472"/>
      <c r="M707812" s="472"/>
    </row>
    <row r="707813" spans="12:13" x14ac:dyDescent="0.25">
      <c r="L707813" s="472"/>
      <c r="M707813" s="472"/>
    </row>
    <row r="707885" spans="12:13" x14ac:dyDescent="0.25">
      <c r="L707885" s="472"/>
      <c r="M707885" s="472"/>
    </row>
    <row r="707886" spans="12:13" x14ac:dyDescent="0.25">
      <c r="L707886" s="472"/>
      <c r="M707886" s="472"/>
    </row>
    <row r="707887" spans="12:13" x14ac:dyDescent="0.25">
      <c r="L707887" s="472"/>
      <c r="M707887" s="472"/>
    </row>
    <row r="707959" spans="12:13" x14ac:dyDescent="0.25">
      <c r="L707959" s="472"/>
      <c r="M707959" s="472"/>
    </row>
    <row r="707960" spans="12:13" x14ac:dyDescent="0.25">
      <c r="L707960" s="472"/>
      <c r="M707960" s="472"/>
    </row>
    <row r="707961" spans="12:13" x14ac:dyDescent="0.25">
      <c r="L707961" s="472"/>
      <c r="M707961" s="472"/>
    </row>
    <row r="708033" spans="12:13" x14ac:dyDescent="0.25">
      <c r="L708033" s="472"/>
      <c r="M708033" s="472"/>
    </row>
    <row r="708034" spans="12:13" x14ac:dyDescent="0.25">
      <c r="L708034" s="472"/>
      <c r="M708034" s="472"/>
    </row>
    <row r="708035" spans="12:13" x14ac:dyDescent="0.25">
      <c r="L708035" s="472"/>
      <c r="M708035" s="472"/>
    </row>
    <row r="708107" spans="12:13" x14ac:dyDescent="0.25">
      <c r="L708107" s="472"/>
      <c r="M708107" s="472"/>
    </row>
    <row r="708108" spans="12:13" x14ac:dyDescent="0.25">
      <c r="L708108" s="472"/>
      <c r="M708108" s="472"/>
    </row>
    <row r="708109" spans="12:13" x14ac:dyDescent="0.25">
      <c r="L708109" s="472"/>
      <c r="M708109" s="472"/>
    </row>
    <row r="708181" spans="12:13" x14ac:dyDescent="0.25">
      <c r="L708181" s="472"/>
      <c r="M708181" s="472"/>
    </row>
    <row r="708182" spans="12:13" x14ac:dyDescent="0.25">
      <c r="L708182" s="472"/>
      <c r="M708182" s="472"/>
    </row>
    <row r="708183" spans="12:13" x14ac:dyDescent="0.25">
      <c r="L708183" s="472"/>
      <c r="M708183" s="472"/>
    </row>
    <row r="708255" spans="12:13" x14ac:dyDescent="0.25">
      <c r="L708255" s="472"/>
      <c r="M708255" s="472"/>
    </row>
    <row r="708256" spans="12:13" x14ac:dyDescent="0.25">
      <c r="L708256" s="472"/>
      <c r="M708256" s="472"/>
    </row>
    <row r="708257" spans="12:13" x14ac:dyDescent="0.25">
      <c r="L708257" s="472"/>
      <c r="M708257" s="472"/>
    </row>
    <row r="708329" spans="12:13" x14ac:dyDescent="0.25">
      <c r="L708329" s="472"/>
      <c r="M708329" s="472"/>
    </row>
    <row r="708330" spans="12:13" x14ac:dyDescent="0.25">
      <c r="L708330" s="472"/>
      <c r="M708330" s="472"/>
    </row>
    <row r="708331" spans="12:13" x14ac:dyDescent="0.25">
      <c r="L708331" s="472"/>
      <c r="M708331" s="472"/>
    </row>
    <row r="708403" spans="12:13" x14ac:dyDescent="0.25">
      <c r="L708403" s="472"/>
      <c r="M708403" s="472"/>
    </row>
    <row r="708404" spans="12:13" x14ac:dyDescent="0.25">
      <c r="L708404" s="472"/>
      <c r="M708404" s="472"/>
    </row>
    <row r="708405" spans="12:13" x14ac:dyDescent="0.25">
      <c r="L708405" s="472"/>
      <c r="M708405" s="472"/>
    </row>
    <row r="708477" spans="12:13" x14ac:dyDescent="0.25">
      <c r="L708477" s="472"/>
      <c r="M708477" s="472"/>
    </row>
    <row r="708478" spans="12:13" x14ac:dyDescent="0.25">
      <c r="L708478" s="472"/>
      <c r="M708478" s="472"/>
    </row>
    <row r="708479" spans="12:13" x14ac:dyDescent="0.25">
      <c r="L708479" s="472"/>
      <c r="M708479" s="472"/>
    </row>
    <row r="708551" spans="12:13" x14ac:dyDescent="0.25">
      <c r="L708551" s="472"/>
      <c r="M708551" s="472"/>
    </row>
    <row r="708552" spans="12:13" x14ac:dyDescent="0.25">
      <c r="L708552" s="472"/>
      <c r="M708552" s="472"/>
    </row>
    <row r="708553" spans="12:13" x14ac:dyDescent="0.25">
      <c r="L708553" s="472"/>
      <c r="M708553" s="472"/>
    </row>
    <row r="708625" spans="12:13" x14ac:dyDescent="0.25">
      <c r="L708625" s="472"/>
      <c r="M708625" s="472"/>
    </row>
    <row r="708626" spans="12:13" x14ac:dyDescent="0.25">
      <c r="L708626" s="472"/>
      <c r="M708626" s="472"/>
    </row>
    <row r="708627" spans="12:13" x14ac:dyDescent="0.25">
      <c r="L708627" s="472"/>
      <c r="M708627" s="472"/>
    </row>
    <row r="708699" spans="12:13" x14ac:dyDescent="0.25">
      <c r="L708699" s="472"/>
      <c r="M708699" s="472"/>
    </row>
    <row r="708700" spans="12:13" x14ac:dyDescent="0.25">
      <c r="L708700" s="472"/>
      <c r="M708700" s="472"/>
    </row>
    <row r="708701" spans="12:13" x14ac:dyDescent="0.25">
      <c r="L708701" s="472"/>
      <c r="M708701" s="472"/>
    </row>
    <row r="708773" spans="12:13" x14ac:dyDescent="0.25">
      <c r="L708773" s="472"/>
      <c r="M708773" s="472"/>
    </row>
    <row r="708774" spans="12:13" x14ac:dyDescent="0.25">
      <c r="L708774" s="472"/>
      <c r="M708774" s="472"/>
    </row>
    <row r="708775" spans="12:13" x14ac:dyDescent="0.25">
      <c r="L708775" s="472"/>
      <c r="M708775" s="472"/>
    </row>
    <row r="708847" spans="12:13" x14ac:dyDescent="0.25">
      <c r="L708847" s="472"/>
      <c r="M708847" s="472"/>
    </row>
    <row r="708848" spans="12:13" x14ac:dyDescent="0.25">
      <c r="L708848" s="472"/>
      <c r="M708848" s="472"/>
    </row>
    <row r="708849" spans="12:13" x14ac:dyDescent="0.25">
      <c r="L708849" s="472"/>
      <c r="M708849" s="472"/>
    </row>
    <row r="708921" spans="12:13" x14ac:dyDescent="0.25">
      <c r="L708921" s="472"/>
      <c r="M708921" s="472"/>
    </row>
    <row r="708922" spans="12:13" x14ac:dyDescent="0.25">
      <c r="L708922" s="472"/>
      <c r="M708922" s="472"/>
    </row>
    <row r="708923" spans="12:13" x14ac:dyDescent="0.25">
      <c r="L708923" s="472"/>
      <c r="M708923" s="472"/>
    </row>
    <row r="708995" spans="12:13" x14ac:dyDescent="0.25">
      <c r="L708995" s="472"/>
      <c r="M708995" s="472"/>
    </row>
    <row r="708996" spans="12:13" x14ac:dyDescent="0.25">
      <c r="L708996" s="472"/>
      <c r="M708996" s="472"/>
    </row>
    <row r="708997" spans="12:13" x14ac:dyDescent="0.25">
      <c r="L708997" s="472"/>
      <c r="M708997" s="472"/>
    </row>
    <row r="709069" spans="12:13" x14ac:dyDescent="0.25">
      <c r="L709069" s="472"/>
      <c r="M709069" s="472"/>
    </row>
    <row r="709070" spans="12:13" x14ac:dyDescent="0.25">
      <c r="L709070" s="472"/>
      <c r="M709070" s="472"/>
    </row>
    <row r="709071" spans="12:13" x14ac:dyDescent="0.25">
      <c r="L709071" s="472"/>
      <c r="M709071" s="472"/>
    </row>
    <row r="709143" spans="12:13" x14ac:dyDescent="0.25">
      <c r="L709143" s="472"/>
      <c r="M709143" s="472"/>
    </row>
    <row r="709144" spans="12:13" x14ac:dyDescent="0.25">
      <c r="L709144" s="472"/>
      <c r="M709144" s="472"/>
    </row>
    <row r="709145" spans="12:13" x14ac:dyDescent="0.25">
      <c r="L709145" s="472"/>
      <c r="M709145" s="472"/>
    </row>
    <row r="709217" spans="12:13" x14ac:dyDescent="0.25">
      <c r="L709217" s="472"/>
      <c r="M709217" s="472"/>
    </row>
    <row r="709218" spans="12:13" x14ac:dyDescent="0.25">
      <c r="L709218" s="472"/>
      <c r="M709218" s="472"/>
    </row>
    <row r="709219" spans="12:13" x14ac:dyDescent="0.25">
      <c r="L709219" s="472"/>
      <c r="M709219" s="472"/>
    </row>
    <row r="709291" spans="12:13" x14ac:dyDescent="0.25">
      <c r="L709291" s="472"/>
      <c r="M709291" s="472"/>
    </row>
    <row r="709292" spans="12:13" x14ac:dyDescent="0.25">
      <c r="L709292" s="472"/>
      <c r="M709292" s="472"/>
    </row>
    <row r="709293" spans="12:13" x14ac:dyDescent="0.25">
      <c r="L709293" s="472"/>
      <c r="M709293" s="472"/>
    </row>
    <row r="709365" spans="12:13" x14ac:dyDescent="0.25">
      <c r="L709365" s="472"/>
      <c r="M709365" s="472"/>
    </row>
    <row r="709366" spans="12:13" x14ac:dyDescent="0.25">
      <c r="L709366" s="472"/>
      <c r="M709366" s="472"/>
    </row>
    <row r="709367" spans="12:13" x14ac:dyDescent="0.25">
      <c r="L709367" s="472"/>
      <c r="M709367" s="472"/>
    </row>
    <row r="709439" spans="12:13" x14ac:dyDescent="0.25">
      <c r="L709439" s="472"/>
      <c r="M709439" s="472"/>
    </row>
    <row r="709440" spans="12:13" x14ac:dyDescent="0.25">
      <c r="L709440" s="472"/>
      <c r="M709440" s="472"/>
    </row>
    <row r="709441" spans="12:13" x14ac:dyDescent="0.25">
      <c r="L709441" s="472"/>
      <c r="M709441" s="472"/>
    </row>
    <row r="709513" spans="12:13" x14ac:dyDescent="0.25">
      <c r="L709513" s="472"/>
      <c r="M709513" s="472"/>
    </row>
    <row r="709514" spans="12:13" x14ac:dyDescent="0.25">
      <c r="L709514" s="472"/>
      <c r="M709514" s="472"/>
    </row>
    <row r="709515" spans="12:13" x14ac:dyDescent="0.25">
      <c r="L709515" s="472"/>
      <c r="M709515" s="472"/>
    </row>
    <row r="709587" spans="12:13" x14ac:dyDescent="0.25">
      <c r="L709587" s="472"/>
      <c r="M709587" s="472"/>
    </row>
    <row r="709588" spans="12:13" x14ac:dyDescent="0.25">
      <c r="L709588" s="472"/>
      <c r="M709588" s="472"/>
    </row>
    <row r="709589" spans="12:13" x14ac:dyDescent="0.25">
      <c r="L709589" s="472"/>
      <c r="M709589" s="472"/>
    </row>
    <row r="709661" spans="12:13" x14ac:dyDescent="0.25">
      <c r="L709661" s="472"/>
      <c r="M709661" s="472"/>
    </row>
    <row r="709662" spans="12:13" x14ac:dyDescent="0.25">
      <c r="L709662" s="472"/>
      <c r="M709662" s="472"/>
    </row>
    <row r="709663" spans="12:13" x14ac:dyDescent="0.25">
      <c r="L709663" s="472"/>
      <c r="M709663" s="472"/>
    </row>
    <row r="709735" spans="12:13" x14ac:dyDescent="0.25">
      <c r="L709735" s="472"/>
      <c r="M709735" s="472"/>
    </row>
    <row r="709736" spans="12:13" x14ac:dyDescent="0.25">
      <c r="L709736" s="472"/>
      <c r="M709736" s="472"/>
    </row>
    <row r="709737" spans="12:13" x14ac:dyDescent="0.25">
      <c r="L709737" s="472"/>
      <c r="M709737" s="472"/>
    </row>
    <row r="709809" spans="12:13" x14ac:dyDescent="0.25">
      <c r="L709809" s="472"/>
      <c r="M709809" s="472"/>
    </row>
    <row r="709810" spans="12:13" x14ac:dyDescent="0.25">
      <c r="L709810" s="472"/>
      <c r="M709810" s="472"/>
    </row>
    <row r="709811" spans="12:13" x14ac:dyDescent="0.25">
      <c r="L709811" s="472"/>
      <c r="M709811" s="472"/>
    </row>
    <row r="709883" spans="12:13" x14ac:dyDescent="0.25">
      <c r="L709883" s="472"/>
      <c r="M709883" s="472"/>
    </row>
    <row r="709884" spans="12:13" x14ac:dyDescent="0.25">
      <c r="L709884" s="472"/>
      <c r="M709884" s="472"/>
    </row>
    <row r="709885" spans="12:13" x14ac:dyDescent="0.25">
      <c r="L709885" s="472"/>
      <c r="M709885" s="472"/>
    </row>
    <row r="709957" spans="12:13" x14ac:dyDescent="0.25">
      <c r="L709957" s="472"/>
      <c r="M709957" s="472"/>
    </row>
    <row r="709958" spans="12:13" x14ac:dyDescent="0.25">
      <c r="L709958" s="472"/>
      <c r="M709958" s="472"/>
    </row>
    <row r="709959" spans="12:13" x14ac:dyDescent="0.25">
      <c r="L709959" s="472"/>
      <c r="M709959" s="472"/>
    </row>
    <row r="710031" spans="12:13" x14ac:dyDescent="0.25">
      <c r="L710031" s="472"/>
      <c r="M710031" s="472"/>
    </row>
    <row r="710032" spans="12:13" x14ac:dyDescent="0.25">
      <c r="L710032" s="472"/>
      <c r="M710032" s="472"/>
    </row>
    <row r="710033" spans="12:13" x14ac:dyDescent="0.25">
      <c r="L710033" s="472"/>
      <c r="M710033" s="472"/>
    </row>
    <row r="710105" spans="12:13" x14ac:dyDescent="0.25">
      <c r="L710105" s="472"/>
      <c r="M710105" s="472"/>
    </row>
    <row r="710106" spans="12:13" x14ac:dyDescent="0.25">
      <c r="L710106" s="472"/>
      <c r="M710106" s="472"/>
    </row>
    <row r="710107" spans="12:13" x14ac:dyDescent="0.25">
      <c r="L710107" s="472"/>
      <c r="M710107" s="472"/>
    </row>
    <row r="710179" spans="12:13" x14ac:dyDescent="0.25">
      <c r="L710179" s="472"/>
      <c r="M710179" s="472"/>
    </row>
    <row r="710180" spans="12:13" x14ac:dyDescent="0.25">
      <c r="L710180" s="472"/>
      <c r="M710180" s="472"/>
    </row>
    <row r="710181" spans="12:13" x14ac:dyDescent="0.25">
      <c r="L710181" s="472"/>
      <c r="M710181" s="472"/>
    </row>
    <row r="710253" spans="12:13" x14ac:dyDescent="0.25">
      <c r="L710253" s="472"/>
      <c r="M710253" s="472"/>
    </row>
    <row r="710254" spans="12:13" x14ac:dyDescent="0.25">
      <c r="L710254" s="472"/>
      <c r="M710254" s="472"/>
    </row>
    <row r="710255" spans="12:13" x14ac:dyDescent="0.25">
      <c r="L710255" s="472"/>
      <c r="M710255" s="472"/>
    </row>
    <row r="710327" spans="12:13" x14ac:dyDescent="0.25">
      <c r="L710327" s="472"/>
      <c r="M710327" s="472"/>
    </row>
    <row r="710328" spans="12:13" x14ac:dyDescent="0.25">
      <c r="L710328" s="472"/>
      <c r="M710328" s="472"/>
    </row>
    <row r="710329" spans="12:13" x14ac:dyDescent="0.25">
      <c r="L710329" s="472"/>
      <c r="M710329" s="472"/>
    </row>
    <row r="710401" spans="12:13" x14ac:dyDescent="0.25">
      <c r="L710401" s="472"/>
      <c r="M710401" s="472"/>
    </row>
    <row r="710402" spans="12:13" x14ac:dyDescent="0.25">
      <c r="L710402" s="472"/>
      <c r="M710402" s="472"/>
    </row>
    <row r="710403" spans="12:13" x14ac:dyDescent="0.25">
      <c r="L710403" s="472"/>
      <c r="M710403" s="472"/>
    </row>
    <row r="710475" spans="12:13" x14ac:dyDescent="0.25">
      <c r="L710475" s="472"/>
      <c r="M710475" s="472"/>
    </row>
    <row r="710476" spans="12:13" x14ac:dyDescent="0.25">
      <c r="L710476" s="472"/>
      <c r="M710476" s="472"/>
    </row>
    <row r="710477" spans="12:13" x14ac:dyDescent="0.25">
      <c r="L710477" s="472"/>
      <c r="M710477" s="472"/>
    </row>
    <row r="710549" spans="12:13" x14ac:dyDescent="0.25">
      <c r="L710549" s="472"/>
      <c r="M710549" s="472"/>
    </row>
    <row r="710550" spans="12:13" x14ac:dyDescent="0.25">
      <c r="L710550" s="472"/>
      <c r="M710550" s="472"/>
    </row>
    <row r="710551" spans="12:13" x14ac:dyDescent="0.25">
      <c r="L710551" s="472"/>
      <c r="M710551" s="472"/>
    </row>
    <row r="710623" spans="12:13" x14ac:dyDescent="0.25">
      <c r="L710623" s="472"/>
      <c r="M710623" s="472"/>
    </row>
    <row r="710624" spans="12:13" x14ac:dyDescent="0.25">
      <c r="L710624" s="472"/>
      <c r="M710624" s="472"/>
    </row>
    <row r="710625" spans="12:13" x14ac:dyDescent="0.25">
      <c r="L710625" s="472"/>
      <c r="M710625" s="472"/>
    </row>
    <row r="710697" spans="12:13" x14ac:dyDescent="0.25">
      <c r="L710697" s="472"/>
      <c r="M710697" s="472"/>
    </row>
    <row r="710698" spans="12:13" x14ac:dyDescent="0.25">
      <c r="L710698" s="472"/>
      <c r="M710698" s="472"/>
    </row>
    <row r="710699" spans="12:13" x14ac:dyDescent="0.25">
      <c r="L710699" s="472"/>
      <c r="M710699" s="472"/>
    </row>
    <row r="710771" spans="12:13" x14ac:dyDescent="0.25">
      <c r="L710771" s="472"/>
      <c r="M710771" s="472"/>
    </row>
    <row r="710772" spans="12:13" x14ac:dyDescent="0.25">
      <c r="L710772" s="472"/>
      <c r="M710772" s="472"/>
    </row>
    <row r="710773" spans="12:13" x14ac:dyDescent="0.25">
      <c r="L710773" s="472"/>
      <c r="M710773" s="472"/>
    </row>
    <row r="710845" spans="12:13" x14ac:dyDescent="0.25">
      <c r="L710845" s="472"/>
      <c r="M710845" s="472"/>
    </row>
    <row r="710846" spans="12:13" x14ac:dyDescent="0.25">
      <c r="L710846" s="472"/>
      <c r="M710846" s="472"/>
    </row>
    <row r="710847" spans="12:13" x14ac:dyDescent="0.25">
      <c r="L710847" s="472"/>
      <c r="M710847" s="472"/>
    </row>
    <row r="710919" spans="12:13" x14ac:dyDescent="0.25">
      <c r="L710919" s="472"/>
      <c r="M710919" s="472"/>
    </row>
    <row r="710920" spans="12:13" x14ac:dyDescent="0.25">
      <c r="L710920" s="472"/>
      <c r="M710920" s="472"/>
    </row>
    <row r="710921" spans="12:13" x14ac:dyDescent="0.25">
      <c r="L710921" s="472"/>
      <c r="M710921" s="472"/>
    </row>
    <row r="710993" spans="12:13" x14ac:dyDescent="0.25">
      <c r="L710993" s="472"/>
      <c r="M710993" s="472"/>
    </row>
    <row r="710994" spans="12:13" x14ac:dyDescent="0.25">
      <c r="L710994" s="472"/>
      <c r="M710994" s="472"/>
    </row>
    <row r="710995" spans="12:13" x14ac:dyDescent="0.25">
      <c r="L710995" s="472"/>
      <c r="M710995" s="472"/>
    </row>
    <row r="711067" spans="12:13" x14ac:dyDescent="0.25">
      <c r="L711067" s="472"/>
      <c r="M711067" s="472"/>
    </row>
    <row r="711068" spans="12:13" x14ac:dyDescent="0.25">
      <c r="L711068" s="472"/>
      <c r="M711068" s="472"/>
    </row>
    <row r="711069" spans="12:13" x14ac:dyDescent="0.25">
      <c r="L711069" s="472"/>
      <c r="M711069" s="472"/>
    </row>
    <row r="711141" spans="12:13" x14ac:dyDescent="0.25">
      <c r="L711141" s="472"/>
      <c r="M711141" s="472"/>
    </row>
    <row r="711142" spans="12:13" x14ac:dyDescent="0.25">
      <c r="L711142" s="472"/>
      <c r="M711142" s="472"/>
    </row>
    <row r="711143" spans="12:13" x14ac:dyDescent="0.25">
      <c r="L711143" s="472"/>
      <c r="M711143" s="472"/>
    </row>
    <row r="711215" spans="12:13" x14ac:dyDescent="0.25">
      <c r="L711215" s="472"/>
      <c r="M711215" s="472"/>
    </row>
    <row r="711216" spans="12:13" x14ac:dyDescent="0.25">
      <c r="L711216" s="472"/>
      <c r="M711216" s="472"/>
    </row>
    <row r="711217" spans="12:13" x14ac:dyDescent="0.25">
      <c r="L711217" s="472"/>
      <c r="M711217" s="472"/>
    </row>
    <row r="711289" spans="12:13" x14ac:dyDescent="0.25">
      <c r="L711289" s="472"/>
      <c r="M711289" s="472"/>
    </row>
    <row r="711290" spans="12:13" x14ac:dyDescent="0.25">
      <c r="L711290" s="472"/>
      <c r="M711290" s="472"/>
    </row>
    <row r="711291" spans="12:13" x14ac:dyDescent="0.25">
      <c r="L711291" s="472"/>
      <c r="M711291" s="472"/>
    </row>
    <row r="711363" spans="12:13" x14ac:dyDescent="0.25">
      <c r="L711363" s="472"/>
      <c r="M711363" s="472"/>
    </row>
    <row r="711364" spans="12:13" x14ac:dyDescent="0.25">
      <c r="L711364" s="472"/>
      <c r="M711364" s="472"/>
    </row>
    <row r="711365" spans="12:13" x14ac:dyDescent="0.25">
      <c r="L711365" s="472"/>
      <c r="M711365" s="472"/>
    </row>
    <row r="711437" spans="12:13" x14ac:dyDescent="0.25">
      <c r="L711437" s="472"/>
      <c r="M711437" s="472"/>
    </row>
    <row r="711438" spans="12:13" x14ac:dyDescent="0.25">
      <c r="L711438" s="472"/>
      <c r="M711438" s="472"/>
    </row>
    <row r="711439" spans="12:13" x14ac:dyDescent="0.25">
      <c r="L711439" s="472"/>
      <c r="M711439" s="472"/>
    </row>
    <row r="711511" spans="12:13" x14ac:dyDescent="0.25">
      <c r="L711511" s="472"/>
      <c r="M711511" s="472"/>
    </row>
    <row r="711512" spans="12:13" x14ac:dyDescent="0.25">
      <c r="L711512" s="472"/>
      <c r="M711512" s="472"/>
    </row>
    <row r="711513" spans="12:13" x14ac:dyDescent="0.25">
      <c r="L711513" s="472"/>
      <c r="M711513" s="472"/>
    </row>
    <row r="711585" spans="12:13" x14ac:dyDescent="0.25">
      <c r="L711585" s="472"/>
      <c r="M711585" s="472"/>
    </row>
    <row r="711586" spans="12:13" x14ac:dyDescent="0.25">
      <c r="L711586" s="472"/>
      <c r="M711586" s="472"/>
    </row>
    <row r="711587" spans="12:13" x14ac:dyDescent="0.25">
      <c r="L711587" s="472"/>
      <c r="M711587" s="472"/>
    </row>
    <row r="711659" spans="12:13" x14ac:dyDescent="0.25">
      <c r="L711659" s="472"/>
      <c r="M711659" s="472"/>
    </row>
    <row r="711660" spans="12:13" x14ac:dyDescent="0.25">
      <c r="L711660" s="472"/>
      <c r="M711660" s="472"/>
    </row>
    <row r="711661" spans="12:13" x14ac:dyDescent="0.25">
      <c r="L711661" s="472"/>
      <c r="M711661" s="472"/>
    </row>
    <row r="711733" spans="12:13" x14ac:dyDescent="0.25">
      <c r="L711733" s="472"/>
      <c r="M711733" s="472"/>
    </row>
    <row r="711734" spans="12:13" x14ac:dyDescent="0.25">
      <c r="L711734" s="472"/>
      <c r="M711734" s="472"/>
    </row>
    <row r="711735" spans="12:13" x14ac:dyDescent="0.25">
      <c r="L711735" s="472"/>
      <c r="M711735" s="472"/>
    </row>
    <row r="711807" spans="12:13" x14ac:dyDescent="0.25">
      <c r="L711807" s="472"/>
      <c r="M711807" s="472"/>
    </row>
    <row r="711808" spans="12:13" x14ac:dyDescent="0.25">
      <c r="L711808" s="472"/>
      <c r="M711808" s="472"/>
    </row>
    <row r="711809" spans="12:13" x14ac:dyDescent="0.25">
      <c r="L711809" s="472"/>
      <c r="M711809" s="472"/>
    </row>
    <row r="711881" spans="12:13" x14ac:dyDescent="0.25">
      <c r="L711881" s="472"/>
      <c r="M711881" s="472"/>
    </row>
    <row r="711882" spans="12:13" x14ac:dyDescent="0.25">
      <c r="L711882" s="472"/>
      <c r="M711882" s="472"/>
    </row>
    <row r="711883" spans="12:13" x14ac:dyDescent="0.25">
      <c r="L711883" s="472"/>
      <c r="M711883" s="472"/>
    </row>
    <row r="711955" spans="12:13" x14ac:dyDescent="0.25">
      <c r="L711955" s="472"/>
      <c r="M711955" s="472"/>
    </row>
    <row r="711956" spans="12:13" x14ac:dyDescent="0.25">
      <c r="L711956" s="472"/>
      <c r="M711956" s="472"/>
    </row>
    <row r="711957" spans="12:13" x14ac:dyDescent="0.25">
      <c r="L711957" s="472"/>
      <c r="M711957" s="472"/>
    </row>
    <row r="712029" spans="12:13" x14ac:dyDescent="0.25">
      <c r="L712029" s="472"/>
      <c r="M712029" s="472"/>
    </row>
    <row r="712030" spans="12:13" x14ac:dyDescent="0.25">
      <c r="L712030" s="472"/>
      <c r="M712030" s="472"/>
    </row>
    <row r="712031" spans="12:13" x14ac:dyDescent="0.25">
      <c r="L712031" s="472"/>
      <c r="M712031" s="472"/>
    </row>
    <row r="712103" spans="12:13" x14ac:dyDescent="0.25">
      <c r="L712103" s="472"/>
      <c r="M712103" s="472"/>
    </row>
    <row r="712104" spans="12:13" x14ac:dyDescent="0.25">
      <c r="L712104" s="472"/>
      <c r="M712104" s="472"/>
    </row>
    <row r="712105" spans="12:13" x14ac:dyDescent="0.25">
      <c r="L712105" s="472"/>
      <c r="M712105" s="472"/>
    </row>
    <row r="712177" spans="12:13" x14ac:dyDescent="0.25">
      <c r="L712177" s="472"/>
      <c r="M712177" s="472"/>
    </row>
    <row r="712178" spans="12:13" x14ac:dyDescent="0.25">
      <c r="L712178" s="472"/>
      <c r="M712178" s="472"/>
    </row>
    <row r="712179" spans="12:13" x14ac:dyDescent="0.25">
      <c r="L712179" s="472"/>
      <c r="M712179" s="472"/>
    </row>
    <row r="712251" spans="12:13" x14ac:dyDescent="0.25">
      <c r="L712251" s="472"/>
      <c r="M712251" s="472"/>
    </row>
    <row r="712252" spans="12:13" x14ac:dyDescent="0.25">
      <c r="L712252" s="472"/>
      <c r="M712252" s="472"/>
    </row>
    <row r="712253" spans="12:13" x14ac:dyDescent="0.25">
      <c r="L712253" s="472"/>
      <c r="M712253" s="472"/>
    </row>
    <row r="712325" spans="12:13" x14ac:dyDescent="0.25">
      <c r="L712325" s="472"/>
      <c r="M712325" s="472"/>
    </row>
    <row r="712326" spans="12:13" x14ac:dyDescent="0.25">
      <c r="L712326" s="472"/>
      <c r="M712326" s="472"/>
    </row>
    <row r="712327" spans="12:13" x14ac:dyDescent="0.25">
      <c r="L712327" s="472"/>
      <c r="M712327" s="472"/>
    </row>
    <row r="712399" spans="12:13" x14ac:dyDescent="0.25">
      <c r="L712399" s="472"/>
      <c r="M712399" s="472"/>
    </row>
    <row r="712400" spans="12:13" x14ac:dyDescent="0.25">
      <c r="L712400" s="472"/>
      <c r="M712400" s="472"/>
    </row>
    <row r="712401" spans="12:13" x14ac:dyDescent="0.25">
      <c r="L712401" s="472"/>
      <c r="M712401" s="472"/>
    </row>
    <row r="712473" spans="12:13" x14ac:dyDescent="0.25">
      <c r="L712473" s="472"/>
      <c r="M712473" s="472"/>
    </row>
    <row r="712474" spans="12:13" x14ac:dyDescent="0.25">
      <c r="L712474" s="472"/>
      <c r="M712474" s="472"/>
    </row>
    <row r="712475" spans="12:13" x14ac:dyDescent="0.25">
      <c r="L712475" s="472"/>
      <c r="M712475" s="472"/>
    </row>
    <row r="712547" spans="12:13" x14ac:dyDescent="0.25">
      <c r="L712547" s="472"/>
      <c r="M712547" s="472"/>
    </row>
    <row r="712548" spans="12:13" x14ac:dyDescent="0.25">
      <c r="L712548" s="472"/>
      <c r="M712548" s="472"/>
    </row>
    <row r="712549" spans="12:13" x14ac:dyDescent="0.25">
      <c r="L712549" s="472"/>
      <c r="M712549" s="472"/>
    </row>
    <row r="712621" spans="12:13" x14ac:dyDescent="0.25">
      <c r="L712621" s="472"/>
      <c r="M712621" s="472"/>
    </row>
    <row r="712622" spans="12:13" x14ac:dyDescent="0.25">
      <c r="L712622" s="472"/>
      <c r="M712622" s="472"/>
    </row>
    <row r="712623" spans="12:13" x14ac:dyDescent="0.25">
      <c r="L712623" s="472"/>
      <c r="M712623" s="472"/>
    </row>
    <row r="712695" spans="12:13" x14ac:dyDescent="0.25">
      <c r="L712695" s="472"/>
      <c r="M712695" s="472"/>
    </row>
    <row r="712696" spans="12:13" x14ac:dyDescent="0.25">
      <c r="L712696" s="472"/>
      <c r="M712696" s="472"/>
    </row>
    <row r="712697" spans="12:13" x14ac:dyDescent="0.25">
      <c r="L712697" s="472"/>
      <c r="M712697" s="472"/>
    </row>
    <row r="712769" spans="12:13" x14ac:dyDescent="0.25">
      <c r="L712769" s="472"/>
      <c r="M712769" s="472"/>
    </row>
    <row r="712770" spans="12:13" x14ac:dyDescent="0.25">
      <c r="L712770" s="472"/>
      <c r="M712770" s="472"/>
    </row>
    <row r="712771" spans="12:13" x14ac:dyDescent="0.25">
      <c r="L712771" s="472"/>
      <c r="M712771" s="472"/>
    </row>
    <row r="712843" spans="12:13" x14ac:dyDescent="0.25">
      <c r="L712843" s="472"/>
      <c r="M712843" s="472"/>
    </row>
    <row r="712844" spans="12:13" x14ac:dyDescent="0.25">
      <c r="L712844" s="472"/>
      <c r="M712844" s="472"/>
    </row>
    <row r="712845" spans="12:13" x14ac:dyDescent="0.25">
      <c r="L712845" s="472"/>
      <c r="M712845" s="472"/>
    </row>
    <row r="712917" spans="12:13" x14ac:dyDescent="0.25">
      <c r="L712917" s="472"/>
      <c r="M712917" s="472"/>
    </row>
    <row r="712918" spans="12:13" x14ac:dyDescent="0.25">
      <c r="L712918" s="472"/>
      <c r="M712918" s="472"/>
    </row>
    <row r="712919" spans="12:13" x14ac:dyDescent="0.25">
      <c r="L712919" s="472"/>
      <c r="M712919" s="472"/>
    </row>
    <row r="712991" spans="12:13" x14ac:dyDescent="0.25">
      <c r="L712991" s="472"/>
      <c r="M712991" s="472"/>
    </row>
    <row r="712992" spans="12:13" x14ac:dyDescent="0.25">
      <c r="L712992" s="472"/>
      <c r="M712992" s="472"/>
    </row>
    <row r="712993" spans="12:13" x14ac:dyDescent="0.25">
      <c r="L712993" s="472"/>
      <c r="M712993" s="472"/>
    </row>
    <row r="713065" spans="12:13" x14ac:dyDescent="0.25">
      <c r="L713065" s="472"/>
      <c r="M713065" s="472"/>
    </row>
    <row r="713066" spans="12:13" x14ac:dyDescent="0.25">
      <c r="L713066" s="472"/>
      <c r="M713066" s="472"/>
    </row>
    <row r="713067" spans="12:13" x14ac:dyDescent="0.25">
      <c r="L713067" s="472"/>
      <c r="M713067" s="472"/>
    </row>
    <row r="713139" spans="12:13" x14ac:dyDescent="0.25">
      <c r="L713139" s="472"/>
      <c r="M713139" s="472"/>
    </row>
    <row r="713140" spans="12:13" x14ac:dyDescent="0.25">
      <c r="L713140" s="472"/>
      <c r="M713140" s="472"/>
    </row>
    <row r="713141" spans="12:13" x14ac:dyDescent="0.25">
      <c r="L713141" s="472"/>
      <c r="M713141" s="472"/>
    </row>
    <row r="713213" spans="12:13" x14ac:dyDescent="0.25">
      <c r="L713213" s="472"/>
      <c r="M713213" s="472"/>
    </row>
    <row r="713214" spans="12:13" x14ac:dyDescent="0.25">
      <c r="L713214" s="472"/>
      <c r="M713214" s="472"/>
    </row>
    <row r="713215" spans="12:13" x14ac:dyDescent="0.25">
      <c r="L713215" s="472"/>
      <c r="M713215" s="472"/>
    </row>
    <row r="713287" spans="12:13" x14ac:dyDescent="0.25">
      <c r="L713287" s="472"/>
      <c r="M713287" s="472"/>
    </row>
    <row r="713288" spans="12:13" x14ac:dyDescent="0.25">
      <c r="L713288" s="472"/>
      <c r="M713288" s="472"/>
    </row>
    <row r="713289" spans="12:13" x14ac:dyDescent="0.25">
      <c r="L713289" s="472"/>
      <c r="M713289" s="472"/>
    </row>
    <row r="713361" spans="12:13" x14ac:dyDescent="0.25">
      <c r="L713361" s="472"/>
      <c r="M713361" s="472"/>
    </row>
    <row r="713362" spans="12:13" x14ac:dyDescent="0.25">
      <c r="L713362" s="472"/>
      <c r="M713362" s="472"/>
    </row>
    <row r="713363" spans="12:13" x14ac:dyDescent="0.25">
      <c r="L713363" s="472"/>
      <c r="M713363" s="472"/>
    </row>
    <row r="713435" spans="12:13" x14ac:dyDescent="0.25">
      <c r="L713435" s="472"/>
      <c r="M713435" s="472"/>
    </row>
    <row r="713436" spans="12:13" x14ac:dyDescent="0.25">
      <c r="L713436" s="472"/>
      <c r="M713436" s="472"/>
    </row>
    <row r="713437" spans="12:13" x14ac:dyDescent="0.25">
      <c r="L713437" s="472"/>
      <c r="M713437" s="472"/>
    </row>
    <row r="713509" spans="12:13" x14ac:dyDescent="0.25">
      <c r="L713509" s="472"/>
      <c r="M713509" s="472"/>
    </row>
    <row r="713510" spans="12:13" x14ac:dyDescent="0.25">
      <c r="L713510" s="472"/>
      <c r="M713510" s="472"/>
    </row>
    <row r="713511" spans="12:13" x14ac:dyDescent="0.25">
      <c r="L713511" s="472"/>
      <c r="M713511" s="472"/>
    </row>
    <row r="713583" spans="12:13" x14ac:dyDescent="0.25">
      <c r="L713583" s="472"/>
      <c r="M713583" s="472"/>
    </row>
    <row r="713584" spans="12:13" x14ac:dyDescent="0.25">
      <c r="L713584" s="472"/>
      <c r="M713584" s="472"/>
    </row>
    <row r="713585" spans="12:13" x14ac:dyDescent="0.25">
      <c r="L713585" s="472"/>
      <c r="M713585" s="472"/>
    </row>
    <row r="713657" spans="12:13" x14ac:dyDescent="0.25">
      <c r="L713657" s="472"/>
      <c r="M713657" s="472"/>
    </row>
    <row r="713658" spans="12:13" x14ac:dyDescent="0.25">
      <c r="L713658" s="472"/>
      <c r="M713658" s="472"/>
    </row>
    <row r="713659" spans="12:13" x14ac:dyDescent="0.25">
      <c r="L713659" s="472"/>
      <c r="M713659" s="472"/>
    </row>
    <row r="713731" spans="12:13" x14ac:dyDescent="0.25">
      <c r="L713731" s="472"/>
      <c r="M713731" s="472"/>
    </row>
    <row r="713732" spans="12:13" x14ac:dyDescent="0.25">
      <c r="L713732" s="472"/>
      <c r="M713732" s="472"/>
    </row>
    <row r="713733" spans="12:13" x14ac:dyDescent="0.25">
      <c r="L713733" s="472"/>
      <c r="M713733" s="472"/>
    </row>
    <row r="713805" spans="12:13" x14ac:dyDescent="0.25">
      <c r="L713805" s="472"/>
      <c r="M713805" s="472"/>
    </row>
    <row r="713806" spans="12:13" x14ac:dyDescent="0.25">
      <c r="L713806" s="472"/>
      <c r="M713806" s="472"/>
    </row>
    <row r="713807" spans="12:13" x14ac:dyDescent="0.25">
      <c r="L713807" s="472"/>
      <c r="M713807" s="472"/>
    </row>
    <row r="713879" spans="12:13" x14ac:dyDescent="0.25">
      <c r="L713879" s="472"/>
      <c r="M713879" s="472"/>
    </row>
    <row r="713880" spans="12:13" x14ac:dyDescent="0.25">
      <c r="L713880" s="472"/>
      <c r="M713880" s="472"/>
    </row>
    <row r="713881" spans="12:13" x14ac:dyDescent="0.25">
      <c r="L713881" s="472"/>
      <c r="M713881" s="472"/>
    </row>
    <row r="713953" spans="12:13" x14ac:dyDescent="0.25">
      <c r="L713953" s="472"/>
      <c r="M713953" s="472"/>
    </row>
    <row r="713954" spans="12:13" x14ac:dyDescent="0.25">
      <c r="L713954" s="472"/>
      <c r="M713954" s="472"/>
    </row>
    <row r="713955" spans="12:13" x14ac:dyDescent="0.25">
      <c r="L713955" s="472"/>
      <c r="M713955" s="472"/>
    </row>
    <row r="714027" spans="12:13" x14ac:dyDescent="0.25">
      <c r="L714027" s="472"/>
      <c r="M714027" s="472"/>
    </row>
    <row r="714028" spans="12:13" x14ac:dyDescent="0.25">
      <c r="L714028" s="472"/>
      <c r="M714028" s="472"/>
    </row>
    <row r="714029" spans="12:13" x14ac:dyDescent="0.25">
      <c r="L714029" s="472"/>
      <c r="M714029" s="472"/>
    </row>
    <row r="714101" spans="12:13" x14ac:dyDescent="0.25">
      <c r="L714101" s="472"/>
      <c r="M714101" s="472"/>
    </row>
    <row r="714102" spans="12:13" x14ac:dyDescent="0.25">
      <c r="L714102" s="472"/>
      <c r="M714102" s="472"/>
    </row>
    <row r="714103" spans="12:13" x14ac:dyDescent="0.25">
      <c r="L714103" s="472"/>
      <c r="M714103" s="472"/>
    </row>
    <row r="714175" spans="12:13" x14ac:dyDescent="0.25">
      <c r="L714175" s="472"/>
      <c r="M714175" s="472"/>
    </row>
    <row r="714176" spans="12:13" x14ac:dyDescent="0.25">
      <c r="L714176" s="472"/>
      <c r="M714176" s="472"/>
    </row>
    <row r="714177" spans="12:13" x14ac:dyDescent="0.25">
      <c r="L714177" s="472"/>
      <c r="M714177" s="472"/>
    </row>
    <row r="714249" spans="12:13" x14ac:dyDescent="0.25">
      <c r="L714249" s="472"/>
      <c r="M714249" s="472"/>
    </row>
    <row r="714250" spans="12:13" x14ac:dyDescent="0.25">
      <c r="L714250" s="472"/>
      <c r="M714250" s="472"/>
    </row>
    <row r="714251" spans="12:13" x14ac:dyDescent="0.25">
      <c r="L714251" s="472"/>
      <c r="M714251" s="472"/>
    </row>
    <row r="714323" spans="12:13" x14ac:dyDescent="0.25">
      <c r="L714323" s="472"/>
      <c r="M714323" s="472"/>
    </row>
    <row r="714324" spans="12:13" x14ac:dyDescent="0.25">
      <c r="L714324" s="472"/>
      <c r="M714324" s="472"/>
    </row>
    <row r="714325" spans="12:13" x14ac:dyDescent="0.25">
      <c r="L714325" s="472"/>
      <c r="M714325" s="472"/>
    </row>
    <row r="714397" spans="12:13" x14ac:dyDescent="0.25">
      <c r="L714397" s="472"/>
      <c r="M714397" s="472"/>
    </row>
    <row r="714398" spans="12:13" x14ac:dyDescent="0.25">
      <c r="L714398" s="472"/>
      <c r="M714398" s="472"/>
    </row>
    <row r="714399" spans="12:13" x14ac:dyDescent="0.25">
      <c r="L714399" s="472"/>
      <c r="M714399" s="472"/>
    </row>
    <row r="714471" spans="12:13" x14ac:dyDescent="0.25">
      <c r="L714471" s="472"/>
      <c r="M714471" s="472"/>
    </row>
    <row r="714472" spans="12:13" x14ac:dyDescent="0.25">
      <c r="L714472" s="472"/>
      <c r="M714472" s="472"/>
    </row>
    <row r="714473" spans="12:13" x14ac:dyDescent="0.25">
      <c r="L714473" s="472"/>
      <c r="M714473" s="472"/>
    </row>
    <row r="714545" spans="12:13" x14ac:dyDescent="0.25">
      <c r="L714545" s="472"/>
      <c r="M714545" s="472"/>
    </row>
    <row r="714546" spans="12:13" x14ac:dyDescent="0.25">
      <c r="L714546" s="472"/>
      <c r="M714546" s="472"/>
    </row>
    <row r="714547" spans="12:13" x14ac:dyDescent="0.25">
      <c r="L714547" s="472"/>
      <c r="M714547" s="472"/>
    </row>
    <row r="714619" spans="12:13" x14ac:dyDescent="0.25">
      <c r="L714619" s="472"/>
      <c r="M714619" s="472"/>
    </row>
    <row r="714620" spans="12:13" x14ac:dyDescent="0.25">
      <c r="L714620" s="472"/>
      <c r="M714620" s="472"/>
    </row>
    <row r="714621" spans="12:13" x14ac:dyDescent="0.25">
      <c r="L714621" s="472"/>
      <c r="M714621" s="472"/>
    </row>
    <row r="714693" spans="12:13" x14ac:dyDescent="0.25">
      <c r="L714693" s="472"/>
      <c r="M714693" s="472"/>
    </row>
    <row r="714694" spans="12:13" x14ac:dyDescent="0.25">
      <c r="L714694" s="472"/>
      <c r="M714694" s="472"/>
    </row>
    <row r="714695" spans="12:13" x14ac:dyDescent="0.25">
      <c r="L714695" s="472"/>
      <c r="M714695" s="472"/>
    </row>
    <row r="714767" spans="12:13" x14ac:dyDescent="0.25">
      <c r="L714767" s="472"/>
      <c r="M714767" s="472"/>
    </row>
    <row r="714768" spans="12:13" x14ac:dyDescent="0.25">
      <c r="L714768" s="472"/>
      <c r="M714768" s="472"/>
    </row>
    <row r="714769" spans="12:13" x14ac:dyDescent="0.25">
      <c r="L714769" s="472"/>
      <c r="M714769" s="472"/>
    </row>
    <row r="714841" spans="12:13" x14ac:dyDescent="0.25">
      <c r="L714841" s="472"/>
      <c r="M714841" s="472"/>
    </row>
    <row r="714842" spans="12:13" x14ac:dyDescent="0.25">
      <c r="L714842" s="472"/>
      <c r="M714842" s="472"/>
    </row>
    <row r="714843" spans="12:13" x14ac:dyDescent="0.25">
      <c r="L714843" s="472"/>
      <c r="M714843" s="472"/>
    </row>
    <row r="714915" spans="12:13" x14ac:dyDescent="0.25">
      <c r="L714915" s="472"/>
      <c r="M714915" s="472"/>
    </row>
    <row r="714916" spans="12:13" x14ac:dyDescent="0.25">
      <c r="L714916" s="472"/>
      <c r="M714916" s="472"/>
    </row>
    <row r="714917" spans="12:13" x14ac:dyDescent="0.25">
      <c r="L714917" s="472"/>
      <c r="M714917" s="472"/>
    </row>
    <row r="714989" spans="12:13" x14ac:dyDescent="0.25">
      <c r="L714989" s="472"/>
      <c r="M714989" s="472"/>
    </row>
    <row r="714990" spans="12:13" x14ac:dyDescent="0.25">
      <c r="L714990" s="472"/>
      <c r="M714990" s="472"/>
    </row>
    <row r="714991" spans="12:13" x14ac:dyDescent="0.25">
      <c r="L714991" s="472"/>
      <c r="M714991" s="472"/>
    </row>
    <row r="715063" spans="12:13" x14ac:dyDescent="0.25">
      <c r="L715063" s="472"/>
      <c r="M715063" s="472"/>
    </row>
    <row r="715064" spans="12:13" x14ac:dyDescent="0.25">
      <c r="L715064" s="472"/>
      <c r="M715064" s="472"/>
    </row>
    <row r="715065" spans="12:13" x14ac:dyDescent="0.25">
      <c r="L715065" s="472"/>
      <c r="M715065" s="472"/>
    </row>
    <row r="715137" spans="12:13" x14ac:dyDescent="0.25">
      <c r="L715137" s="472"/>
      <c r="M715137" s="472"/>
    </row>
    <row r="715138" spans="12:13" x14ac:dyDescent="0.25">
      <c r="L715138" s="472"/>
      <c r="M715138" s="472"/>
    </row>
    <row r="715139" spans="12:13" x14ac:dyDescent="0.25">
      <c r="L715139" s="472"/>
      <c r="M715139" s="472"/>
    </row>
    <row r="715211" spans="12:13" x14ac:dyDescent="0.25">
      <c r="L715211" s="472"/>
      <c r="M715211" s="472"/>
    </row>
    <row r="715212" spans="12:13" x14ac:dyDescent="0.25">
      <c r="L715212" s="472"/>
      <c r="M715212" s="472"/>
    </row>
    <row r="715213" spans="12:13" x14ac:dyDescent="0.25">
      <c r="L715213" s="472"/>
      <c r="M715213" s="472"/>
    </row>
    <row r="715285" spans="12:13" x14ac:dyDescent="0.25">
      <c r="L715285" s="472"/>
      <c r="M715285" s="472"/>
    </row>
    <row r="715286" spans="12:13" x14ac:dyDescent="0.25">
      <c r="L715286" s="472"/>
      <c r="M715286" s="472"/>
    </row>
    <row r="715287" spans="12:13" x14ac:dyDescent="0.25">
      <c r="L715287" s="472"/>
      <c r="M715287" s="472"/>
    </row>
    <row r="715359" spans="12:13" x14ac:dyDescent="0.25">
      <c r="L715359" s="472"/>
      <c r="M715359" s="472"/>
    </row>
    <row r="715360" spans="12:13" x14ac:dyDescent="0.25">
      <c r="L715360" s="472"/>
      <c r="M715360" s="472"/>
    </row>
    <row r="715361" spans="12:13" x14ac:dyDescent="0.25">
      <c r="L715361" s="472"/>
      <c r="M715361" s="472"/>
    </row>
    <row r="715433" spans="12:13" x14ac:dyDescent="0.25">
      <c r="L715433" s="472"/>
      <c r="M715433" s="472"/>
    </row>
    <row r="715434" spans="12:13" x14ac:dyDescent="0.25">
      <c r="L715434" s="472"/>
      <c r="M715434" s="472"/>
    </row>
    <row r="715435" spans="12:13" x14ac:dyDescent="0.25">
      <c r="L715435" s="472"/>
      <c r="M715435" s="472"/>
    </row>
    <row r="715507" spans="12:13" x14ac:dyDescent="0.25">
      <c r="L715507" s="472"/>
      <c r="M715507" s="472"/>
    </row>
    <row r="715508" spans="12:13" x14ac:dyDescent="0.25">
      <c r="L715508" s="472"/>
      <c r="M715508" s="472"/>
    </row>
    <row r="715509" spans="12:13" x14ac:dyDescent="0.25">
      <c r="L715509" s="472"/>
      <c r="M715509" s="472"/>
    </row>
    <row r="715581" spans="12:13" x14ac:dyDescent="0.25">
      <c r="L715581" s="472"/>
      <c r="M715581" s="472"/>
    </row>
    <row r="715582" spans="12:13" x14ac:dyDescent="0.25">
      <c r="L715582" s="472"/>
      <c r="M715582" s="472"/>
    </row>
    <row r="715583" spans="12:13" x14ac:dyDescent="0.25">
      <c r="L715583" s="472"/>
      <c r="M715583" s="472"/>
    </row>
    <row r="715655" spans="12:13" x14ac:dyDescent="0.25">
      <c r="L715655" s="472"/>
      <c r="M715655" s="472"/>
    </row>
    <row r="715656" spans="12:13" x14ac:dyDescent="0.25">
      <c r="L715656" s="472"/>
      <c r="M715656" s="472"/>
    </row>
    <row r="715657" spans="12:13" x14ac:dyDescent="0.25">
      <c r="L715657" s="472"/>
      <c r="M715657" s="472"/>
    </row>
    <row r="715729" spans="12:13" x14ac:dyDescent="0.25">
      <c r="L715729" s="472"/>
      <c r="M715729" s="472"/>
    </row>
    <row r="715730" spans="12:13" x14ac:dyDescent="0.25">
      <c r="L715730" s="472"/>
      <c r="M715730" s="472"/>
    </row>
    <row r="715731" spans="12:13" x14ac:dyDescent="0.25">
      <c r="L715731" s="472"/>
      <c r="M715731" s="472"/>
    </row>
    <row r="715803" spans="12:13" x14ac:dyDescent="0.25">
      <c r="L715803" s="472"/>
      <c r="M715803" s="472"/>
    </row>
    <row r="715804" spans="12:13" x14ac:dyDescent="0.25">
      <c r="L715804" s="472"/>
      <c r="M715804" s="472"/>
    </row>
    <row r="715805" spans="12:13" x14ac:dyDescent="0.25">
      <c r="L715805" s="472"/>
      <c r="M715805" s="472"/>
    </row>
    <row r="715877" spans="12:13" x14ac:dyDescent="0.25">
      <c r="L715877" s="472"/>
      <c r="M715877" s="472"/>
    </row>
    <row r="715878" spans="12:13" x14ac:dyDescent="0.25">
      <c r="L715878" s="472"/>
      <c r="M715878" s="472"/>
    </row>
    <row r="715879" spans="12:13" x14ac:dyDescent="0.25">
      <c r="L715879" s="472"/>
      <c r="M715879" s="472"/>
    </row>
    <row r="715951" spans="12:13" x14ac:dyDescent="0.25">
      <c r="L715951" s="472"/>
      <c r="M715951" s="472"/>
    </row>
    <row r="715952" spans="12:13" x14ac:dyDescent="0.25">
      <c r="L715952" s="472"/>
      <c r="M715952" s="472"/>
    </row>
    <row r="715953" spans="12:13" x14ac:dyDescent="0.25">
      <c r="L715953" s="472"/>
      <c r="M715953" s="472"/>
    </row>
    <row r="716025" spans="12:13" x14ac:dyDescent="0.25">
      <c r="L716025" s="472"/>
      <c r="M716025" s="472"/>
    </row>
    <row r="716026" spans="12:13" x14ac:dyDescent="0.25">
      <c r="L716026" s="472"/>
      <c r="M716026" s="472"/>
    </row>
    <row r="716027" spans="12:13" x14ac:dyDescent="0.25">
      <c r="L716027" s="472"/>
      <c r="M716027" s="472"/>
    </row>
    <row r="716099" spans="12:13" x14ac:dyDescent="0.25">
      <c r="L716099" s="472"/>
      <c r="M716099" s="472"/>
    </row>
    <row r="716100" spans="12:13" x14ac:dyDescent="0.25">
      <c r="L716100" s="472"/>
      <c r="M716100" s="472"/>
    </row>
    <row r="716101" spans="12:13" x14ac:dyDescent="0.25">
      <c r="L716101" s="472"/>
      <c r="M716101" s="472"/>
    </row>
    <row r="716173" spans="12:13" x14ac:dyDescent="0.25">
      <c r="L716173" s="472"/>
      <c r="M716173" s="472"/>
    </row>
    <row r="716174" spans="12:13" x14ac:dyDescent="0.25">
      <c r="L716174" s="472"/>
      <c r="M716174" s="472"/>
    </row>
    <row r="716175" spans="12:13" x14ac:dyDescent="0.25">
      <c r="L716175" s="472"/>
      <c r="M716175" s="472"/>
    </row>
    <row r="716247" spans="12:13" x14ac:dyDescent="0.25">
      <c r="L716247" s="472"/>
      <c r="M716247" s="472"/>
    </row>
    <row r="716248" spans="12:13" x14ac:dyDescent="0.25">
      <c r="L716248" s="472"/>
      <c r="M716248" s="472"/>
    </row>
    <row r="716249" spans="12:13" x14ac:dyDescent="0.25">
      <c r="L716249" s="472"/>
      <c r="M716249" s="472"/>
    </row>
    <row r="716321" spans="12:13" x14ac:dyDescent="0.25">
      <c r="L716321" s="472"/>
      <c r="M716321" s="472"/>
    </row>
    <row r="716322" spans="12:13" x14ac:dyDescent="0.25">
      <c r="L716322" s="472"/>
      <c r="M716322" s="472"/>
    </row>
    <row r="716323" spans="12:13" x14ac:dyDescent="0.25">
      <c r="L716323" s="472"/>
      <c r="M716323" s="472"/>
    </row>
    <row r="716395" spans="12:13" x14ac:dyDescent="0.25">
      <c r="L716395" s="472"/>
      <c r="M716395" s="472"/>
    </row>
    <row r="716396" spans="12:13" x14ac:dyDescent="0.25">
      <c r="L716396" s="472"/>
      <c r="M716396" s="472"/>
    </row>
    <row r="716397" spans="12:13" x14ac:dyDescent="0.25">
      <c r="L716397" s="472"/>
      <c r="M716397" s="472"/>
    </row>
    <row r="716469" spans="12:13" x14ac:dyDescent="0.25">
      <c r="L716469" s="472"/>
      <c r="M716469" s="472"/>
    </row>
    <row r="716470" spans="12:13" x14ac:dyDescent="0.25">
      <c r="L716470" s="472"/>
      <c r="M716470" s="472"/>
    </row>
    <row r="716471" spans="12:13" x14ac:dyDescent="0.25">
      <c r="L716471" s="472"/>
      <c r="M716471" s="472"/>
    </row>
    <row r="716543" spans="12:13" x14ac:dyDescent="0.25">
      <c r="L716543" s="472"/>
      <c r="M716543" s="472"/>
    </row>
    <row r="716544" spans="12:13" x14ac:dyDescent="0.25">
      <c r="L716544" s="472"/>
      <c r="M716544" s="472"/>
    </row>
    <row r="716545" spans="12:13" x14ac:dyDescent="0.25">
      <c r="L716545" s="472"/>
      <c r="M716545" s="472"/>
    </row>
    <row r="716617" spans="12:13" x14ac:dyDescent="0.25">
      <c r="L716617" s="472"/>
      <c r="M716617" s="472"/>
    </row>
    <row r="716618" spans="12:13" x14ac:dyDescent="0.25">
      <c r="L716618" s="472"/>
      <c r="M716618" s="472"/>
    </row>
    <row r="716619" spans="12:13" x14ac:dyDescent="0.25">
      <c r="L716619" s="472"/>
      <c r="M716619" s="472"/>
    </row>
    <row r="716691" spans="12:13" x14ac:dyDescent="0.25">
      <c r="L716691" s="472"/>
      <c r="M716691" s="472"/>
    </row>
    <row r="716692" spans="12:13" x14ac:dyDescent="0.25">
      <c r="L716692" s="472"/>
      <c r="M716692" s="472"/>
    </row>
    <row r="716693" spans="12:13" x14ac:dyDescent="0.25">
      <c r="L716693" s="472"/>
      <c r="M716693" s="472"/>
    </row>
    <row r="716765" spans="12:13" x14ac:dyDescent="0.25">
      <c r="L716765" s="472"/>
      <c r="M716765" s="472"/>
    </row>
    <row r="716766" spans="12:13" x14ac:dyDescent="0.25">
      <c r="L716766" s="472"/>
      <c r="M716766" s="472"/>
    </row>
    <row r="716767" spans="12:13" x14ac:dyDescent="0.25">
      <c r="L716767" s="472"/>
      <c r="M716767" s="472"/>
    </row>
    <row r="716839" spans="12:13" x14ac:dyDescent="0.25">
      <c r="L716839" s="472"/>
      <c r="M716839" s="472"/>
    </row>
    <row r="716840" spans="12:13" x14ac:dyDescent="0.25">
      <c r="L716840" s="472"/>
      <c r="M716840" s="472"/>
    </row>
    <row r="716841" spans="12:13" x14ac:dyDescent="0.25">
      <c r="L716841" s="472"/>
      <c r="M716841" s="472"/>
    </row>
    <row r="716913" spans="12:13" x14ac:dyDescent="0.25">
      <c r="L716913" s="472"/>
      <c r="M716913" s="472"/>
    </row>
    <row r="716914" spans="12:13" x14ac:dyDescent="0.25">
      <c r="L716914" s="472"/>
      <c r="M716914" s="472"/>
    </row>
    <row r="716915" spans="12:13" x14ac:dyDescent="0.25">
      <c r="L716915" s="472"/>
      <c r="M716915" s="472"/>
    </row>
    <row r="716987" spans="12:13" x14ac:dyDescent="0.25">
      <c r="L716987" s="472"/>
      <c r="M716987" s="472"/>
    </row>
    <row r="716988" spans="12:13" x14ac:dyDescent="0.25">
      <c r="L716988" s="472"/>
      <c r="M716988" s="472"/>
    </row>
    <row r="716989" spans="12:13" x14ac:dyDescent="0.25">
      <c r="L716989" s="472"/>
      <c r="M716989" s="472"/>
    </row>
    <row r="717061" spans="12:13" x14ac:dyDescent="0.25">
      <c r="L717061" s="472"/>
      <c r="M717061" s="472"/>
    </row>
    <row r="717062" spans="12:13" x14ac:dyDescent="0.25">
      <c r="L717062" s="472"/>
      <c r="M717062" s="472"/>
    </row>
    <row r="717063" spans="12:13" x14ac:dyDescent="0.25">
      <c r="L717063" s="472"/>
      <c r="M717063" s="472"/>
    </row>
    <row r="717135" spans="12:13" x14ac:dyDescent="0.25">
      <c r="L717135" s="472"/>
      <c r="M717135" s="472"/>
    </row>
    <row r="717136" spans="12:13" x14ac:dyDescent="0.25">
      <c r="L717136" s="472"/>
      <c r="M717136" s="472"/>
    </row>
    <row r="717137" spans="12:13" x14ac:dyDescent="0.25">
      <c r="L717137" s="472"/>
      <c r="M717137" s="472"/>
    </row>
    <row r="717209" spans="12:13" x14ac:dyDescent="0.25">
      <c r="L717209" s="472"/>
      <c r="M717209" s="472"/>
    </row>
    <row r="717210" spans="12:13" x14ac:dyDescent="0.25">
      <c r="L717210" s="472"/>
      <c r="M717210" s="472"/>
    </row>
    <row r="717211" spans="12:13" x14ac:dyDescent="0.25">
      <c r="L717211" s="472"/>
      <c r="M717211" s="472"/>
    </row>
    <row r="717283" spans="12:13" x14ac:dyDescent="0.25">
      <c r="L717283" s="472"/>
      <c r="M717283" s="472"/>
    </row>
    <row r="717284" spans="12:13" x14ac:dyDescent="0.25">
      <c r="L717284" s="472"/>
      <c r="M717284" s="472"/>
    </row>
    <row r="717285" spans="12:13" x14ac:dyDescent="0.25">
      <c r="L717285" s="472"/>
      <c r="M717285" s="472"/>
    </row>
    <row r="717357" spans="12:13" x14ac:dyDescent="0.25">
      <c r="L717357" s="472"/>
      <c r="M717357" s="472"/>
    </row>
    <row r="717358" spans="12:13" x14ac:dyDescent="0.25">
      <c r="L717358" s="472"/>
      <c r="M717358" s="472"/>
    </row>
    <row r="717359" spans="12:13" x14ac:dyDescent="0.25">
      <c r="L717359" s="472"/>
      <c r="M717359" s="472"/>
    </row>
    <row r="717431" spans="12:13" x14ac:dyDescent="0.25">
      <c r="L717431" s="472"/>
      <c r="M717431" s="472"/>
    </row>
    <row r="717432" spans="12:13" x14ac:dyDescent="0.25">
      <c r="L717432" s="472"/>
      <c r="M717432" s="472"/>
    </row>
    <row r="717433" spans="12:13" x14ac:dyDescent="0.25">
      <c r="L717433" s="472"/>
      <c r="M717433" s="472"/>
    </row>
    <row r="717505" spans="12:13" x14ac:dyDescent="0.25">
      <c r="L717505" s="472"/>
      <c r="M717505" s="472"/>
    </row>
    <row r="717506" spans="12:13" x14ac:dyDescent="0.25">
      <c r="L717506" s="472"/>
      <c r="M717506" s="472"/>
    </row>
    <row r="717507" spans="12:13" x14ac:dyDescent="0.25">
      <c r="L717507" s="472"/>
      <c r="M717507" s="472"/>
    </row>
    <row r="717579" spans="12:13" x14ac:dyDescent="0.25">
      <c r="L717579" s="472"/>
      <c r="M717579" s="472"/>
    </row>
    <row r="717580" spans="12:13" x14ac:dyDescent="0.25">
      <c r="L717580" s="472"/>
      <c r="M717580" s="472"/>
    </row>
    <row r="717581" spans="12:13" x14ac:dyDescent="0.25">
      <c r="L717581" s="472"/>
      <c r="M717581" s="472"/>
    </row>
    <row r="717653" spans="12:13" x14ac:dyDescent="0.25">
      <c r="L717653" s="472"/>
      <c r="M717653" s="472"/>
    </row>
    <row r="717654" spans="12:13" x14ac:dyDescent="0.25">
      <c r="L717654" s="472"/>
      <c r="M717654" s="472"/>
    </row>
    <row r="717655" spans="12:13" x14ac:dyDescent="0.25">
      <c r="L717655" s="472"/>
      <c r="M717655" s="472"/>
    </row>
    <row r="717727" spans="12:13" x14ac:dyDescent="0.25">
      <c r="L717727" s="472"/>
      <c r="M717727" s="472"/>
    </row>
    <row r="717728" spans="12:13" x14ac:dyDescent="0.25">
      <c r="L717728" s="472"/>
      <c r="M717728" s="472"/>
    </row>
    <row r="717729" spans="12:13" x14ac:dyDescent="0.25">
      <c r="L717729" s="472"/>
      <c r="M717729" s="472"/>
    </row>
    <row r="717801" spans="12:13" x14ac:dyDescent="0.25">
      <c r="L717801" s="472"/>
      <c r="M717801" s="472"/>
    </row>
    <row r="717802" spans="12:13" x14ac:dyDescent="0.25">
      <c r="L717802" s="472"/>
      <c r="M717802" s="472"/>
    </row>
    <row r="717803" spans="12:13" x14ac:dyDescent="0.25">
      <c r="L717803" s="472"/>
      <c r="M717803" s="472"/>
    </row>
    <row r="717875" spans="12:13" x14ac:dyDescent="0.25">
      <c r="L717875" s="472"/>
      <c r="M717875" s="472"/>
    </row>
    <row r="717876" spans="12:13" x14ac:dyDescent="0.25">
      <c r="L717876" s="472"/>
      <c r="M717876" s="472"/>
    </row>
    <row r="717877" spans="12:13" x14ac:dyDescent="0.25">
      <c r="L717877" s="472"/>
      <c r="M717877" s="472"/>
    </row>
    <row r="717949" spans="12:13" x14ac:dyDescent="0.25">
      <c r="L717949" s="472"/>
      <c r="M717949" s="472"/>
    </row>
    <row r="717950" spans="12:13" x14ac:dyDescent="0.25">
      <c r="L717950" s="472"/>
      <c r="M717950" s="472"/>
    </row>
    <row r="717951" spans="12:13" x14ac:dyDescent="0.25">
      <c r="L717951" s="472"/>
      <c r="M717951" s="472"/>
    </row>
    <row r="718023" spans="12:13" x14ac:dyDescent="0.25">
      <c r="L718023" s="472"/>
      <c r="M718023" s="472"/>
    </row>
    <row r="718024" spans="12:13" x14ac:dyDescent="0.25">
      <c r="L718024" s="472"/>
      <c r="M718024" s="472"/>
    </row>
    <row r="718025" spans="12:13" x14ac:dyDescent="0.25">
      <c r="L718025" s="472"/>
      <c r="M718025" s="472"/>
    </row>
    <row r="718097" spans="12:13" x14ac:dyDescent="0.25">
      <c r="L718097" s="472"/>
      <c r="M718097" s="472"/>
    </row>
    <row r="718098" spans="12:13" x14ac:dyDescent="0.25">
      <c r="L718098" s="472"/>
      <c r="M718098" s="472"/>
    </row>
    <row r="718099" spans="12:13" x14ac:dyDescent="0.25">
      <c r="L718099" s="472"/>
      <c r="M718099" s="472"/>
    </row>
    <row r="718171" spans="12:13" x14ac:dyDescent="0.25">
      <c r="L718171" s="472"/>
      <c r="M718171" s="472"/>
    </row>
    <row r="718172" spans="12:13" x14ac:dyDescent="0.25">
      <c r="L718172" s="472"/>
      <c r="M718172" s="472"/>
    </row>
    <row r="718173" spans="12:13" x14ac:dyDescent="0.25">
      <c r="L718173" s="472"/>
      <c r="M718173" s="472"/>
    </row>
    <row r="718245" spans="12:13" x14ac:dyDescent="0.25">
      <c r="L718245" s="472"/>
      <c r="M718245" s="472"/>
    </row>
    <row r="718246" spans="12:13" x14ac:dyDescent="0.25">
      <c r="L718246" s="472"/>
      <c r="M718246" s="472"/>
    </row>
    <row r="718247" spans="12:13" x14ac:dyDescent="0.25">
      <c r="L718247" s="472"/>
      <c r="M718247" s="472"/>
    </row>
    <row r="718319" spans="12:13" x14ac:dyDescent="0.25">
      <c r="L718319" s="472"/>
      <c r="M718319" s="472"/>
    </row>
    <row r="718320" spans="12:13" x14ac:dyDescent="0.25">
      <c r="L718320" s="472"/>
      <c r="M718320" s="472"/>
    </row>
    <row r="718321" spans="12:13" x14ac:dyDescent="0.25">
      <c r="L718321" s="472"/>
      <c r="M718321" s="472"/>
    </row>
    <row r="718393" spans="12:13" x14ac:dyDescent="0.25">
      <c r="L718393" s="472"/>
      <c r="M718393" s="472"/>
    </row>
    <row r="718394" spans="12:13" x14ac:dyDescent="0.25">
      <c r="L718394" s="472"/>
      <c r="M718394" s="472"/>
    </row>
    <row r="718395" spans="12:13" x14ac:dyDescent="0.25">
      <c r="L718395" s="472"/>
      <c r="M718395" s="472"/>
    </row>
    <row r="718467" spans="12:13" x14ac:dyDescent="0.25">
      <c r="L718467" s="472"/>
      <c r="M718467" s="472"/>
    </row>
    <row r="718468" spans="12:13" x14ac:dyDescent="0.25">
      <c r="L718468" s="472"/>
      <c r="M718468" s="472"/>
    </row>
    <row r="718469" spans="12:13" x14ac:dyDescent="0.25">
      <c r="L718469" s="472"/>
      <c r="M718469" s="472"/>
    </row>
    <row r="718541" spans="12:13" x14ac:dyDescent="0.25">
      <c r="L718541" s="472"/>
      <c r="M718541" s="472"/>
    </row>
    <row r="718542" spans="12:13" x14ac:dyDescent="0.25">
      <c r="L718542" s="472"/>
      <c r="M718542" s="472"/>
    </row>
    <row r="718543" spans="12:13" x14ac:dyDescent="0.25">
      <c r="L718543" s="472"/>
      <c r="M718543" s="472"/>
    </row>
    <row r="718615" spans="12:13" x14ac:dyDescent="0.25">
      <c r="L718615" s="472"/>
      <c r="M718615" s="472"/>
    </row>
    <row r="718616" spans="12:13" x14ac:dyDescent="0.25">
      <c r="L718616" s="472"/>
      <c r="M718616" s="472"/>
    </row>
    <row r="718617" spans="12:13" x14ac:dyDescent="0.25">
      <c r="L718617" s="472"/>
      <c r="M718617" s="472"/>
    </row>
    <row r="718689" spans="12:13" x14ac:dyDescent="0.25">
      <c r="L718689" s="472"/>
      <c r="M718689" s="472"/>
    </row>
    <row r="718690" spans="12:13" x14ac:dyDescent="0.25">
      <c r="L718690" s="472"/>
      <c r="M718690" s="472"/>
    </row>
    <row r="718691" spans="12:13" x14ac:dyDescent="0.25">
      <c r="L718691" s="472"/>
      <c r="M718691" s="472"/>
    </row>
    <row r="718763" spans="12:13" x14ac:dyDescent="0.25">
      <c r="L718763" s="472"/>
      <c r="M718763" s="472"/>
    </row>
    <row r="718764" spans="12:13" x14ac:dyDescent="0.25">
      <c r="L718764" s="472"/>
      <c r="M718764" s="472"/>
    </row>
    <row r="718765" spans="12:13" x14ac:dyDescent="0.25">
      <c r="L718765" s="472"/>
      <c r="M718765" s="472"/>
    </row>
    <row r="718837" spans="12:13" x14ac:dyDescent="0.25">
      <c r="L718837" s="472"/>
      <c r="M718837" s="472"/>
    </row>
    <row r="718838" spans="12:13" x14ac:dyDescent="0.25">
      <c r="L718838" s="472"/>
      <c r="M718838" s="472"/>
    </row>
    <row r="718839" spans="12:13" x14ac:dyDescent="0.25">
      <c r="L718839" s="472"/>
      <c r="M718839" s="472"/>
    </row>
    <row r="718911" spans="12:13" x14ac:dyDescent="0.25">
      <c r="L718911" s="472"/>
      <c r="M718911" s="472"/>
    </row>
    <row r="718912" spans="12:13" x14ac:dyDescent="0.25">
      <c r="L718912" s="472"/>
      <c r="M718912" s="472"/>
    </row>
    <row r="718913" spans="12:13" x14ac:dyDescent="0.25">
      <c r="L718913" s="472"/>
      <c r="M718913" s="472"/>
    </row>
    <row r="718985" spans="12:13" x14ac:dyDescent="0.25">
      <c r="L718985" s="472"/>
      <c r="M718985" s="472"/>
    </row>
    <row r="718986" spans="12:13" x14ac:dyDescent="0.25">
      <c r="L718986" s="472"/>
      <c r="M718986" s="472"/>
    </row>
    <row r="718987" spans="12:13" x14ac:dyDescent="0.25">
      <c r="L718987" s="472"/>
      <c r="M718987" s="472"/>
    </row>
    <row r="719059" spans="12:13" x14ac:dyDescent="0.25">
      <c r="L719059" s="472"/>
      <c r="M719059" s="472"/>
    </row>
    <row r="719060" spans="12:13" x14ac:dyDescent="0.25">
      <c r="L719060" s="472"/>
      <c r="M719060" s="472"/>
    </row>
    <row r="719061" spans="12:13" x14ac:dyDescent="0.25">
      <c r="L719061" s="472"/>
      <c r="M719061" s="472"/>
    </row>
    <row r="719133" spans="12:13" x14ac:dyDescent="0.25">
      <c r="L719133" s="472"/>
      <c r="M719133" s="472"/>
    </row>
    <row r="719134" spans="12:13" x14ac:dyDescent="0.25">
      <c r="L719134" s="472"/>
      <c r="M719134" s="472"/>
    </row>
    <row r="719135" spans="12:13" x14ac:dyDescent="0.25">
      <c r="L719135" s="472"/>
      <c r="M719135" s="472"/>
    </row>
    <row r="719207" spans="12:13" x14ac:dyDescent="0.25">
      <c r="L719207" s="472"/>
      <c r="M719207" s="472"/>
    </row>
    <row r="719208" spans="12:13" x14ac:dyDescent="0.25">
      <c r="L719208" s="472"/>
      <c r="M719208" s="472"/>
    </row>
    <row r="719209" spans="12:13" x14ac:dyDescent="0.25">
      <c r="L719209" s="472"/>
      <c r="M719209" s="472"/>
    </row>
    <row r="719281" spans="12:13" x14ac:dyDescent="0.25">
      <c r="L719281" s="472"/>
      <c r="M719281" s="472"/>
    </row>
    <row r="719282" spans="12:13" x14ac:dyDescent="0.25">
      <c r="L719282" s="472"/>
      <c r="M719282" s="472"/>
    </row>
    <row r="719283" spans="12:13" x14ac:dyDescent="0.25">
      <c r="L719283" s="472"/>
      <c r="M719283" s="472"/>
    </row>
    <row r="719355" spans="12:13" x14ac:dyDescent="0.25">
      <c r="L719355" s="472"/>
      <c r="M719355" s="472"/>
    </row>
    <row r="719356" spans="12:13" x14ac:dyDescent="0.25">
      <c r="L719356" s="472"/>
      <c r="M719356" s="472"/>
    </row>
    <row r="719357" spans="12:13" x14ac:dyDescent="0.25">
      <c r="L719357" s="472"/>
      <c r="M719357" s="472"/>
    </row>
    <row r="719429" spans="12:13" x14ac:dyDescent="0.25">
      <c r="L719429" s="472"/>
      <c r="M719429" s="472"/>
    </row>
    <row r="719430" spans="12:13" x14ac:dyDescent="0.25">
      <c r="L719430" s="472"/>
      <c r="M719430" s="472"/>
    </row>
    <row r="719431" spans="12:13" x14ac:dyDescent="0.25">
      <c r="L719431" s="472"/>
      <c r="M719431" s="472"/>
    </row>
    <row r="719503" spans="12:13" x14ac:dyDescent="0.25">
      <c r="L719503" s="472"/>
      <c r="M719503" s="472"/>
    </row>
    <row r="719504" spans="12:13" x14ac:dyDescent="0.25">
      <c r="L719504" s="472"/>
      <c r="M719504" s="472"/>
    </row>
    <row r="719505" spans="12:13" x14ac:dyDescent="0.25">
      <c r="L719505" s="472"/>
      <c r="M719505" s="472"/>
    </row>
    <row r="719577" spans="12:13" x14ac:dyDescent="0.25">
      <c r="L719577" s="472"/>
      <c r="M719577" s="472"/>
    </row>
    <row r="719578" spans="12:13" x14ac:dyDescent="0.25">
      <c r="L719578" s="472"/>
      <c r="M719578" s="472"/>
    </row>
    <row r="719579" spans="12:13" x14ac:dyDescent="0.25">
      <c r="L719579" s="472"/>
      <c r="M719579" s="472"/>
    </row>
    <row r="719651" spans="12:13" x14ac:dyDescent="0.25">
      <c r="L719651" s="472"/>
      <c r="M719651" s="472"/>
    </row>
    <row r="719652" spans="12:13" x14ac:dyDescent="0.25">
      <c r="L719652" s="472"/>
      <c r="M719652" s="472"/>
    </row>
    <row r="719653" spans="12:13" x14ac:dyDescent="0.25">
      <c r="L719653" s="472"/>
      <c r="M719653" s="472"/>
    </row>
    <row r="719725" spans="12:13" x14ac:dyDescent="0.25">
      <c r="L719725" s="472"/>
      <c r="M719725" s="472"/>
    </row>
    <row r="719726" spans="12:13" x14ac:dyDescent="0.25">
      <c r="L719726" s="472"/>
      <c r="M719726" s="472"/>
    </row>
    <row r="719727" spans="12:13" x14ac:dyDescent="0.25">
      <c r="L719727" s="472"/>
      <c r="M719727" s="472"/>
    </row>
    <row r="719799" spans="12:13" x14ac:dyDescent="0.25">
      <c r="L719799" s="472"/>
      <c r="M719799" s="472"/>
    </row>
    <row r="719800" spans="12:13" x14ac:dyDescent="0.25">
      <c r="L719800" s="472"/>
      <c r="M719800" s="472"/>
    </row>
    <row r="719801" spans="12:13" x14ac:dyDescent="0.25">
      <c r="L719801" s="472"/>
      <c r="M719801" s="472"/>
    </row>
    <row r="719873" spans="12:13" x14ac:dyDescent="0.25">
      <c r="L719873" s="472"/>
      <c r="M719873" s="472"/>
    </row>
    <row r="719874" spans="12:13" x14ac:dyDescent="0.25">
      <c r="L719874" s="472"/>
      <c r="M719874" s="472"/>
    </row>
    <row r="719875" spans="12:13" x14ac:dyDescent="0.25">
      <c r="L719875" s="472"/>
      <c r="M719875" s="472"/>
    </row>
    <row r="719947" spans="12:13" x14ac:dyDescent="0.25">
      <c r="L719947" s="472"/>
      <c r="M719947" s="472"/>
    </row>
    <row r="719948" spans="12:13" x14ac:dyDescent="0.25">
      <c r="L719948" s="472"/>
      <c r="M719948" s="472"/>
    </row>
    <row r="719949" spans="12:13" x14ac:dyDescent="0.25">
      <c r="L719949" s="472"/>
      <c r="M719949" s="472"/>
    </row>
    <row r="720021" spans="12:13" x14ac:dyDescent="0.25">
      <c r="L720021" s="472"/>
      <c r="M720021" s="472"/>
    </row>
    <row r="720022" spans="12:13" x14ac:dyDescent="0.25">
      <c r="L720022" s="472"/>
      <c r="M720022" s="472"/>
    </row>
    <row r="720023" spans="12:13" x14ac:dyDescent="0.25">
      <c r="L720023" s="472"/>
      <c r="M720023" s="472"/>
    </row>
    <row r="720095" spans="12:13" x14ac:dyDescent="0.25">
      <c r="L720095" s="472"/>
      <c r="M720095" s="472"/>
    </row>
    <row r="720096" spans="12:13" x14ac:dyDescent="0.25">
      <c r="L720096" s="472"/>
      <c r="M720096" s="472"/>
    </row>
    <row r="720097" spans="12:13" x14ac:dyDescent="0.25">
      <c r="L720097" s="472"/>
      <c r="M720097" s="472"/>
    </row>
    <row r="720169" spans="12:13" x14ac:dyDescent="0.25">
      <c r="L720169" s="472"/>
      <c r="M720169" s="472"/>
    </row>
    <row r="720170" spans="12:13" x14ac:dyDescent="0.25">
      <c r="L720170" s="472"/>
      <c r="M720170" s="472"/>
    </row>
    <row r="720171" spans="12:13" x14ac:dyDescent="0.25">
      <c r="L720171" s="472"/>
      <c r="M720171" s="472"/>
    </row>
    <row r="720243" spans="12:13" x14ac:dyDescent="0.25">
      <c r="L720243" s="472"/>
      <c r="M720243" s="472"/>
    </row>
    <row r="720244" spans="12:13" x14ac:dyDescent="0.25">
      <c r="L720244" s="472"/>
      <c r="M720244" s="472"/>
    </row>
    <row r="720245" spans="12:13" x14ac:dyDescent="0.25">
      <c r="L720245" s="472"/>
      <c r="M720245" s="472"/>
    </row>
    <row r="720317" spans="12:13" x14ac:dyDescent="0.25">
      <c r="L720317" s="472"/>
      <c r="M720317" s="472"/>
    </row>
    <row r="720318" spans="12:13" x14ac:dyDescent="0.25">
      <c r="L720318" s="472"/>
      <c r="M720318" s="472"/>
    </row>
    <row r="720319" spans="12:13" x14ac:dyDescent="0.25">
      <c r="L720319" s="472"/>
      <c r="M720319" s="472"/>
    </row>
    <row r="720391" spans="12:13" x14ac:dyDescent="0.25">
      <c r="L720391" s="472"/>
      <c r="M720391" s="472"/>
    </row>
    <row r="720392" spans="12:13" x14ac:dyDescent="0.25">
      <c r="L720392" s="472"/>
      <c r="M720392" s="472"/>
    </row>
    <row r="720393" spans="12:13" x14ac:dyDescent="0.25">
      <c r="L720393" s="472"/>
      <c r="M720393" s="472"/>
    </row>
    <row r="720465" spans="12:13" x14ac:dyDescent="0.25">
      <c r="L720465" s="472"/>
      <c r="M720465" s="472"/>
    </row>
    <row r="720466" spans="12:13" x14ac:dyDescent="0.25">
      <c r="L720466" s="472"/>
      <c r="M720466" s="472"/>
    </row>
    <row r="720467" spans="12:13" x14ac:dyDescent="0.25">
      <c r="L720467" s="472"/>
      <c r="M720467" s="472"/>
    </row>
    <row r="720539" spans="12:13" x14ac:dyDescent="0.25">
      <c r="L720539" s="472"/>
      <c r="M720539" s="472"/>
    </row>
    <row r="720540" spans="12:13" x14ac:dyDescent="0.25">
      <c r="L720540" s="472"/>
      <c r="M720540" s="472"/>
    </row>
    <row r="720541" spans="12:13" x14ac:dyDescent="0.25">
      <c r="L720541" s="472"/>
      <c r="M720541" s="472"/>
    </row>
    <row r="720613" spans="12:13" x14ac:dyDescent="0.25">
      <c r="L720613" s="472"/>
      <c r="M720613" s="472"/>
    </row>
    <row r="720614" spans="12:13" x14ac:dyDescent="0.25">
      <c r="L720614" s="472"/>
      <c r="M720614" s="472"/>
    </row>
    <row r="720615" spans="12:13" x14ac:dyDescent="0.25">
      <c r="L720615" s="472"/>
      <c r="M720615" s="472"/>
    </row>
    <row r="720687" spans="12:13" x14ac:dyDescent="0.25">
      <c r="L720687" s="472"/>
      <c r="M720687" s="472"/>
    </row>
    <row r="720688" spans="12:13" x14ac:dyDescent="0.25">
      <c r="L720688" s="472"/>
      <c r="M720688" s="472"/>
    </row>
    <row r="720689" spans="12:13" x14ac:dyDescent="0.25">
      <c r="L720689" s="472"/>
      <c r="M720689" s="472"/>
    </row>
    <row r="720761" spans="12:13" x14ac:dyDescent="0.25">
      <c r="L720761" s="472"/>
      <c r="M720761" s="472"/>
    </row>
    <row r="720762" spans="12:13" x14ac:dyDescent="0.25">
      <c r="L720762" s="472"/>
      <c r="M720762" s="472"/>
    </row>
    <row r="720763" spans="12:13" x14ac:dyDescent="0.25">
      <c r="L720763" s="472"/>
      <c r="M720763" s="472"/>
    </row>
    <row r="720835" spans="12:13" x14ac:dyDescent="0.25">
      <c r="L720835" s="472"/>
      <c r="M720835" s="472"/>
    </row>
    <row r="720836" spans="12:13" x14ac:dyDescent="0.25">
      <c r="L720836" s="472"/>
      <c r="M720836" s="472"/>
    </row>
    <row r="720837" spans="12:13" x14ac:dyDescent="0.25">
      <c r="L720837" s="472"/>
      <c r="M720837" s="472"/>
    </row>
    <row r="720909" spans="12:13" x14ac:dyDescent="0.25">
      <c r="L720909" s="472"/>
      <c r="M720909" s="472"/>
    </row>
    <row r="720910" spans="12:13" x14ac:dyDescent="0.25">
      <c r="L720910" s="472"/>
      <c r="M720910" s="472"/>
    </row>
    <row r="720911" spans="12:13" x14ac:dyDescent="0.25">
      <c r="L720911" s="472"/>
      <c r="M720911" s="472"/>
    </row>
    <row r="720983" spans="12:13" x14ac:dyDescent="0.25">
      <c r="L720983" s="472"/>
      <c r="M720983" s="472"/>
    </row>
    <row r="720984" spans="12:13" x14ac:dyDescent="0.25">
      <c r="L720984" s="472"/>
      <c r="M720984" s="472"/>
    </row>
    <row r="720985" spans="12:13" x14ac:dyDescent="0.25">
      <c r="L720985" s="472"/>
      <c r="M720985" s="472"/>
    </row>
    <row r="721057" spans="12:13" x14ac:dyDescent="0.25">
      <c r="L721057" s="472"/>
      <c r="M721057" s="472"/>
    </row>
    <row r="721058" spans="12:13" x14ac:dyDescent="0.25">
      <c r="L721058" s="472"/>
      <c r="M721058" s="472"/>
    </row>
    <row r="721059" spans="12:13" x14ac:dyDescent="0.25">
      <c r="L721059" s="472"/>
      <c r="M721059" s="472"/>
    </row>
    <row r="721131" spans="12:13" x14ac:dyDescent="0.25">
      <c r="L721131" s="472"/>
      <c r="M721131" s="472"/>
    </row>
    <row r="721132" spans="12:13" x14ac:dyDescent="0.25">
      <c r="L721132" s="472"/>
      <c r="M721132" s="472"/>
    </row>
    <row r="721133" spans="12:13" x14ac:dyDescent="0.25">
      <c r="L721133" s="472"/>
      <c r="M721133" s="472"/>
    </row>
    <row r="721205" spans="12:13" x14ac:dyDescent="0.25">
      <c r="L721205" s="472"/>
      <c r="M721205" s="472"/>
    </row>
    <row r="721206" spans="12:13" x14ac:dyDescent="0.25">
      <c r="L721206" s="472"/>
      <c r="M721206" s="472"/>
    </row>
    <row r="721207" spans="12:13" x14ac:dyDescent="0.25">
      <c r="L721207" s="472"/>
      <c r="M721207" s="472"/>
    </row>
    <row r="721279" spans="12:13" x14ac:dyDescent="0.25">
      <c r="L721279" s="472"/>
      <c r="M721279" s="472"/>
    </row>
    <row r="721280" spans="12:13" x14ac:dyDescent="0.25">
      <c r="L721280" s="472"/>
      <c r="M721280" s="472"/>
    </row>
    <row r="721281" spans="12:13" x14ac:dyDescent="0.25">
      <c r="L721281" s="472"/>
      <c r="M721281" s="472"/>
    </row>
    <row r="721353" spans="12:13" x14ac:dyDescent="0.25">
      <c r="L721353" s="472"/>
      <c r="M721353" s="472"/>
    </row>
    <row r="721354" spans="12:13" x14ac:dyDescent="0.25">
      <c r="L721354" s="472"/>
      <c r="M721354" s="472"/>
    </row>
    <row r="721355" spans="12:13" x14ac:dyDescent="0.25">
      <c r="L721355" s="472"/>
      <c r="M721355" s="472"/>
    </row>
    <row r="721427" spans="12:13" x14ac:dyDescent="0.25">
      <c r="L721427" s="472"/>
      <c r="M721427" s="472"/>
    </row>
    <row r="721428" spans="12:13" x14ac:dyDescent="0.25">
      <c r="L721428" s="472"/>
      <c r="M721428" s="472"/>
    </row>
    <row r="721429" spans="12:13" x14ac:dyDescent="0.25">
      <c r="L721429" s="472"/>
      <c r="M721429" s="472"/>
    </row>
    <row r="721501" spans="12:13" x14ac:dyDescent="0.25">
      <c r="L721501" s="472"/>
      <c r="M721501" s="472"/>
    </row>
    <row r="721502" spans="12:13" x14ac:dyDescent="0.25">
      <c r="L721502" s="472"/>
      <c r="M721502" s="472"/>
    </row>
    <row r="721503" spans="12:13" x14ac:dyDescent="0.25">
      <c r="L721503" s="472"/>
      <c r="M721503" s="472"/>
    </row>
    <row r="721575" spans="12:13" x14ac:dyDescent="0.25">
      <c r="L721575" s="472"/>
      <c r="M721575" s="472"/>
    </row>
    <row r="721576" spans="12:13" x14ac:dyDescent="0.25">
      <c r="L721576" s="472"/>
      <c r="M721576" s="472"/>
    </row>
    <row r="721577" spans="12:13" x14ac:dyDescent="0.25">
      <c r="L721577" s="472"/>
      <c r="M721577" s="472"/>
    </row>
    <row r="721649" spans="12:13" x14ac:dyDescent="0.25">
      <c r="L721649" s="472"/>
      <c r="M721649" s="472"/>
    </row>
    <row r="721650" spans="12:13" x14ac:dyDescent="0.25">
      <c r="L721650" s="472"/>
      <c r="M721650" s="472"/>
    </row>
    <row r="721651" spans="12:13" x14ac:dyDescent="0.25">
      <c r="L721651" s="472"/>
      <c r="M721651" s="472"/>
    </row>
    <row r="721723" spans="12:13" x14ac:dyDescent="0.25">
      <c r="L721723" s="472"/>
      <c r="M721723" s="472"/>
    </row>
    <row r="721724" spans="12:13" x14ac:dyDescent="0.25">
      <c r="L721724" s="472"/>
      <c r="M721724" s="472"/>
    </row>
    <row r="721725" spans="12:13" x14ac:dyDescent="0.25">
      <c r="L721725" s="472"/>
      <c r="M721725" s="472"/>
    </row>
    <row r="721797" spans="12:13" x14ac:dyDescent="0.25">
      <c r="L721797" s="472"/>
      <c r="M721797" s="472"/>
    </row>
    <row r="721798" spans="12:13" x14ac:dyDescent="0.25">
      <c r="L721798" s="472"/>
      <c r="M721798" s="472"/>
    </row>
    <row r="721799" spans="12:13" x14ac:dyDescent="0.25">
      <c r="L721799" s="472"/>
      <c r="M721799" s="472"/>
    </row>
    <row r="721871" spans="12:13" x14ac:dyDescent="0.25">
      <c r="L721871" s="472"/>
      <c r="M721871" s="472"/>
    </row>
    <row r="721872" spans="12:13" x14ac:dyDescent="0.25">
      <c r="L721872" s="472"/>
      <c r="M721872" s="472"/>
    </row>
    <row r="721873" spans="12:13" x14ac:dyDescent="0.25">
      <c r="L721873" s="472"/>
      <c r="M721873" s="472"/>
    </row>
    <row r="721945" spans="12:13" x14ac:dyDescent="0.25">
      <c r="L721945" s="472"/>
      <c r="M721945" s="472"/>
    </row>
    <row r="721946" spans="12:13" x14ac:dyDescent="0.25">
      <c r="L721946" s="472"/>
      <c r="M721946" s="472"/>
    </row>
    <row r="721947" spans="12:13" x14ac:dyDescent="0.25">
      <c r="L721947" s="472"/>
      <c r="M721947" s="472"/>
    </row>
    <row r="722019" spans="12:13" x14ac:dyDescent="0.25">
      <c r="L722019" s="472"/>
      <c r="M722019" s="472"/>
    </row>
    <row r="722020" spans="12:13" x14ac:dyDescent="0.25">
      <c r="L722020" s="472"/>
      <c r="M722020" s="472"/>
    </row>
    <row r="722021" spans="12:13" x14ac:dyDescent="0.25">
      <c r="L722021" s="472"/>
      <c r="M722021" s="472"/>
    </row>
    <row r="722093" spans="12:13" x14ac:dyDescent="0.25">
      <c r="L722093" s="472"/>
      <c r="M722093" s="472"/>
    </row>
    <row r="722094" spans="12:13" x14ac:dyDescent="0.25">
      <c r="L722094" s="472"/>
      <c r="M722094" s="472"/>
    </row>
    <row r="722095" spans="12:13" x14ac:dyDescent="0.25">
      <c r="L722095" s="472"/>
      <c r="M722095" s="472"/>
    </row>
    <row r="722167" spans="12:13" x14ac:dyDescent="0.25">
      <c r="L722167" s="472"/>
      <c r="M722167" s="472"/>
    </row>
    <row r="722168" spans="12:13" x14ac:dyDescent="0.25">
      <c r="L722168" s="472"/>
      <c r="M722168" s="472"/>
    </row>
    <row r="722169" spans="12:13" x14ac:dyDescent="0.25">
      <c r="L722169" s="472"/>
      <c r="M722169" s="472"/>
    </row>
    <row r="722241" spans="12:13" x14ac:dyDescent="0.25">
      <c r="L722241" s="472"/>
      <c r="M722241" s="472"/>
    </row>
    <row r="722242" spans="12:13" x14ac:dyDescent="0.25">
      <c r="L722242" s="472"/>
      <c r="M722242" s="472"/>
    </row>
    <row r="722243" spans="12:13" x14ac:dyDescent="0.25">
      <c r="L722243" s="472"/>
      <c r="M722243" s="472"/>
    </row>
    <row r="722315" spans="12:13" x14ac:dyDescent="0.25">
      <c r="L722315" s="472"/>
      <c r="M722315" s="472"/>
    </row>
    <row r="722316" spans="12:13" x14ac:dyDescent="0.25">
      <c r="L722316" s="472"/>
      <c r="M722316" s="472"/>
    </row>
    <row r="722317" spans="12:13" x14ac:dyDescent="0.25">
      <c r="L722317" s="472"/>
      <c r="M722317" s="472"/>
    </row>
    <row r="722389" spans="12:13" x14ac:dyDescent="0.25">
      <c r="L722389" s="472"/>
      <c r="M722389" s="472"/>
    </row>
    <row r="722390" spans="12:13" x14ac:dyDescent="0.25">
      <c r="L722390" s="472"/>
      <c r="M722390" s="472"/>
    </row>
    <row r="722391" spans="12:13" x14ac:dyDescent="0.25">
      <c r="L722391" s="472"/>
      <c r="M722391" s="472"/>
    </row>
    <row r="722463" spans="12:13" x14ac:dyDescent="0.25">
      <c r="L722463" s="472"/>
      <c r="M722463" s="472"/>
    </row>
    <row r="722464" spans="12:13" x14ac:dyDescent="0.25">
      <c r="L722464" s="472"/>
      <c r="M722464" s="472"/>
    </row>
    <row r="722465" spans="12:13" x14ac:dyDescent="0.25">
      <c r="L722465" s="472"/>
      <c r="M722465" s="472"/>
    </row>
    <row r="722537" spans="12:13" x14ac:dyDescent="0.25">
      <c r="L722537" s="472"/>
      <c r="M722537" s="472"/>
    </row>
    <row r="722538" spans="12:13" x14ac:dyDescent="0.25">
      <c r="L722538" s="472"/>
      <c r="M722538" s="472"/>
    </row>
    <row r="722539" spans="12:13" x14ac:dyDescent="0.25">
      <c r="L722539" s="472"/>
      <c r="M722539" s="472"/>
    </row>
    <row r="722611" spans="12:13" x14ac:dyDescent="0.25">
      <c r="L722611" s="472"/>
      <c r="M722611" s="472"/>
    </row>
    <row r="722612" spans="12:13" x14ac:dyDescent="0.25">
      <c r="L722612" s="472"/>
      <c r="M722612" s="472"/>
    </row>
    <row r="722613" spans="12:13" x14ac:dyDescent="0.25">
      <c r="L722613" s="472"/>
      <c r="M722613" s="472"/>
    </row>
    <row r="722685" spans="12:13" x14ac:dyDescent="0.25">
      <c r="L722685" s="472"/>
      <c r="M722685" s="472"/>
    </row>
    <row r="722686" spans="12:13" x14ac:dyDescent="0.25">
      <c r="L722686" s="472"/>
      <c r="M722686" s="472"/>
    </row>
    <row r="722687" spans="12:13" x14ac:dyDescent="0.25">
      <c r="L722687" s="472"/>
      <c r="M722687" s="472"/>
    </row>
    <row r="722759" spans="12:13" x14ac:dyDescent="0.25">
      <c r="L722759" s="472"/>
      <c r="M722759" s="472"/>
    </row>
    <row r="722760" spans="12:13" x14ac:dyDescent="0.25">
      <c r="L722760" s="472"/>
      <c r="M722760" s="472"/>
    </row>
    <row r="722761" spans="12:13" x14ac:dyDescent="0.25">
      <c r="L722761" s="472"/>
      <c r="M722761" s="472"/>
    </row>
    <row r="722833" spans="12:13" x14ac:dyDescent="0.25">
      <c r="L722833" s="472"/>
      <c r="M722833" s="472"/>
    </row>
    <row r="722834" spans="12:13" x14ac:dyDescent="0.25">
      <c r="L722834" s="472"/>
      <c r="M722834" s="472"/>
    </row>
    <row r="722835" spans="12:13" x14ac:dyDescent="0.25">
      <c r="L722835" s="472"/>
      <c r="M722835" s="472"/>
    </row>
    <row r="722907" spans="12:13" x14ac:dyDescent="0.25">
      <c r="L722907" s="472"/>
      <c r="M722907" s="472"/>
    </row>
    <row r="722908" spans="12:13" x14ac:dyDescent="0.25">
      <c r="L722908" s="472"/>
      <c r="M722908" s="472"/>
    </row>
    <row r="722909" spans="12:13" x14ac:dyDescent="0.25">
      <c r="L722909" s="472"/>
      <c r="M722909" s="472"/>
    </row>
    <row r="722981" spans="12:13" x14ac:dyDescent="0.25">
      <c r="L722981" s="472"/>
      <c r="M722981" s="472"/>
    </row>
    <row r="722982" spans="12:13" x14ac:dyDescent="0.25">
      <c r="L722982" s="472"/>
      <c r="M722982" s="472"/>
    </row>
    <row r="722983" spans="12:13" x14ac:dyDescent="0.25">
      <c r="L722983" s="472"/>
      <c r="M722983" s="472"/>
    </row>
    <row r="723055" spans="12:13" x14ac:dyDescent="0.25">
      <c r="L723055" s="472"/>
      <c r="M723055" s="472"/>
    </row>
    <row r="723056" spans="12:13" x14ac:dyDescent="0.25">
      <c r="L723056" s="472"/>
      <c r="M723056" s="472"/>
    </row>
    <row r="723057" spans="12:13" x14ac:dyDescent="0.25">
      <c r="L723057" s="472"/>
      <c r="M723057" s="472"/>
    </row>
    <row r="723129" spans="12:13" x14ac:dyDescent="0.25">
      <c r="L723129" s="472"/>
      <c r="M723129" s="472"/>
    </row>
    <row r="723130" spans="12:13" x14ac:dyDescent="0.25">
      <c r="L723130" s="472"/>
      <c r="M723130" s="472"/>
    </row>
    <row r="723131" spans="12:13" x14ac:dyDescent="0.25">
      <c r="L723131" s="472"/>
      <c r="M723131" s="472"/>
    </row>
    <row r="723203" spans="12:13" x14ac:dyDescent="0.25">
      <c r="L723203" s="472"/>
      <c r="M723203" s="472"/>
    </row>
    <row r="723204" spans="12:13" x14ac:dyDescent="0.25">
      <c r="L723204" s="472"/>
      <c r="M723204" s="472"/>
    </row>
    <row r="723205" spans="12:13" x14ac:dyDescent="0.25">
      <c r="L723205" s="472"/>
      <c r="M723205" s="472"/>
    </row>
    <row r="723277" spans="12:13" x14ac:dyDescent="0.25">
      <c r="L723277" s="472"/>
      <c r="M723277" s="472"/>
    </row>
    <row r="723278" spans="12:13" x14ac:dyDescent="0.25">
      <c r="L723278" s="472"/>
      <c r="M723278" s="472"/>
    </row>
    <row r="723279" spans="12:13" x14ac:dyDescent="0.25">
      <c r="L723279" s="472"/>
      <c r="M723279" s="472"/>
    </row>
    <row r="723351" spans="12:13" x14ac:dyDescent="0.25">
      <c r="L723351" s="472"/>
      <c r="M723351" s="472"/>
    </row>
    <row r="723352" spans="12:13" x14ac:dyDescent="0.25">
      <c r="L723352" s="472"/>
      <c r="M723352" s="472"/>
    </row>
    <row r="723353" spans="12:13" x14ac:dyDescent="0.25">
      <c r="L723353" s="472"/>
      <c r="M723353" s="472"/>
    </row>
    <row r="723425" spans="12:13" x14ac:dyDescent="0.25">
      <c r="L723425" s="472"/>
      <c r="M723425" s="472"/>
    </row>
    <row r="723426" spans="12:13" x14ac:dyDescent="0.25">
      <c r="L723426" s="472"/>
      <c r="M723426" s="472"/>
    </row>
    <row r="723427" spans="12:13" x14ac:dyDescent="0.25">
      <c r="L723427" s="472"/>
      <c r="M723427" s="472"/>
    </row>
    <row r="723499" spans="12:13" x14ac:dyDescent="0.25">
      <c r="L723499" s="472"/>
      <c r="M723499" s="472"/>
    </row>
    <row r="723500" spans="12:13" x14ac:dyDescent="0.25">
      <c r="L723500" s="472"/>
      <c r="M723500" s="472"/>
    </row>
    <row r="723501" spans="12:13" x14ac:dyDescent="0.25">
      <c r="L723501" s="472"/>
      <c r="M723501" s="472"/>
    </row>
    <row r="723573" spans="12:13" x14ac:dyDescent="0.25">
      <c r="L723573" s="472"/>
      <c r="M723573" s="472"/>
    </row>
    <row r="723574" spans="12:13" x14ac:dyDescent="0.25">
      <c r="L723574" s="472"/>
      <c r="M723574" s="472"/>
    </row>
    <row r="723575" spans="12:13" x14ac:dyDescent="0.25">
      <c r="L723575" s="472"/>
      <c r="M723575" s="472"/>
    </row>
    <row r="723647" spans="12:13" x14ac:dyDescent="0.25">
      <c r="L723647" s="472"/>
      <c r="M723647" s="472"/>
    </row>
    <row r="723648" spans="12:13" x14ac:dyDescent="0.25">
      <c r="L723648" s="472"/>
      <c r="M723648" s="472"/>
    </row>
    <row r="723649" spans="12:13" x14ac:dyDescent="0.25">
      <c r="L723649" s="472"/>
      <c r="M723649" s="472"/>
    </row>
    <row r="723721" spans="12:13" x14ac:dyDescent="0.25">
      <c r="L723721" s="472"/>
      <c r="M723721" s="472"/>
    </row>
    <row r="723722" spans="12:13" x14ac:dyDescent="0.25">
      <c r="L723722" s="472"/>
      <c r="M723722" s="472"/>
    </row>
    <row r="723723" spans="12:13" x14ac:dyDescent="0.25">
      <c r="L723723" s="472"/>
      <c r="M723723" s="472"/>
    </row>
    <row r="723795" spans="12:13" x14ac:dyDescent="0.25">
      <c r="L723795" s="472"/>
      <c r="M723795" s="472"/>
    </row>
    <row r="723796" spans="12:13" x14ac:dyDescent="0.25">
      <c r="L723796" s="472"/>
      <c r="M723796" s="472"/>
    </row>
    <row r="723797" spans="12:13" x14ac:dyDescent="0.25">
      <c r="L723797" s="472"/>
      <c r="M723797" s="472"/>
    </row>
    <row r="723869" spans="12:13" x14ac:dyDescent="0.25">
      <c r="L723869" s="472"/>
      <c r="M723869" s="472"/>
    </row>
    <row r="723870" spans="12:13" x14ac:dyDescent="0.25">
      <c r="L723870" s="472"/>
      <c r="M723870" s="472"/>
    </row>
    <row r="723871" spans="12:13" x14ac:dyDescent="0.25">
      <c r="L723871" s="472"/>
      <c r="M723871" s="472"/>
    </row>
    <row r="723943" spans="12:13" x14ac:dyDescent="0.25">
      <c r="L723943" s="472"/>
      <c r="M723943" s="472"/>
    </row>
    <row r="723944" spans="12:13" x14ac:dyDescent="0.25">
      <c r="L723944" s="472"/>
      <c r="M723944" s="472"/>
    </row>
    <row r="723945" spans="12:13" x14ac:dyDescent="0.25">
      <c r="L723945" s="472"/>
      <c r="M723945" s="472"/>
    </row>
    <row r="724017" spans="12:13" x14ac:dyDescent="0.25">
      <c r="L724017" s="472"/>
      <c r="M724017" s="472"/>
    </row>
    <row r="724018" spans="12:13" x14ac:dyDescent="0.25">
      <c r="L724018" s="472"/>
      <c r="M724018" s="472"/>
    </row>
    <row r="724019" spans="12:13" x14ac:dyDescent="0.25">
      <c r="L724019" s="472"/>
      <c r="M724019" s="472"/>
    </row>
    <row r="724091" spans="12:13" x14ac:dyDescent="0.25">
      <c r="L724091" s="472"/>
      <c r="M724091" s="472"/>
    </row>
    <row r="724092" spans="12:13" x14ac:dyDescent="0.25">
      <c r="L724092" s="472"/>
      <c r="M724092" s="472"/>
    </row>
    <row r="724093" spans="12:13" x14ac:dyDescent="0.25">
      <c r="L724093" s="472"/>
      <c r="M724093" s="472"/>
    </row>
    <row r="724165" spans="12:13" x14ac:dyDescent="0.25">
      <c r="L724165" s="472"/>
      <c r="M724165" s="472"/>
    </row>
    <row r="724166" spans="12:13" x14ac:dyDescent="0.25">
      <c r="L724166" s="472"/>
      <c r="M724166" s="472"/>
    </row>
    <row r="724167" spans="12:13" x14ac:dyDescent="0.25">
      <c r="L724167" s="472"/>
      <c r="M724167" s="472"/>
    </row>
    <row r="724239" spans="12:13" x14ac:dyDescent="0.25">
      <c r="L724239" s="472"/>
      <c r="M724239" s="472"/>
    </row>
    <row r="724240" spans="12:13" x14ac:dyDescent="0.25">
      <c r="L724240" s="472"/>
      <c r="M724240" s="472"/>
    </row>
    <row r="724241" spans="12:13" x14ac:dyDescent="0.25">
      <c r="L724241" s="472"/>
      <c r="M724241" s="472"/>
    </row>
    <row r="724313" spans="12:13" x14ac:dyDescent="0.25">
      <c r="L724313" s="472"/>
      <c r="M724313" s="472"/>
    </row>
    <row r="724314" spans="12:13" x14ac:dyDescent="0.25">
      <c r="L724314" s="472"/>
      <c r="M724314" s="472"/>
    </row>
    <row r="724315" spans="12:13" x14ac:dyDescent="0.25">
      <c r="L724315" s="472"/>
      <c r="M724315" s="472"/>
    </row>
    <row r="724387" spans="12:13" x14ac:dyDescent="0.25">
      <c r="L724387" s="472"/>
      <c r="M724387" s="472"/>
    </row>
    <row r="724388" spans="12:13" x14ac:dyDescent="0.25">
      <c r="L724388" s="472"/>
      <c r="M724388" s="472"/>
    </row>
    <row r="724389" spans="12:13" x14ac:dyDescent="0.25">
      <c r="L724389" s="472"/>
      <c r="M724389" s="472"/>
    </row>
    <row r="724461" spans="12:13" x14ac:dyDescent="0.25">
      <c r="L724461" s="472"/>
      <c r="M724461" s="472"/>
    </row>
    <row r="724462" spans="12:13" x14ac:dyDescent="0.25">
      <c r="L724462" s="472"/>
      <c r="M724462" s="472"/>
    </row>
    <row r="724463" spans="12:13" x14ac:dyDescent="0.25">
      <c r="L724463" s="472"/>
      <c r="M724463" s="472"/>
    </row>
    <row r="724535" spans="12:13" x14ac:dyDescent="0.25">
      <c r="L724535" s="472"/>
      <c r="M724535" s="472"/>
    </row>
    <row r="724536" spans="12:13" x14ac:dyDescent="0.25">
      <c r="L724536" s="472"/>
      <c r="M724536" s="472"/>
    </row>
    <row r="724537" spans="12:13" x14ac:dyDescent="0.25">
      <c r="L724537" s="472"/>
      <c r="M724537" s="472"/>
    </row>
    <row r="724609" spans="12:13" x14ac:dyDescent="0.25">
      <c r="L724609" s="472"/>
      <c r="M724609" s="472"/>
    </row>
    <row r="724610" spans="12:13" x14ac:dyDescent="0.25">
      <c r="L724610" s="472"/>
      <c r="M724610" s="472"/>
    </row>
    <row r="724611" spans="12:13" x14ac:dyDescent="0.25">
      <c r="L724611" s="472"/>
      <c r="M724611" s="472"/>
    </row>
    <row r="724683" spans="12:13" x14ac:dyDescent="0.25">
      <c r="L724683" s="472"/>
      <c r="M724683" s="472"/>
    </row>
    <row r="724684" spans="12:13" x14ac:dyDescent="0.25">
      <c r="L724684" s="472"/>
      <c r="M724684" s="472"/>
    </row>
    <row r="724685" spans="12:13" x14ac:dyDescent="0.25">
      <c r="L724685" s="472"/>
      <c r="M724685" s="472"/>
    </row>
    <row r="724757" spans="12:13" x14ac:dyDescent="0.25">
      <c r="L724757" s="472"/>
      <c r="M724757" s="472"/>
    </row>
    <row r="724758" spans="12:13" x14ac:dyDescent="0.25">
      <c r="L724758" s="472"/>
      <c r="M724758" s="472"/>
    </row>
    <row r="724759" spans="12:13" x14ac:dyDescent="0.25">
      <c r="L724759" s="472"/>
      <c r="M724759" s="472"/>
    </row>
    <row r="724831" spans="12:13" x14ac:dyDescent="0.25">
      <c r="L724831" s="472"/>
      <c r="M724831" s="472"/>
    </row>
    <row r="724832" spans="12:13" x14ac:dyDescent="0.25">
      <c r="L724832" s="472"/>
      <c r="M724832" s="472"/>
    </row>
    <row r="724833" spans="12:13" x14ac:dyDescent="0.25">
      <c r="L724833" s="472"/>
      <c r="M724833" s="472"/>
    </row>
    <row r="724905" spans="12:13" x14ac:dyDescent="0.25">
      <c r="L724905" s="472"/>
      <c r="M724905" s="472"/>
    </row>
    <row r="724906" spans="12:13" x14ac:dyDescent="0.25">
      <c r="L724906" s="472"/>
      <c r="M724906" s="472"/>
    </row>
    <row r="724907" spans="12:13" x14ac:dyDescent="0.25">
      <c r="L724907" s="472"/>
      <c r="M724907" s="472"/>
    </row>
    <row r="724979" spans="12:13" x14ac:dyDescent="0.25">
      <c r="L724979" s="472"/>
      <c r="M724979" s="472"/>
    </row>
    <row r="724980" spans="12:13" x14ac:dyDescent="0.25">
      <c r="L724980" s="472"/>
      <c r="M724980" s="472"/>
    </row>
    <row r="724981" spans="12:13" x14ac:dyDescent="0.25">
      <c r="L724981" s="472"/>
      <c r="M724981" s="472"/>
    </row>
    <row r="725053" spans="12:13" x14ac:dyDescent="0.25">
      <c r="L725053" s="472"/>
      <c r="M725053" s="472"/>
    </row>
    <row r="725054" spans="12:13" x14ac:dyDescent="0.25">
      <c r="L725054" s="472"/>
      <c r="M725054" s="472"/>
    </row>
    <row r="725055" spans="12:13" x14ac:dyDescent="0.25">
      <c r="L725055" s="472"/>
      <c r="M725055" s="472"/>
    </row>
    <row r="725127" spans="12:13" x14ac:dyDescent="0.25">
      <c r="L725127" s="472"/>
      <c r="M725127" s="472"/>
    </row>
    <row r="725128" spans="12:13" x14ac:dyDescent="0.25">
      <c r="L725128" s="472"/>
      <c r="M725128" s="472"/>
    </row>
    <row r="725129" spans="12:13" x14ac:dyDescent="0.25">
      <c r="L725129" s="472"/>
      <c r="M725129" s="472"/>
    </row>
    <row r="725201" spans="12:13" x14ac:dyDescent="0.25">
      <c r="L725201" s="472"/>
      <c r="M725201" s="472"/>
    </row>
    <row r="725202" spans="12:13" x14ac:dyDescent="0.25">
      <c r="L725202" s="472"/>
      <c r="M725202" s="472"/>
    </row>
    <row r="725203" spans="12:13" x14ac:dyDescent="0.25">
      <c r="L725203" s="472"/>
      <c r="M725203" s="472"/>
    </row>
    <row r="725275" spans="12:13" x14ac:dyDescent="0.25">
      <c r="L725275" s="472"/>
      <c r="M725275" s="472"/>
    </row>
    <row r="725276" spans="12:13" x14ac:dyDescent="0.25">
      <c r="L725276" s="472"/>
      <c r="M725276" s="472"/>
    </row>
    <row r="725277" spans="12:13" x14ac:dyDescent="0.25">
      <c r="L725277" s="472"/>
      <c r="M725277" s="472"/>
    </row>
    <row r="725349" spans="12:13" x14ac:dyDescent="0.25">
      <c r="L725349" s="472"/>
      <c r="M725349" s="472"/>
    </row>
    <row r="725350" spans="12:13" x14ac:dyDescent="0.25">
      <c r="L725350" s="472"/>
      <c r="M725350" s="472"/>
    </row>
    <row r="725351" spans="12:13" x14ac:dyDescent="0.25">
      <c r="L725351" s="472"/>
      <c r="M725351" s="472"/>
    </row>
    <row r="725423" spans="12:13" x14ac:dyDescent="0.25">
      <c r="L725423" s="472"/>
      <c r="M725423" s="472"/>
    </row>
    <row r="725424" spans="12:13" x14ac:dyDescent="0.25">
      <c r="L725424" s="472"/>
      <c r="M725424" s="472"/>
    </row>
    <row r="725425" spans="12:13" x14ac:dyDescent="0.25">
      <c r="L725425" s="472"/>
      <c r="M725425" s="472"/>
    </row>
    <row r="725497" spans="12:13" x14ac:dyDescent="0.25">
      <c r="L725497" s="472"/>
      <c r="M725497" s="472"/>
    </row>
    <row r="725498" spans="12:13" x14ac:dyDescent="0.25">
      <c r="L725498" s="472"/>
      <c r="M725498" s="472"/>
    </row>
    <row r="725499" spans="12:13" x14ac:dyDescent="0.25">
      <c r="L725499" s="472"/>
      <c r="M725499" s="472"/>
    </row>
    <row r="725571" spans="12:13" x14ac:dyDescent="0.25">
      <c r="L725571" s="472"/>
      <c r="M725571" s="472"/>
    </row>
    <row r="725572" spans="12:13" x14ac:dyDescent="0.25">
      <c r="L725572" s="472"/>
      <c r="M725572" s="472"/>
    </row>
    <row r="725573" spans="12:13" x14ac:dyDescent="0.25">
      <c r="L725573" s="472"/>
      <c r="M725573" s="472"/>
    </row>
    <row r="725645" spans="12:13" x14ac:dyDescent="0.25">
      <c r="L725645" s="472"/>
      <c r="M725645" s="472"/>
    </row>
    <row r="725646" spans="12:13" x14ac:dyDescent="0.25">
      <c r="L725646" s="472"/>
      <c r="M725646" s="472"/>
    </row>
    <row r="725647" spans="12:13" x14ac:dyDescent="0.25">
      <c r="L725647" s="472"/>
      <c r="M725647" s="472"/>
    </row>
    <row r="725719" spans="12:13" x14ac:dyDescent="0.25">
      <c r="L725719" s="472"/>
      <c r="M725719" s="472"/>
    </row>
    <row r="725720" spans="12:13" x14ac:dyDescent="0.25">
      <c r="L725720" s="472"/>
      <c r="M725720" s="472"/>
    </row>
    <row r="725721" spans="12:13" x14ac:dyDescent="0.25">
      <c r="L725721" s="472"/>
      <c r="M725721" s="472"/>
    </row>
    <row r="725793" spans="12:13" x14ac:dyDescent="0.25">
      <c r="L725793" s="472"/>
      <c r="M725793" s="472"/>
    </row>
    <row r="725794" spans="12:13" x14ac:dyDescent="0.25">
      <c r="L725794" s="472"/>
      <c r="M725794" s="472"/>
    </row>
    <row r="725795" spans="12:13" x14ac:dyDescent="0.25">
      <c r="L725795" s="472"/>
      <c r="M725795" s="472"/>
    </row>
    <row r="725867" spans="12:13" x14ac:dyDescent="0.25">
      <c r="L725867" s="472"/>
      <c r="M725867" s="472"/>
    </row>
    <row r="725868" spans="12:13" x14ac:dyDescent="0.25">
      <c r="L725868" s="472"/>
      <c r="M725868" s="472"/>
    </row>
    <row r="725869" spans="12:13" x14ac:dyDescent="0.25">
      <c r="L725869" s="472"/>
      <c r="M725869" s="472"/>
    </row>
    <row r="725941" spans="12:13" x14ac:dyDescent="0.25">
      <c r="L725941" s="472"/>
      <c r="M725941" s="472"/>
    </row>
    <row r="725942" spans="12:13" x14ac:dyDescent="0.25">
      <c r="L725942" s="472"/>
      <c r="M725942" s="472"/>
    </row>
    <row r="725943" spans="12:13" x14ac:dyDescent="0.25">
      <c r="L725943" s="472"/>
      <c r="M725943" s="472"/>
    </row>
    <row r="726015" spans="12:13" x14ac:dyDescent="0.25">
      <c r="L726015" s="472"/>
      <c r="M726015" s="472"/>
    </row>
    <row r="726016" spans="12:13" x14ac:dyDescent="0.25">
      <c r="L726016" s="472"/>
      <c r="M726016" s="472"/>
    </row>
    <row r="726017" spans="12:13" x14ac:dyDescent="0.25">
      <c r="L726017" s="472"/>
      <c r="M726017" s="472"/>
    </row>
    <row r="726089" spans="12:13" x14ac:dyDescent="0.25">
      <c r="L726089" s="472"/>
      <c r="M726089" s="472"/>
    </row>
    <row r="726090" spans="12:13" x14ac:dyDescent="0.25">
      <c r="L726090" s="472"/>
      <c r="M726090" s="472"/>
    </row>
    <row r="726091" spans="12:13" x14ac:dyDescent="0.25">
      <c r="L726091" s="472"/>
      <c r="M726091" s="472"/>
    </row>
    <row r="726163" spans="12:13" x14ac:dyDescent="0.25">
      <c r="L726163" s="472"/>
      <c r="M726163" s="472"/>
    </row>
    <row r="726164" spans="12:13" x14ac:dyDescent="0.25">
      <c r="L726164" s="472"/>
      <c r="M726164" s="472"/>
    </row>
    <row r="726165" spans="12:13" x14ac:dyDescent="0.25">
      <c r="L726165" s="472"/>
      <c r="M726165" s="472"/>
    </row>
    <row r="726237" spans="12:13" x14ac:dyDescent="0.25">
      <c r="L726237" s="472"/>
      <c r="M726237" s="472"/>
    </row>
    <row r="726238" spans="12:13" x14ac:dyDescent="0.25">
      <c r="L726238" s="472"/>
      <c r="M726238" s="472"/>
    </row>
    <row r="726239" spans="12:13" x14ac:dyDescent="0.25">
      <c r="L726239" s="472"/>
      <c r="M726239" s="472"/>
    </row>
    <row r="726311" spans="12:13" x14ac:dyDescent="0.25">
      <c r="L726311" s="472"/>
      <c r="M726311" s="472"/>
    </row>
    <row r="726312" spans="12:13" x14ac:dyDescent="0.25">
      <c r="L726312" s="472"/>
      <c r="M726312" s="472"/>
    </row>
    <row r="726313" spans="12:13" x14ac:dyDescent="0.25">
      <c r="L726313" s="472"/>
      <c r="M726313" s="472"/>
    </row>
    <row r="726385" spans="12:13" x14ac:dyDescent="0.25">
      <c r="L726385" s="472"/>
      <c r="M726385" s="472"/>
    </row>
    <row r="726386" spans="12:13" x14ac:dyDescent="0.25">
      <c r="L726386" s="472"/>
      <c r="M726386" s="472"/>
    </row>
    <row r="726387" spans="12:13" x14ac:dyDescent="0.25">
      <c r="L726387" s="472"/>
      <c r="M726387" s="472"/>
    </row>
    <row r="726459" spans="12:13" x14ac:dyDescent="0.25">
      <c r="L726459" s="472"/>
      <c r="M726459" s="472"/>
    </row>
    <row r="726460" spans="12:13" x14ac:dyDescent="0.25">
      <c r="L726460" s="472"/>
      <c r="M726460" s="472"/>
    </row>
    <row r="726461" spans="12:13" x14ac:dyDescent="0.25">
      <c r="L726461" s="472"/>
      <c r="M726461" s="472"/>
    </row>
    <row r="726533" spans="12:13" x14ac:dyDescent="0.25">
      <c r="L726533" s="472"/>
      <c r="M726533" s="472"/>
    </row>
    <row r="726534" spans="12:13" x14ac:dyDescent="0.25">
      <c r="L726534" s="472"/>
      <c r="M726534" s="472"/>
    </row>
    <row r="726535" spans="12:13" x14ac:dyDescent="0.25">
      <c r="L726535" s="472"/>
      <c r="M726535" s="472"/>
    </row>
    <row r="726607" spans="12:13" x14ac:dyDescent="0.25">
      <c r="L726607" s="472"/>
      <c r="M726607" s="472"/>
    </row>
    <row r="726608" spans="12:13" x14ac:dyDescent="0.25">
      <c r="L726608" s="472"/>
      <c r="M726608" s="472"/>
    </row>
    <row r="726609" spans="12:13" x14ac:dyDescent="0.25">
      <c r="L726609" s="472"/>
      <c r="M726609" s="472"/>
    </row>
    <row r="726681" spans="12:13" x14ac:dyDescent="0.25">
      <c r="L726681" s="472"/>
      <c r="M726681" s="472"/>
    </row>
    <row r="726682" spans="12:13" x14ac:dyDescent="0.25">
      <c r="L726682" s="472"/>
      <c r="M726682" s="472"/>
    </row>
    <row r="726683" spans="12:13" x14ac:dyDescent="0.25">
      <c r="L726683" s="472"/>
      <c r="M726683" s="472"/>
    </row>
    <row r="726755" spans="12:13" x14ac:dyDescent="0.25">
      <c r="L726755" s="472"/>
      <c r="M726755" s="472"/>
    </row>
    <row r="726756" spans="12:13" x14ac:dyDescent="0.25">
      <c r="L726756" s="472"/>
      <c r="M726756" s="472"/>
    </row>
    <row r="726757" spans="12:13" x14ac:dyDescent="0.25">
      <c r="L726757" s="472"/>
      <c r="M726757" s="472"/>
    </row>
    <row r="726829" spans="12:13" x14ac:dyDescent="0.25">
      <c r="L726829" s="472"/>
      <c r="M726829" s="472"/>
    </row>
    <row r="726830" spans="12:13" x14ac:dyDescent="0.25">
      <c r="L726830" s="472"/>
      <c r="M726830" s="472"/>
    </row>
    <row r="726831" spans="12:13" x14ac:dyDescent="0.25">
      <c r="L726831" s="472"/>
      <c r="M726831" s="472"/>
    </row>
    <row r="726903" spans="12:13" x14ac:dyDescent="0.25">
      <c r="L726903" s="472"/>
      <c r="M726903" s="472"/>
    </row>
    <row r="726904" spans="12:13" x14ac:dyDescent="0.25">
      <c r="L726904" s="472"/>
      <c r="M726904" s="472"/>
    </row>
    <row r="726905" spans="12:13" x14ac:dyDescent="0.25">
      <c r="L726905" s="472"/>
      <c r="M726905" s="472"/>
    </row>
    <row r="726977" spans="12:13" x14ac:dyDescent="0.25">
      <c r="L726977" s="472"/>
      <c r="M726977" s="472"/>
    </row>
    <row r="726978" spans="12:13" x14ac:dyDescent="0.25">
      <c r="L726978" s="472"/>
      <c r="M726978" s="472"/>
    </row>
    <row r="726979" spans="12:13" x14ac:dyDescent="0.25">
      <c r="L726979" s="472"/>
      <c r="M726979" s="472"/>
    </row>
    <row r="727051" spans="12:13" x14ac:dyDescent="0.25">
      <c r="L727051" s="472"/>
      <c r="M727051" s="472"/>
    </row>
    <row r="727052" spans="12:13" x14ac:dyDescent="0.25">
      <c r="L727052" s="472"/>
      <c r="M727052" s="472"/>
    </row>
    <row r="727053" spans="12:13" x14ac:dyDescent="0.25">
      <c r="L727053" s="472"/>
      <c r="M727053" s="472"/>
    </row>
    <row r="727125" spans="12:13" x14ac:dyDescent="0.25">
      <c r="L727125" s="472"/>
      <c r="M727125" s="472"/>
    </row>
    <row r="727126" spans="12:13" x14ac:dyDescent="0.25">
      <c r="L727126" s="472"/>
      <c r="M727126" s="472"/>
    </row>
    <row r="727127" spans="12:13" x14ac:dyDescent="0.25">
      <c r="L727127" s="472"/>
      <c r="M727127" s="472"/>
    </row>
    <row r="727199" spans="12:13" x14ac:dyDescent="0.25">
      <c r="L727199" s="472"/>
      <c r="M727199" s="472"/>
    </row>
    <row r="727200" spans="12:13" x14ac:dyDescent="0.25">
      <c r="L727200" s="472"/>
      <c r="M727200" s="472"/>
    </row>
    <row r="727201" spans="12:13" x14ac:dyDescent="0.25">
      <c r="L727201" s="472"/>
      <c r="M727201" s="472"/>
    </row>
    <row r="727273" spans="12:13" x14ac:dyDescent="0.25">
      <c r="L727273" s="472"/>
      <c r="M727273" s="472"/>
    </row>
    <row r="727274" spans="12:13" x14ac:dyDescent="0.25">
      <c r="L727274" s="472"/>
      <c r="M727274" s="472"/>
    </row>
    <row r="727275" spans="12:13" x14ac:dyDescent="0.25">
      <c r="L727275" s="472"/>
      <c r="M727275" s="472"/>
    </row>
    <row r="727347" spans="12:13" x14ac:dyDescent="0.25">
      <c r="L727347" s="472"/>
      <c r="M727347" s="472"/>
    </row>
    <row r="727348" spans="12:13" x14ac:dyDescent="0.25">
      <c r="L727348" s="472"/>
      <c r="M727348" s="472"/>
    </row>
    <row r="727349" spans="12:13" x14ac:dyDescent="0.25">
      <c r="L727349" s="472"/>
      <c r="M727349" s="472"/>
    </row>
    <row r="727421" spans="12:13" x14ac:dyDescent="0.25">
      <c r="L727421" s="472"/>
      <c r="M727421" s="472"/>
    </row>
    <row r="727422" spans="12:13" x14ac:dyDescent="0.25">
      <c r="L727422" s="472"/>
      <c r="M727422" s="472"/>
    </row>
    <row r="727423" spans="12:13" x14ac:dyDescent="0.25">
      <c r="L727423" s="472"/>
      <c r="M727423" s="472"/>
    </row>
    <row r="727495" spans="12:13" x14ac:dyDescent="0.25">
      <c r="L727495" s="472"/>
      <c r="M727495" s="472"/>
    </row>
    <row r="727496" spans="12:13" x14ac:dyDescent="0.25">
      <c r="L727496" s="472"/>
      <c r="M727496" s="472"/>
    </row>
    <row r="727497" spans="12:13" x14ac:dyDescent="0.25">
      <c r="L727497" s="472"/>
      <c r="M727497" s="472"/>
    </row>
    <row r="727569" spans="12:13" x14ac:dyDescent="0.25">
      <c r="L727569" s="472"/>
      <c r="M727569" s="472"/>
    </row>
    <row r="727570" spans="12:13" x14ac:dyDescent="0.25">
      <c r="L727570" s="472"/>
      <c r="M727570" s="472"/>
    </row>
    <row r="727571" spans="12:13" x14ac:dyDescent="0.25">
      <c r="L727571" s="472"/>
      <c r="M727571" s="472"/>
    </row>
    <row r="727643" spans="12:13" x14ac:dyDescent="0.25">
      <c r="L727643" s="472"/>
      <c r="M727643" s="472"/>
    </row>
    <row r="727644" spans="12:13" x14ac:dyDescent="0.25">
      <c r="L727644" s="472"/>
      <c r="M727644" s="472"/>
    </row>
    <row r="727645" spans="12:13" x14ac:dyDescent="0.25">
      <c r="L727645" s="472"/>
      <c r="M727645" s="472"/>
    </row>
    <row r="727717" spans="12:13" x14ac:dyDescent="0.25">
      <c r="L727717" s="472"/>
      <c r="M727717" s="472"/>
    </row>
    <row r="727718" spans="12:13" x14ac:dyDescent="0.25">
      <c r="L727718" s="472"/>
      <c r="M727718" s="472"/>
    </row>
    <row r="727719" spans="12:13" x14ac:dyDescent="0.25">
      <c r="L727719" s="472"/>
      <c r="M727719" s="472"/>
    </row>
    <row r="727791" spans="12:13" x14ac:dyDescent="0.25">
      <c r="L727791" s="472"/>
      <c r="M727791" s="472"/>
    </row>
    <row r="727792" spans="12:13" x14ac:dyDescent="0.25">
      <c r="L727792" s="472"/>
      <c r="M727792" s="472"/>
    </row>
    <row r="727793" spans="12:13" x14ac:dyDescent="0.25">
      <c r="L727793" s="472"/>
      <c r="M727793" s="472"/>
    </row>
    <row r="727865" spans="12:13" x14ac:dyDescent="0.25">
      <c r="L727865" s="472"/>
      <c r="M727865" s="472"/>
    </row>
    <row r="727866" spans="12:13" x14ac:dyDescent="0.25">
      <c r="L727866" s="472"/>
      <c r="M727866" s="472"/>
    </row>
    <row r="727867" spans="12:13" x14ac:dyDescent="0.25">
      <c r="L727867" s="472"/>
      <c r="M727867" s="472"/>
    </row>
    <row r="727939" spans="12:13" x14ac:dyDescent="0.25">
      <c r="L727939" s="472"/>
      <c r="M727939" s="472"/>
    </row>
    <row r="727940" spans="12:13" x14ac:dyDescent="0.25">
      <c r="L727940" s="472"/>
      <c r="M727940" s="472"/>
    </row>
    <row r="727941" spans="12:13" x14ac:dyDescent="0.25">
      <c r="L727941" s="472"/>
      <c r="M727941" s="472"/>
    </row>
    <row r="728013" spans="12:13" x14ac:dyDescent="0.25">
      <c r="L728013" s="472"/>
      <c r="M728013" s="472"/>
    </row>
    <row r="728014" spans="12:13" x14ac:dyDescent="0.25">
      <c r="L728014" s="472"/>
      <c r="M728014" s="472"/>
    </row>
    <row r="728015" spans="12:13" x14ac:dyDescent="0.25">
      <c r="L728015" s="472"/>
      <c r="M728015" s="472"/>
    </row>
    <row r="728087" spans="12:13" x14ac:dyDescent="0.25">
      <c r="L728087" s="472"/>
      <c r="M728087" s="472"/>
    </row>
    <row r="728088" spans="12:13" x14ac:dyDescent="0.25">
      <c r="L728088" s="472"/>
      <c r="M728088" s="472"/>
    </row>
    <row r="728089" spans="12:13" x14ac:dyDescent="0.25">
      <c r="L728089" s="472"/>
      <c r="M728089" s="472"/>
    </row>
    <row r="728161" spans="12:13" x14ac:dyDescent="0.25">
      <c r="L728161" s="472"/>
      <c r="M728161" s="472"/>
    </row>
    <row r="728162" spans="12:13" x14ac:dyDescent="0.25">
      <c r="L728162" s="472"/>
      <c r="M728162" s="472"/>
    </row>
    <row r="728163" spans="12:13" x14ac:dyDescent="0.25">
      <c r="L728163" s="472"/>
      <c r="M728163" s="472"/>
    </row>
    <row r="728235" spans="12:13" x14ac:dyDescent="0.25">
      <c r="L728235" s="472"/>
      <c r="M728235" s="472"/>
    </row>
    <row r="728236" spans="12:13" x14ac:dyDescent="0.25">
      <c r="L728236" s="472"/>
      <c r="M728236" s="472"/>
    </row>
    <row r="728237" spans="12:13" x14ac:dyDescent="0.25">
      <c r="L728237" s="472"/>
      <c r="M728237" s="472"/>
    </row>
    <row r="728309" spans="12:13" x14ac:dyDescent="0.25">
      <c r="L728309" s="472"/>
      <c r="M728309" s="472"/>
    </row>
    <row r="728310" spans="12:13" x14ac:dyDescent="0.25">
      <c r="L728310" s="472"/>
      <c r="M728310" s="472"/>
    </row>
    <row r="728311" spans="12:13" x14ac:dyDescent="0.25">
      <c r="L728311" s="472"/>
      <c r="M728311" s="472"/>
    </row>
    <row r="728383" spans="12:13" x14ac:dyDescent="0.25">
      <c r="L728383" s="472"/>
      <c r="M728383" s="472"/>
    </row>
    <row r="728384" spans="12:13" x14ac:dyDescent="0.25">
      <c r="L728384" s="472"/>
      <c r="M728384" s="472"/>
    </row>
    <row r="728385" spans="12:13" x14ac:dyDescent="0.25">
      <c r="L728385" s="472"/>
      <c r="M728385" s="472"/>
    </row>
    <row r="728457" spans="12:13" x14ac:dyDescent="0.25">
      <c r="L728457" s="472"/>
      <c r="M728457" s="472"/>
    </row>
    <row r="728458" spans="12:13" x14ac:dyDescent="0.25">
      <c r="L728458" s="472"/>
      <c r="M728458" s="472"/>
    </row>
    <row r="728459" spans="12:13" x14ac:dyDescent="0.25">
      <c r="L728459" s="472"/>
      <c r="M728459" s="472"/>
    </row>
    <row r="728531" spans="12:13" x14ac:dyDescent="0.25">
      <c r="L728531" s="472"/>
      <c r="M728531" s="472"/>
    </row>
    <row r="728532" spans="12:13" x14ac:dyDescent="0.25">
      <c r="L728532" s="472"/>
      <c r="M728532" s="472"/>
    </row>
    <row r="728533" spans="12:13" x14ac:dyDescent="0.25">
      <c r="L728533" s="472"/>
      <c r="M728533" s="472"/>
    </row>
    <row r="728605" spans="12:13" x14ac:dyDescent="0.25">
      <c r="L728605" s="472"/>
      <c r="M728605" s="472"/>
    </row>
    <row r="728606" spans="12:13" x14ac:dyDescent="0.25">
      <c r="L728606" s="472"/>
      <c r="M728606" s="472"/>
    </row>
    <row r="728607" spans="12:13" x14ac:dyDescent="0.25">
      <c r="L728607" s="472"/>
      <c r="M728607" s="472"/>
    </row>
    <row r="728679" spans="12:13" x14ac:dyDescent="0.25">
      <c r="L728679" s="472"/>
      <c r="M728679" s="472"/>
    </row>
    <row r="728680" spans="12:13" x14ac:dyDescent="0.25">
      <c r="L728680" s="472"/>
      <c r="M728680" s="472"/>
    </row>
    <row r="728681" spans="12:13" x14ac:dyDescent="0.25">
      <c r="L728681" s="472"/>
      <c r="M728681" s="472"/>
    </row>
    <row r="728753" spans="12:13" x14ac:dyDescent="0.25">
      <c r="L728753" s="472"/>
      <c r="M728753" s="472"/>
    </row>
    <row r="728754" spans="12:13" x14ac:dyDescent="0.25">
      <c r="L728754" s="472"/>
      <c r="M728754" s="472"/>
    </row>
    <row r="728755" spans="12:13" x14ac:dyDescent="0.25">
      <c r="L728755" s="472"/>
      <c r="M728755" s="472"/>
    </row>
    <row r="728827" spans="12:13" x14ac:dyDescent="0.25">
      <c r="L728827" s="472"/>
      <c r="M728827" s="472"/>
    </row>
    <row r="728828" spans="12:13" x14ac:dyDescent="0.25">
      <c r="L728828" s="472"/>
      <c r="M728828" s="472"/>
    </row>
    <row r="728829" spans="12:13" x14ac:dyDescent="0.25">
      <c r="L728829" s="472"/>
      <c r="M728829" s="472"/>
    </row>
    <row r="728901" spans="12:13" x14ac:dyDescent="0.25">
      <c r="L728901" s="472"/>
      <c r="M728901" s="472"/>
    </row>
    <row r="728902" spans="12:13" x14ac:dyDescent="0.25">
      <c r="L728902" s="472"/>
      <c r="M728902" s="472"/>
    </row>
    <row r="728903" spans="12:13" x14ac:dyDescent="0.25">
      <c r="L728903" s="472"/>
      <c r="M728903" s="472"/>
    </row>
    <row r="728975" spans="12:13" x14ac:dyDescent="0.25">
      <c r="L728975" s="472"/>
      <c r="M728975" s="472"/>
    </row>
    <row r="728976" spans="12:13" x14ac:dyDescent="0.25">
      <c r="L728976" s="472"/>
      <c r="M728976" s="472"/>
    </row>
    <row r="728977" spans="12:13" x14ac:dyDescent="0.25">
      <c r="L728977" s="472"/>
      <c r="M728977" s="472"/>
    </row>
    <row r="729049" spans="12:13" x14ac:dyDescent="0.25">
      <c r="L729049" s="472"/>
      <c r="M729049" s="472"/>
    </row>
    <row r="729050" spans="12:13" x14ac:dyDescent="0.25">
      <c r="L729050" s="472"/>
      <c r="M729050" s="472"/>
    </row>
    <row r="729051" spans="12:13" x14ac:dyDescent="0.25">
      <c r="L729051" s="472"/>
      <c r="M729051" s="472"/>
    </row>
    <row r="729123" spans="12:13" x14ac:dyDescent="0.25">
      <c r="L729123" s="472"/>
      <c r="M729123" s="472"/>
    </row>
    <row r="729124" spans="12:13" x14ac:dyDescent="0.25">
      <c r="L729124" s="472"/>
      <c r="M729124" s="472"/>
    </row>
    <row r="729125" spans="12:13" x14ac:dyDescent="0.25">
      <c r="L729125" s="472"/>
      <c r="M729125" s="472"/>
    </row>
    <row r="729197" spans="12:13" x14ac:dyDescent="0.25">
      <c r="L729197" s="472"/>
      <c r="M729197" s="472"/>
    </row>
    <row r="729198" spans="12:13" x14ac:dyDescent="0.25">
      <c r="L729198" s="472"/>
      <c r="M729198" s="472"/>
    </row>
    <row r="729199" spans="12:13" x14ac:dyDescent="0.25">
      <c r="L729199" s="472"/>
      <c r="M729199" s="472"/>
    </row>
    <row r="729271" spans="12:13" x14ac:dyDescent="0.25">
      <c r="L729271" s="472"/>
      <c r="M729271" s="472"/>
    </row>
    <row r="729272" spans="12:13" x14ac:dyDescent="0.25">
      <c r="L729272" s="472"/>
      <c r="M729272" s="472"/>
    </row>
    <row r="729273" spans="12:13" x14ac:dyDescent="0.25">
      <c r="L729273" s="472"/>
      <c r="M729273" s="472"/>
    </row>
    <row r="729345" spans="12:13" x14ac:dyDescent="0.25">
      <c r="L729345" s="472"/>
      <c r="M729345" s="472"/>
    </row>
    <row r="729346" spans="12:13" x14ac:dyDescent="0.25">
      <c r="L729346" s="472"/>
      <c r="M729346" s="472"/>
    </row>
    <row r="729347" spans="12:13" x14ac:dyDescent="0.25">
      <c r="L729347" s="472"/>
      <c r="M729347" s="472"/>
    </row>
    <row r="729419" spans="12:13" x14ac:dyDescent="0.25">
      <c r="L729419" s="472"/>
      <c r="M729419" s="472"/>
    </row>
    <row r="729420" spans="12:13" x14ac:dyDescent="0.25">
      <c r="L729420" s="472"/>
      <c r="M729420" s="472"/>
    </row>
    <row r="729421" spans="12:13" x14ac:dyDescent="0.25">
      <c r="L729421" s="472"/>
      <c r="M729421" s="472"/>
    </row>
    <row r="729493" spans="12:13" x14ac:dyDescent="0.25">
      <c r="L729493" s="472"/>
      <c r="M729493" s="472"/>
    </row>
    <row r="729494" spans="12:13" x14ac:dyDescent="0.25">
      <c r="L729494" s="472"/>
      <c r="M729494" s="472"/>
    </row>
    <row r="729495" spans="12:13" x14ac:dyDescent="0.25">
      <c r="L729495" s="472"/>
      <c r="M729495" s="472"/>
    </row>
    <row r="729567" spans="12:13" x14ac:dyDescent="0.25">
      <c r="L729567" s="472"/>
      <c r="M729567" s="472"/>
    </row>
    <row r="729568" spans="12:13" x14ac:dyDescent="0.25">
      <c r="L729568" s="472"/>
      <c r="M729568" s="472"/>
    </row>
    <row r="729569" spans="12:13" x14ac:dyDescent="0.25">
      <c r="L729569" s="472"/>
      <c r="M729569" s="472"/>
    </row>
    <row r="729641" spans="12:13" x14ac:dyDescent="0.25">
      <c r="L729641" s="472"/>
      <c r="M729641" s="472"/>
    </row>
    <row r="729642" spans="12:13" x14ac:dyDescent="0.25">
      <c r="L729642" s="472"/>
      <c r="M729642" s="472"/>
    </row>
    <row r="729643" spans="12:13" x14ac:dyDescent="0.25">
      <c r="L729643" s="472"/>
      <c r="M729643" s="472"/>
    </row>
    <row r="729715" spans="12:13" x14ac:dyDescent="0.25">
      <c r="L729715" s="472"/>
      <c r="M729715" s="472"/>
    </row>
    <row r="729716" spans="12:13" x14ac:dyDescent="0.25">
      <c r="L729716" s="472"/>
      <c r="M729716" s="472"/>
    </row>
    <row r="729717" spans="12:13" x14ac:dyDescent="0.25">
      <c r="L729717" s="472"/>
      <c r="M729717" s="472"/>
    </row>
    <row r="729789" spans="12:13" x14ac:dyDescent="0.25">
      <c r="L729789" s="472"/>
      <c r="M729789" s="472"/>
    </row>
    <row r="729790" spans="12:13" x14ac:dyDescent="0.25">
      <c r="L729790" s="472"/>
      <c r="M729790" s="472"/>
    </row>
    <row r="729791" spans="12:13" x14ac:dyDescent="0.25">
      <c r="L729791" s="472"/>
      <c r="M729791" s="472"/>
    </row>
    <row r="729863" spans="12:13" x14ac:dyDescent="0.25">
      <c r="L729863" s="472"/>
      <c r="M729863" s="472"/>
    </row>
    <row r="729864" spans="12:13" x14ac:dyDescent="0.25">
      <c r="L729864" s="472"/>
      <c r="M729864" s="472"/>
    </row>
    <row r="729865" spans="12:13" x14ac:dyDescent="0.25">
      <c r="L729865" s="472"/>
      <c r="M729865" s="472"/>
    </row>
    <row r="729937" spans="12:13" x14ac:dyDescent="0.25">
      <c r="L729937" s="472"/>
      <c r="M729937" s="472"/>
    </row>
    <row r="729938" spans="12:13" x14ac:dyDescent="0.25">
      <c r="L729938" s="472"/>
      <c r="M729938" s="472"/>
    </row>
    <row r="729939" spans="12:13" x14ac:dyDescent="0.25">
      <c r="L729939" s="472"/>
      <c r="M729939" s="472"/>
    </row>
    <row r="730011" spans="12:13" x14ac:dyDescent="0.25">
      <c r="L730011" s="472"/>
      <c r="M730011" s="472"/>
    </row>
    <row r="730012" spans="12:13" x14ac:dyDescent="0.25">
      <c r="L730012" s="472"/>
      <c r="M730012" s="472"/>
    </row>
    <row r="730013" spans="12:13" x14ac:dyDescent="0.25">
      <c r="L730013" s="472"/>
      <c r="M730013" s="472"/>
    </row>
    <row r="730085" spans="12:13" x14ac:dyDescent="0.25">
      <c r="L730085" s="472"/>
      <c r="M730085" s="472"/>
    </row>
    <row r="730086" spans="12:13" x14ac:dyDescent="0.25">
      <c r="L730086" s="472"/>
      <c r="M730086" s="472"/>
    </row>
    <row r="730087" spans="12:13" x14ac:dyDescent="0.25">
      <c r="L730087" s="472"/>
      <c r="M730087" s="472"/>
    </row>
    <row r="730159" spans="12:13" x14ac:dyDescent="0.25">
      <c r="L730159" s="472"/>
      <c r="M730159" s="472"/>
    </row>
    <row r="730160" spans="12:13" x14ac:dyDescent="0.25">
      <c r="L730160" s="472"/>
      <c r="M730160" s="472"/>
    </row>
    <row r="730161" spans="12:13" x14ac:dyDescent="0.25">
      <c r="L730161" s="472"/>
      <c r="M730161" s="472"/>
    </row>
    <row r="730233" spans="12:13" x14ac:dyDescent="0.25">
      <c r="L730233" s="472"/>
      <c r="M730233" s="472"/>
    </row>
    <row r="730234" spans="12:13" x14ac:dyDescent="0.25">
      <c r="L730234" s="472"/>
      <c r="M730234" s="472"/>
    </row>
    <row r="730235" spans="12:13" x14ac:dyDescent="0.25">
      <c r="L730235" s="472"/>
      <c r="M730235" s="472"/>
    </row>
    <row r="730307" spans="12:13" x14ac:dyDescent="0.25">
      <c r="L730307" s="472"/>
      <c r="M730307" s="472"/>
    </row>
    <row r="730308" spans="12:13" x14ac:dyDescent="0.25">
      <c r="L730308" s="472"/>
      <c r="M730308" s="472"/>
    </row>
    <row r="730309" spans="12:13" x14ac:dyDescent="0.25">
      <c r="L730309" s="472"/>
      <c r="M730309" s="472"/>
    </row>
    <row r="730381" spans="12:13" x14ac:dyDescent="0.25">
      <c r="L730381" s="472"/>
      <c r="M730381" s="472"/>
    </row>
    <row r="730382" spans="12:13" x14ac:dyDescent="0.25">
      <c r="L730382" s="472"/>
      <c r="M730382" s="472"/>
    </row>
    <row r="730383" spans="12:13" x14ac:dyDescent="0.25">
      <c r="L730383" s="472"/>
      <c r="M730383" s="472"/>
    </row>
    <row r="730455" spans="12:13" x14ac:dyDescent="0.25">
      <c r="L730455" s="472"/>
      <c r="M730455" s="472"/>
    </row>
    <row r="730456" spans="12:13" x14ac:dyDescent="0.25">
      <c r="L730456" s="472"/>
      <c r="M730456" s="472"/>
    </row>
    <row r="730457" spans="12:13" x14ac:dyDescent="0.25">
      <c r="L730457" s="472"/>
      <c r="M730457" s="472"/>
    </row>
    <row r="730529" spans="12:13" x14ac:dyDescent="0.25">
      <c r="L730529" s="472"/>
      <c r="M730529" s="472"/>
    </row>
    <row r="730530" spans="12:13" x14ac:dyDescent="0.25">
      <c r="L730530" s="472"/>
      <c r="M730530" s="472"/>
    </row>
    <row r="730531" spans="12:13" x14ac:dyDescent="0.25">
      <c r="L730531" s="472"/>
      <c r="M730531" s="472"/>
    </row>
    <row r="730603" spans="12:13" x14ac:dyDescent="0.25">
      <c r="L730603" s="472"/>
      <c r="M730603" s="472"/>
    </row>
    <row r="730604" spans="12:13" x14ac:dyDescent="0.25">
      <c r="L730604" s="472"/>
      <c r="M730604" s="472"/>
    </row>
    <row r="730605" spans="12:13" x14ac:dyDescent="0.25">
      <c r="L730605" s="472"/>
      <c r="M730605" s="472"/>
    </row>
    <row r="730677" spans="12:13" x14ac:dyDescent="0.25">
      <c r="L730677" s="472"/>
      <c r="M730677" s="472"/>
    </row>
    <row r="730678" spans="12:13" x14ac:dyDescent="0.25">
      <c r="L730678" s="472"/>
      <c r="M730678" s="472"/>
    </row>
    <row r="730679" spans="12:13" x14ac:dyDescent="0.25">
      <c r="L730679" s="472"/>
      <c r="M730679" s="472"/>
    </row>
    <row r="730751" spans="12:13" x14ac:dyDescent="0.25">
      <c r="L730751" s="472"/>
      <c r="M730751" s="472"/>
    </row>
    <row r="730752" spans="12:13" x14ac:dyDescent="0.25">
      <c r="L730752" s="472"/>
      <c r="M730752" s="472"/>
    </row>
    <row r="730753" spans="12:13" x14ac:dyDescent="0.25">
      <c r="L730753" s="472"/>
      <c r="M730753" s="472"/>
    </row>
    <row r="730825" spans="12:13" x14ac:dyDescent="0.25">
      <c r="L730825" s="472"/>
      <c r="M730825" s="472"/>
    </row>
    <row r="730826" spans="12:13" x14ac:dyDescent="0.25">
      <c r="L730826" s="472"/>
      <c r="M730826" s="472"/>
    </row>
    <row r="730827" spans="12:13" x14ac:dyDescent="0.25">
      <c r="L730827" s="472"/>
      <c r="M730827" s="472"/>
    </row>
    <row r="730899" spans="12:13" x14ac:dyDescent="0.25">
      <c r="L730899" s="472"/>
      <c r="M730899" s="472"/>
    </row>
    <row r="730900" spans="12:13" x14ac:dyDescent="0.25">
      <c r="L730900" s="472"/>
      <c r="M730900" s="472"/>
    </row>
    <row r="730901" spans="12:13" x14ac:dyDescent="0.25">
      <c r="L730901" s="472"/>
      <c r="M730901" s="472"/>
    </row>
    <row r="730973" spans="12:13" x14ac:dyDescent="0.25">
      <c r="L730973" s="472"/>
      <c r="M730973" s="472"/>
    </row>
    <row r="730974" spans="12:13" x14ac:dyDescent="0.25">
      <c r="L730974" s="472"/>
      <c r="M730974" s="472"/>
    </row>
    <row r="730975" spans="12:13" x14ac:dyDescent="0.25">
      <c r="L730975" s="472"/>
      <c r="M730975" s="472"/>
    </row>
    <row r="731047" spans="12:13" x14ac:dyDescent="0.25">
      <c r="L731047" s="472"/>
      <c r="M731047" s="472"/>
    </row>
    <row r="731048" spans="12:13" x14ac:dyDescent="0.25">
      <c r="L731048" s="472"/>
      <c r="M731048" s="472"/>
    </row>
    <row r="731049" spans="12:13" x14ac:dyDescent="0.25">
      <c r="L731049" s="472"/>
      <c r="M731049" s="472"/>
    </row>
    <row r="731121" spans="12:13" x14ac:dyDescent="0.25">
      <c r="L731121" s="472"/>
      <c r="M731121" s="472"/>
    </row>
    <row r="731122" spans="12:13" x14ac:dyDescent="0.25">
      <c r="L731122" s="472"/>
      <c r="M731122" s="472"/>
    </row>
    <row r="731123" spans="12:13" x14ac:dyDescent="0.25">
      <c r="L731123" s="472"/>
      <c r="M731123" s="472"/>
    </row>
    <row r="731195" spans="12:13" x14ac:dyDescent="0.25">
      <c r="L731195" s="472"/>
      <c r="M731195" s="472"/>
    </row>
    <row r="731196" spans="12:13" x14ac:dyDescent="0.25">
      <c r="L731196" s="472"/>
      <c r="M731196" s="472"/>
    </row>
    <row r="731197" spans="12:13" x14ac:dyDescent="0.25">
      <c r="L731197" s="472"/>
      <c r="M731197" s="472"/>
    </row>
    <row r="731269" spans="12:13" x14ac:dyDescent="0.25">
      <c r="L731269" s="472"/>
      <c r="M731269" s="472"/>
    </row>
    <row r="731270" spans="12:13" x14ac:dyDescent="0.25">
      <c r="L731270" s="472"/>
      <c r="M731270" s="472"/>
    </row>
    <row r="731271" spans="12:13" x14ac:dyDescent="0.25">
      <c r="L731271" s="472"/>
      <c r="M731271" s="472"/>
    </row>
    <row r="731343" spans="12:13" x14ac:dyDescent="0.25">
      <c r="L731343" s="472"/>
      <c r="M731343" s="472"/>
    </row>
    <row r="731344" spans="12:13" x14ac:dyDescent="0.25">
      <c r="L731344" s="472"/>
      <c r="M731344" s="472"/>
    </row>
    <row r="731345" spans="12:13" x14ac:dyDescent="0.25">
      <c r="L731345" s="472"/>
      <c r="M731345" s="472"/>
    </row>
    <row r="731417" spans="12:13" x14ac:dyDescent="0.25">
      <c r="L731417" s="472"/>
      <c r="M731417" s="472"/>
    </row>
    <row r="731418" spans="12:13" x14ac:dyDescent="0.25">
      <c r="L731418" s="472"/>
      <c r="M731418" s="472"/>
    </row>
    <row r="731419" spans="12:13" x14ac:dyDescent="0.25">
      <c r="L731419" s="472"/>
      <c r="M731419" s="472"/>
    </row>
    <row r="731491" spans="12:13" x14ac:dyDescent="0.25">
      <c r="L731491" s="472"/>
      <c r="M731491" s="472"/>
    </row>
    <row r="731492" spans="12:13" x14ac:dyDescent="0.25">
      <c r="L731492" s="472"/>
      <c r="M731492" s="472"/>
    </row>
    <row r="731493" spans="12:13" x14ac:dyDescent="0.25">
      <c r="L731493" s="472"/>
      <c r="M731493" s="472"/>
    </row>
    <row r="731565" spans="12:13" x14ac:dyDescent="0.25">
      <c r="L731565" s="472"/>
      <c r="M731565" s="472"/>
    </row>
    <row r="731566" spans="12:13" x14ac:dyDescent="0.25">
      <c r="L731566" s="472"/>
      <c r="M731566" s="472"/>
    </row>
    <row r="731567" spans="12:13" x14ac:dyDescent="0.25">
      <c r="L731567" s="472"/>
      <c r="M731567" s="472"/>
    </row>
    <row r="731639" spans="12:13" x14ac:dyDescent="0.25">
      <c r="L731639" s="472"/>
      <c r="M731639" s="472"/>
    </row>
    <row r="731640" spans="12:13" x14ac:dyDescent="0.25">
      <c r="L731640" s="472"/>
      <c r="M731640" s="472"/>
    </row>
    <row r="731641" spans="12:13" x14ac:dyDescent="0.25">
      <c r="L731641" s="472"/>
      <c r="M731641" s="472"/>
    </row>
    <row r="731713" spans="12:13" x14ac:dyDescent="0.25">
      <c r="L731713" s="472"/>
      <c r="M731713" s="472"/>
    </row>
    <row r="731714" spans="12:13" x14ac:dyDescent="0.25">
      <c r="L731714" s="472"/>
      <c r="M731714" s="472"/>
    </row>
    <row r="731715" spans="12:13" x14ac:dyDescent="0.25">
      <c r="L731715" s="472"/>
      <c r="M731715" s="472"/>
    </row>
    <row r="731787" spans="12:13" x14ac:dyDescent="0.25">
      <c r="L731787" s="472"/>
      <c r="M731787" s="472"/>
    </row>
    <row r="731788" spans="12:13" x14ac:dyDescent="0.25">
      <c r="L731788" s="472"/>
      <c r="M731788" s="472"/>
    </row>
    <row r="731789" spans="12:13" x14ac:dyDescent="0.25">
      <c r="L731789" s="472"/>
      <c r="M731789" s="472"/>
    </row>
    <row r="731861" spans="12:13" x14ac:dyDescent="0.25">
      <c r="L731861" s="472"/>
      <c r="M731861" s="472"/>
    </row>
    <row r="731862" spans="12:13" x14ac:dyDescent="0.25">
      <c r="L731862" s="472"/>
      <c r="M731862" s="472"/>
    </row>
    <row r="731863" spans="12:13" x14ac:dyDescent="0.25">
      <c r="L731863" s="472"/>
      <c r="M731863" s="472"/>
    </row>
    <row r="731935" spans="12:13" x14ac:dyDescent="0.25">
      <c r="L731935" s="472"/>
      <c r="M731935" s="472"/>
    </row>
    <row r="731936" spans="12:13" x14ac:dyDescent="0.25">
      <c r="L731936" s="472"/>
      <c r="M731936" s="472"/>
    </row>
    <row r="731937" spans="12:13" x14ac:dyDescent="0.25">
      <c r="L731937" s="472"/>
      <c r="M731937" s="472"/>
    </row>
    <row r="732009" spans="12:13" x14ac:dyDescent="0.25">
      <c r="L732009" s="472"/>
      <c r="M732009" s="472"/>
    </row>
    <row r="732010" spans="12:13" x14ac:dyDescent="0.25">
      <c r="L732010" s="472"/>
      <c r="M732010" s="472"/>
    </row>
    <row r="732011" spans="12:13" x14ac:dyDescent="0.25">
      <c r="L732011" s="472"/>
      <c r="M732011" s="472"/>
    </row>
    <row r="732083" spans="12:13" x14ac:dyDescent="0.25">
      <c r="L732083" s="472"/>
      <c r="M732083" s="472"/>
    </row>
    <row r="732084" spans="12:13" x14ac:dyDescent="0.25">
      <c r="L732084" s="472"/>
      <c r="M732084" s="472"/>
    </row>
    <row r="732085" spans="12:13" x14ac:dyDescent="0.25">
      <c r="L732085" s="472"/>
      <c r="M732085" s="472"/>
    </row>
    <row r="732157" spans="12:13" x14ac:dyDescent="0.25">
      <c r="L732157" s="472"/>
      <c r="M732157" s="472"/>
    </row>
    <row r="732158" spans="12:13" x14ac:dyDescent="0.25">
      <c r="L732158" s="472"/>
      <c r="M732158" s="472"/>
    </row>
    <row r="732159" spans="12:13" x14ac:dyDescent="0.25">
      <c r="L732159" s="472"/>
      <c r="M732159" s="472"/>
    </row>
    <row r="732231" spans="12:13" x14ac:dyDescent="0.25">
      <c r="L732231" s="472"/>
      <c r="M732231" s="472"/>
    </row>
    <row r="732232" spans="12:13" x14ac:dyDescent="0.25">
      <c r="L732232" s="472"/>
      <c r="M732232" s="472"/>
    </row>
    <row r="732233" spans="12:13" x14ac:dyDescent="0.25">
      <c r="L732233" s="472"/>
      <c r="M732233" s="472"/>
    </row>
    <row r="732305" spans="12:13" x14ac:dyDescent="0.25">
      <c r="L732305" s="472"/>
      <c r="M732305" s="472"/>
    </row>
    <row r="732306" spans="12:13" x14ac:dyDescent="0.25">
      <c r="L732306" s="472"/>
      <c r="M732306" s="472"/>
    </row>
    <row r="732307" spans="12:13" x14ac:dyDescent="0.25">
      <c r="L732307" s="472"/>
      <c r="M732307" s="472"/>
    </row>
    <row r="732379" spans="12:13" x14ac:dyDescent="0.25">
      <c r="L732379" s="472"/>
      <c r="M732379" s="472"/>
    </row>
    <row r="732380" spans="12:13" x14ac:dyDescent="0.25">
      <c r="L732380" s="472"/>
      <c r="M732380" s="472"/>
    </row>
    <row r="732381" spans="12:13" x14ac:dyDescent="0.25">
      <c r="L732381" s="472"/>
      <c r="M732381" s="472"/>
    </row>
    <row r="732453" spans="12:13" x14ac:dyDescent="0.25">
      <c r="L732453" s="472"/>
      <c r="M732453" s="472"/>
    </row>
    <row r="732454" spans="12:13" x14ac:dyDescent="0.25">
      <c r="L732454" s="472"/>
      <c r="M732454" s="472"/>
    </row>
    <row r="732455" spans="12:13" x14ac:dyDescent="0.25">
      <c r="L732455" s="472"/>
      <c r="M732455" s="472"/>
    </row>
    <row r="732527" spans="12:13" x14ac:dyDescent="0.25">
      <c r="L732527" s="472"/>
      <c r="M732527" s="472"/>
    </row>
    <row r="732528" spans="12:13" x14ac:dyDescent="0.25">
      <c r="L732528" s="472"/>
      <c r="M732528" s="472"/>
    </row>
    <row r="732529" spans="12:13" x14ac:dyDescent="0.25">
      <c r="L732529" s="472"/>
      <c r="M732529" s="472"/>
    </row>
    <row r="732601" spans="12:13" x14ac:dyDescent="0.25">
      <c r="L732601" s="472"/>
      <c r="M732601" s="472"/>
    </row>
    <row r="732602" spans="12:13" x14ac:dyDescent="0.25">
      <c r="L732602" s="472"/>
      <c r="M732602" s="472"/>
    </row>
    <row r="732603" spans="12:13" x14ac:dyDescent="0.25">
      <c r="L732603" s="472"/>
      <c r="M732603" s="472"/>
    </row>
    <row r="732675" spans="12:13" x14ac:dyDescent="0.25">
      <c r="L732675" s="472"/>
      <c r="M732675" s="472"/>
    </row>
    <row r="732676" spans="12:13" x14ac:dyDescent="0.25">
      <c r="L732676" s="472"/>
      <c r="M732676" s="472"/>
    </row>
    <row r="732677" spans="12:13" x14ac:dyDescent="0.25">
      <c r="L732677" s="472"/>
      <c r="M732677" s="472"/>
    </row>
    <row r="732749" spans="12:13" x14ac:dyDescent="0.25">
      <c r="L732749" s="472"/>
      <c r="M732749" s="472"/>
    </row>
    <row r="732750" spans="12:13" x14ac:dyDescent="0.25">
      <c r="L732750" s="472"/>
      <c r="M732750" s="472"/>
    </row>
    <row r="732751" spans="12:13" x14ac:dyDescent="0.25">
      <c r="L732751" s="472"/>
      <c r="M732751" s="472"/>
    </row>
    <row r="732823" spans="12:13" x14ac:dyDescent="0.25">
      <c r="L732823" s="472"/>
      <c r="M732823" s="472"/>
    </row>
    <row r="732824" spans="12:13" x14ac:dyDescent="0.25">
      <c r="L732824" s="472"/>
      <c r="M732824" s="472"/>
    </row>
    <row r="732825" spans="12:13" x14ac:dyDescent="0.25">
      <c r="L732825" s="472"/>
      <c r="M732825" s="472"/>
    </row>
    <row r="732897" spans="12:13" x14ac:dyDescent="0.25">
      <c r="L732897" s="472"/>
      <c r="M732897" s="472"/>
    </row>
    <row r="732898" spans="12:13" x14ac:dyDescent="0.25">
      <c r="L732898" s="472"/>
      <c r="M732898" s="472"/>
    </row>
    <row r="732899" spans="12:13" x14ac:dyDescent="0.25">
      <c r="L732899" s="472"/>
      <c r="M732899" s="472"/>
    </row>
    <row r="732971" spans="12:13" x14ac:dyDescent="0.25">
      <c r="L732971" s="472"/>
      <c r="M732971" s="472"/>
    </row>
    <row r="732972" spans="12:13" x14ac:dyDescent="0.25">
      <c r="L732972" s="472"/>
      <c r="M732972" s="472"/>
    </row>
    <row r="732973" spans="12:13" x14ac:dyDescent="0.25">
      <c r="L732973" s="472"/>
      <c r="M732973" s="472"/>
    </row>
    <row r="733045" spans="12:13" x14ac:dyDescent="0.25">
      <c r="L733045" s="472"/>
      <c r="M733045" s="472"/>
    </row>
    <row r="733046" spans="12:13" x14ac:dyDescent="0.25">
      <c r="L733046" s="472"/>
      <c r="M733046" s="472"/>
    </row>
    <row r="733047" spans="12:13" x14ac:dyDescent="0.25">
      <c r="L733047" s="472"/>
      <c r="M733047" s="472"/>
    </row>
    <row r="733119" spans="12:13" x14ac:dyDescent="0.25">
      <c r="L733119" s="472"/>
      <c r="M733119" s="472"/>
    </row>
    <row r="733120" spans="12:13" x14ac:dyDescent="0.25">
      <c r="L733120" s="472"/>
      <c r="M733120" s="472"/>
    </row>
    <row r="733121" spans="12:13" x14ac:dyDescent="0.25">
      <c r="L733121" s="472"/>
      <c r="M733121" s="472"/>
    </row>
    <row r="733193" spans="12:13" x14ac:dyDescent="0.25">
      <c r="L733193" s="472"/>
      <c r="M733193" s="472"/>
    </row>
    <row r="733194" spans="12:13" x14ac:dyDescent="0.25">
      <c r="L733194" s="472"/>
      <c r="M733194" s="472"/>
    </row>
    <row r="733195" spans="12:13" x14ac:dyDescent="0.25">
      <c r="L733195" s="472"/>
      <c r="M733195" s="472"/>
    </row>
    <row r="733267" spans="12:13" x14ac:dyDescent="0.25">
      <c r="L733267" s="472"/>
      <c r="M733267" s="472"/>
    </row>
    <row r="733268" spans="12:13" x14ac:dyDescent="0.25">
      <c r="L733268" s="472"/>
      <c r="M733268" s="472"/>
    </row>
    <row r="733269" spans="12:13" x14ac:dyDescent="0.25">
      <c r="L733269" s="472"/>
      <c r="M733269" s="472"/>
    </row>
    <row r="733341" spans="12:13" x14ac:dyDescent="0.25">
      <c r="L733341" s="472"/>
      <c r="M733341" s="472"/>
    </row>
    <row r="733342" spans="12:13" x14ac:dyDescent="0.25">
      <c r="L733342" s="472"/>
      <c r="M733342" s="472"/>
    </row>
    <row r="733343" spans="12:13" x14ac:dyDescent="0.25">
      <c r="L733343" s="472"/>
      <c r="M733343" s="472"/>
    </row>
    <row r="733415" spans="12:13" x14ac:dyDescent="0.25">
      <c r="L733415" s="472"/>
      <c r="M733415" s="472"/>
    </row>
    <row r="733416" spans="12:13" x14ac:dyDescent="0.25">
      <c r="L733416" s="472"/>
      <c r="M733416" s="472"/>
    </row>
    <row r="733417" spans="12:13" x14ac:dyDescent="0.25">
      <c r="L733417" s="472"/>
      <c r="M733417" s="472"/>
    </row>
    <row r="733489" spans="12:13" x14ac:dyDescent="0.25">
      <c r="L733489" s="472"/>
      <c r="M733489" s="472"/>
    </row>
    <row r="733490" spans="12:13" x14ac:dyDescent="0.25">
      <c r="L733490" s="472"/>
      <c r="M733490" s="472"/>
    </row>
    <row r="733491" spans="12:13" x14ac:dyDescent="0.25">
      <c r="L733491" s="472"/>
      <c r="M733491" s="472"/>
    </row>
    <row r="733563" spans="12:13" x14ac:dyDescent="0.25">
      <c r="L733563" s="472"/>
      <c r="M733563" s="472"/>
    </row>
    <row r="733564" spans="12:13" x14ac:dyDescent="0.25">
      <c r="L733564" s="472"/>
      <c r="M733564" s="472"/>
    </row>
    <row r="733565" spans="12:13" x14ac:dyDescent="0.25">
      <c r="L733565" s="472"/>
      <c r="M733565" s="472"/>
    </row>
    <row r="733637" spans="12:13" x14ac:dyDescent="0.25">
      <c r="L733637" s="472"/>
      <c r="M733637" s="472"/>
    </row>
    <row r="733638" spans="12:13" x14ac:dyDescent="0.25">
      <c r="L733638" s="472"/>
      <c r="M733638" s="472"/>
    </row>
    <row r="733639" spans="12:13" x14ac:dyDescent="0.25">
      <c r="L733639" s="472"/>
      <c r="M733639" s="472"/>
    </row>
    <row r="733711" spans="12:13" x14ac:dyDescent="0.25">
      <c r="L733711" s="472"/>
      <c r="M733711" s="472"/>
    </row>
    <row r="733712" spans="12:13" x14ac:dyDescent="0.25">
      <c r="L733712" s="472"/>
      <c r="M733712" s="472"/>
    </row>
    <row r="733713" spans="12:13" x14ac:dyDescent="0.25">
      <c r="L733713" s="472"/>
      <c r="M733713" s="472"/>
    </row>
    <row r="733785" spans="12:13" x14ac:dyDescent="0.25">
      <c r="L733785" s="472"/>
      <c r="M733785" s="472"/>
    </row>
    <row r="733786" spans="12:13" x14ac:dyDescent="0.25">
      <c r="L733786" s="472"/>
      <c r="M733786" s="472"/>
    </row>
    <row r="733787" spans="12:13" x14ac:dyDescent="0.25">
      <c r="L733787" s="472"/>
      <c r="M733787" s="472"/>
    </row>
    <row r="733859" spans="12:13" x14ac:dyDescent="0.25">
      <c r="L733859" s="472"/>
      <c r="M733859" s="472"/>
    </row>
    <row r="733860" spans="12:13" x14ac:dyDescent="0.25">
      <c r="L733860" s="472"/>
      <c r="M733860" s="472"/>
    </row>
    <row r="733861" spans="12:13" x14ac:dyDescent="0.25">
      <c r="L733861" s="472"/>
      <c r="M733861" s="472"/>
    </row>
    <row r="733933" spans="12:13" x14ac:dyDescent="0.25">
      <c r="L733933" s="472"/>
      <c r="M733933" s="472"/>
    </row>
    <row r="733934" spans="12:13" x14ac:dyDescent="0.25">
      <c r="L733934" s="472"/>
      <c r="M733934" s="472"/>
    </row>
    <row r="733935" spans="12:13" x14ac:dyDescent="0.25">
      <c r="L733935" s="472"/>
      <c r="M733935" s="472"/>
    </row>
    <row r="734007" spans="12:13" x14ac:dyDescent="0.25">
      <c r="L734007" s="472"/>
      <c r="M734007" s="472"/>
    </row>
    <row r="734008" spans="12:13" x14ac:dyDescent="0.25">
      <c r="L734008" s="472"/>
      <c r="M734008" s="472"/>
    </row>
    <row r="734009" spans="12:13" x14ac:dyDescent="0.25">
      <c r="L734009" s="472"/>
      <c r="M734009" s="472"/>
    </row>
    <row r="734081" spans="12:13" x14ac:dyDescent="0.25">
      <c r="L734081" s="472"/>
      <c r="M734081" s="472"/>
    </row>
    <row r="734082" spans="12:13" x14ac:dyDescent="0.25">
      <c r="L734082" s="472"/>
      <c r="M734082" s="472"/>
    </row>
    <row r="734083" spans="12:13" x14ac:dyDescent="0.25">
      <c r="L734083" s="472"/>
      <c r="M734083" s="472"/>
    </row>
    <row r="734155" spans="12:13" x14ac:dyDescent="0.25">
      <c r="L734155" s="472"/>
      <c r="M734155" s="472"/>
    </row>
    <row r="734156" spans="12:13" x14ac:dyDescent="0.25">
      <c r="L734156" s="472"/>
      <c r="M734156" s="472"/>
    </row>
    <row r="734157" spans="12:13" x14ac:dyDescent="0.25">
      <c r="L734157" s="472"/>
      <c r="M734157" s="472"/>
    </row>
    <row r="734229" spans="12:13" x14ac:dyDescent="0.25">
      <c r="L734229" s="472"/>
      <c r="M734229" s="472"/>
    </row>
    <row r="734230" spans="12:13" x14ac:dyDescent="0.25">
      <c r="L734230" s="472"/>
      <c r="M734230" s="472"/>
    </row>
    <row r="734231" spans="12:13" x14ac:dyDescent="0.25">
      <c r="L734231" s="472"/>
      <c r="M734231" s="472"/>
    </row>
    <row r="734303" spans="12:13" x14ac:dyDescent="0.25">
      <c r="L734303" s="472"/>
      <c r="M734303" s="472"/>
    </row>
    <row r="734304" spans="12:13" x14ac:dyDescent="0.25">
      <c r="L734304" s="472"/>
      <c r="M734304" s="472"/>
    </row>
    <row r="734305" spans="12:13" x14ac:dyDescent="0.25">
      <c r="L734305" s="472"/>
      <c r="M734305" s="472"/>
    </row>
    <row r="734377" spans="12:13" x14ac:dyDescent="0.25">
      <c r="L734377" s="472"/>
      <c r="M734377" s="472"/>
    </row>
    <row r="734378" spans="12:13" x14ac:dyDescent="0.25">
      <c r="L734378" s="472"/>
      <c r="M734378" s="472"/>
    </row>
    <row r="734379" spans="12:13" x14ac:dyDescent="0.25">
      <c r="L734379" s="472"/>
      <c r="M734379" s="472"/>
    </row>
    <row r="734451" spans="12:13" x14ac:dyDescent="0.25">
      <c r="L734451" s="472"/>
      <c r="M734451" s="472"/>
    </row>
    <row r="734452" spans="12:13" x14ac:dyDescent="0.25">
      <c r="L734452" s="472"/>
      <c r="M734452" s="472"/>
    </row>
    <row r="734453" spans="12:13" x14ac:dyDescent="0.25">
      <c r="L734453" s="472"/>
      <c r="M734453" s="472"/>
    </row>
    <row r="734525" spans="12:13" x14ac:dyDescent="0.25">
      <c r="L734525" s="472"/>
      <c r="M734525" s="472"/>
    </row>
    <row r="734526" spans="12:13" x14ac:dyDescent="0.25">
      <c r="L734526" s="472"/>
      <c r="M734526" s="472"/>
    </row>
    <row r="734527" spans="12:13" x14ac:dyDescent="0.25">
      <c r="L734527" s="472"/>
      <c r="M734527" s="472"/>
    </row>
    <row r="734599" spans="12:13" x14ac:dyDescent="0.25">
      <c r="L734599" s="472"/>
      <c r="M734599" s="472"/>
    </row>
    <row r="734600" spans="12:13" x14ac:dyDescent="0.25">
      <c r="L734600" s="472"/>
      <c r="M734600" s="472"/>
    </row>
    <row r="734601" spans="12:13" x14ac:dyDescent="0.25">
      <c r="L734601" s="472"/>
      <c r="M734601" s="472"/>
    </row>
    <row r="734673" spans="12:13" x14ac:dyDescent="0.25">
      <c r="L734673" s="472"/>
      <c r="M734673" s="472"/>
    </row>
    <row r="734674" spans="12:13" x14ac:dyDescent="0.25">
      <c r="L734674" s="472"/>
      <c r="M734674" s="472"/>
    </row>
    <row r="734675" spans="12:13" x14ac:dyDescent="0.25">
      <c r="L734675" s="472"/>
      <c r="M734675" s="472"/>
    </row>
    <row r="734747" spans="12:13" x14ac:dyDescent="0.25">
      <c r="L734747" s="472"/>
      <c r="M734747" s="472"/>
    </row>
    <row r="734748" spans="12:13" x14ac:dyDescent="0.25">
      <c r="L734748" s="472"/>
      <c r="M734748" s="472"/>
    </row>
    <row r="734749" spans="12:13" x14ac:dyDescent="0.25">
      <c r="L734749" s="472"/>
      <c r="M734749" s="472"/>
    </row>
    <row r="734821" spans="12:13" x14ac:dyDescent="0.25">
      <c r="L734821" s="472"/>
      <c r="M734821" s="472"/>
    </row>
    <row r="734822" spans="12:13" x14ac:dyDescent="0.25">
      <c r="L734822" s="472"/>
      <c r="M734822" s="472"/>
    </row>
    <row r="734823" spans="12:13" x14ac:dyDescent="0.25">
      <c r="L734823" s="472"/>
      <c r="M734823" s="472"/>
    </row>
    <row r="734895" spans="12:13" x14ac:dyDescent="0.25">
      <c r="L734895" s="472"/>
      <c r="M734895" s="472"/>
    </row>
    <row r="734896" spans="12:13" x14ac:dyDescent="0.25">
      <c r="L734896" s="472"/>
      <c r="M734896" s="472"/>
    </row>
    <row r="734897" spans="12:13" x14ac:dyDescent="0.25">
      <c r="L734897" s="472"/>
      <c r="M734897" s="472"/>
    </row>
    <row r="734969" spans="12:13" x14ac:dyDescent="0.25">
      <c r="L734969" s="472"/>
      <c r="M734969" s="472"/>
    </row>
    <row r="734970" spans="12:13" x14ac:dyDescent="0.25">
      <c r="L734970" s="472"/>
      <c r="M734970" s="472"/>
    </row>
    <row r="734971" spans="12:13" x14ac:dyDescent="0.25">
      <c r="L734971" s="472"/>
      <c r="M734971" s="472"/>
    </row>
    <row r="735043" spans="12:13" x14ac:dyDescent="0.25">
      <c r="L735043" s="472"/>
      <c r="M735043" s="472"/>
    </row>
    <row r="735044" spans="12:13" x14ac:dyDescent="0.25">
      <c r="L735044" s="472"/>
      <c r="M735044" s="472"/>
    </row>
    <row r="735045" spans="12:13" x14ac:dyDescent="0.25">
      <c r="L735045" s="472"/>
      <c r="M735045" s="472"/>
    </row>
    <row r="735117" spans="12:13" x14ac:dyDescent="0.25">
      <c r="L735117" s="472"/>
      <c r="M735117" s="472"/>
    </row>
    <row r="735118" spans="12:13" x14ac:dyDescent="0.25">
      <c r="L735118" s="472"/>
      <c r="M735118" s="472"/>
    </row>
    <row r="735119" spans="12:13" x14ac:dyDescent="0.25">
      <c r="L735119" s="472"/>
      <c r="M735119" s="472"/>
    </row>
    <row r="735191" spans="12:13" x14ac:dyDescent="0.25">
      <c r="L735191" s="472"/>
      <c r="M735191" s="472"/>
    </row>
    <row r="735192" spans="12:13" x14ac:dyDescent="0.25">
      <c r="L735192" s="472"/>
      <c r="M735192" s="472"/>
    </row>
    <row r="735193" spans="12:13" x14ac:dyDescent="0.25">
      <c r="L735193" s="472"/>
      <c r="M735193" s="472"/>
    </row>
    <row r="735265" spans="12:13" x14ac:dyDescent="0.25">
      <c r="L735265" s="472"/>
      <c r="M735265" s="472"/>
    </row>
    <row r="735266" spans="12:13" x14ac:dyDescent="0.25">
      <c r="L735266" s="472"/>
      <c r="M735266" s="472"/>
    </row>
    <row r="735267" spans="12:13" x14ac:dyDescent="0.25">
      <c r="L735267" s="472"/>
      <c r="M735267" s="472"/>
    </row>
    <row r="735339" spans="12:13" x14ac:dyDescent="0.25">
      <c r="L735339" s="472"/>
      <c r="M735339" s="472"/>
    </row>
    <row r="735340" spans="12:13" x14ac:dyDescent="0.25">
      <c r="L735340" s="472"/>
      <c r="M735340" s="472"/>
    </row>
    <row r="735341" spans="12:13" x14ac:dyDescent="0.25">
      <c r="L735341" s="472"/>
      <c r="M735341" s="472"/>
    </row>
    <row r="735413" spans="12:13" x14ac:dyDescent="0.25">
      <c r="L735413" s="472"/>
      <c r="M735413" s="472"/>
    </row>
    <row r="735414" spans="12:13" x14ac:dyDescent="0.25">
      <c r="L735414" s="472"/>
      <c r="M735414" s="472"/>
    </row>
    <row r="735415" spans="12:13" x14ac:dyDescent="0.25">
      <c r="L735415" s="472"/>
      <c r="M735415" s="472"/>
    </row>
    <row r="735487" spans="12:13" x14ac:dyDescent="0.25">
      <c r="L735487" s="472"/>
      <c r="M735487" s="472"/>
    </row>
    <row r="735488" spans="12:13" x14ac:dyDescent="0.25">
      <c r="L735488" s="472"/>
      <c r="M735488" s="472"/>
    </row>
    <row r="735489" spans="12:13" x14ac:dyDescent="0.25">
      <c r="L735489" s="472"/>
      <c r="M735489" s="472"/>
    </row>
    <row r="735561" spans="12:13" x14ac:dyDescent="0.25">
      <c r="L735561" s="472"/>
      <c r="M735561" s="472"/>
    </row>
    <row r="735562" spans="12:13" x14ac:dyDescent="0.25">
      <c r="L735562" s="472"/>
      <c r="M735562" s="472"/>
    </row>
    <row r="735563" spans="12:13" x14ac:dyDescent="0.25">
      <c r="L735563" s="472"/>
      <c r="M735563" s="472"/>
    </row>
    <row r="735635" spans="12:13" x14ac:dyDescent="0.25">
      <c r="L735635" s="472"/>
      <c r="M735635" s="472"/>
    </row>
    <row r="735636" spans="12:13" x14ac:dyDescent="0.25">
      <c r="L735636" s="472"/>
      <c r="M735636" s="472"/>
    </row>
    <row r="735637" spans="12:13" x14ac:dyDescent="0.25">
      <c r="L735637" s="472"/>
      <c r="M735637" s="472"/>
    </row>
    <row r="735709" spans="12:13" x14ac:dyDescent="0.25">
      <c r="L735709" s="472"/>
      <c r="M735709" s="472"/>
    </row>
    <row r="735710" spans="12:13" x14ac:dyDescent="0.25">
      <c r="L735710" s="472"/>
      <c r="M735710" s="472"/>
    </row>
    <row r="735711" spans="12:13" x14ac:dyDescent="0.25">
      <c r="L735711" s="472"/>
      <c r="M735711" s="472"/>
    </row>
    <row r="735783" spans="12:13" x14ac:dyDescent="0.25">
      <c r="L735783" s="472"/>
      <c r="M735783" s="472"/>
    </row>
    <row r="735784" spans="12:13" x14ac:dyDescent="0.25">
      <c r="L735784" s="472"/>
      <c r="M735784" s="472"/>
    </row>
    <row r="735785" spans="12:13" x14ac:dyDescent="0.25">
      <c r="L735785" s="472"/>
      <c r="M735785" s="472"/>
    </row>
    <row r="735857" spans="12:13" x14ac:dyDescent="0.25">
      <c r="L735857" s="472"/>
      <c r="M735857" s="472"/>
    </row>
    <row r="735858" spans="12:13" x14ac:dyDescent="0.25">
      <c r="L735858" s="472"/>
      <c r="M735858" s="472"/>
    </row>
    <row r="735859" spans="12:13" x14ac:dyDescent="0.25">
      <c r="L735859" s="472"/>
      <c r="M735859" s="472"/>
    </row>
    <row r="735931" spans="12:13" x14ac:dyDescent="0.25">
      <c r="L735931" s="472"/>
      <c r="M735931" s="472"/>
    </row>
    <row r="735932" spans="12:13" x14ac:dyDescent="0.25">
      <c r="L735932" s="472"/>
      <c r="M735932" s="472"/>
    </row>
    <row r="735933" spans="12:13" x14ac:dyDescent="0.25">
      <c r="L735933" s="472"/>
      <c r="M735933" s="472"/>
    </row>
    <row r="736005" spans="12:13" x14ac:dyDescent="0.25">
      <c r="L736005" s="472"/>
      <c r="M736005" s="472"/>
    </row>
    <row r="736006" spans="12:13" x14ac:dyDescent="0.25">
      <c r="L736006" s="472"/>
      <c r="M736006" s="472"/>
    </row>
    <row r="736007" spans="12:13" x14ac:dyDescent="0.25">
      <c r="L736007" s="472"/>
      <c r="M736007" s="472"/>
    </row>
    <row r="736079" spans="12:13" x14ac:dyDescent="0.25">
      <c r="L736079" s="472"/>
      <c r="M736079" s="472"/>
    </row>
    <row r="736080" spans="12:13" x14ac:dyDescent="0.25">
      <c r="L736080" s="472"/>
      <c r="M736080" s="472"/>
    </row>
    <row r="736081" spans="12:13" x14ac:dyDescent="0.25">
      <c r="L736081" s="472"/>
      <c r="M736081" s="472"/>
    </row>
    <row r="736153" spans="12:13" x14ac:dyDescent="0.25">
      <c r="L736153" s="472"/>
      <c r="M736153" s="472"/>
    </row>
    <row r="736154" spans="12:13" x14ac:dyDescent="0.25">
      <c r="L736154" s="472"/>
      <c r="M736154" s="472"/>
    </row>
    <row r="736155" spans="12:13" x14ac:dyDescent="0.25">
      <c r="L736155" s="472"/>
      <c r="M736155" s="472"/>
    </row>
    <row r="736227" spans="12:13" x14ac:dyDescent="0.25">
      <c r="L736227" s="472"/>
      <c r="M736227" s="472"/>
    </row>
    <row r="736228" spans="12:13" x14ac:dyDescent="0.25">
      <c r="L736228" s="472"/>
      <c r="M736228" s="472"/>
    </row>
    <row r="736229" spans="12:13" x14ac:dyDescent="0.25">
      <c r="L736229" s="472"/>
      <c r="M736229" s="472"/>
    </row>
    <row r="736301" spans="12:13" x14ac:dyDescent="0.25">
      <c r="L736301" s="472"/>
      <c r="M736301" s="472"/>
    </row>
    <row r="736302" spans="12:13" x14ac:dyDescent="0.25">
      <c r="L736302" s="472"/>
      <c r="M736302" s="472"/>
    </row>
    <row r="736303" spans="12:13" x14ac:dyDescent="0.25">
      <c r="L736303" s="472"/>
      <c r="M736303" s="472"/>
    </row>
    <row r="736375" spans="12:13" x14ac:dyDescent="0.25">
      <c r="L736375" s="472"/>
      <c r="M736375" s="472"/>
    </row>
    <row r="736376" spans="12:13" x14ac:dyDescent="0.25">
      <c r="L736376" s="472"/>
      <c r="M736376" s="472"/>
    </row>
    <row r="736377" spans="12:13" x14ac:dyDescent="0.25">
      <c r="L736377" s="472"/>
      <c r="M736377" s="472"/>
    </row>
    <row r="736449" spans="12:13" x14ac:dyDescent="0.25">
      <c r="L736449" s="472"/>
      <c r="M736449" s="472"/>
    </row>
    <row r="736450" spans="12:13" x14ac:dyDescent="0.25">
      <c r="L736450" s="472"/>
      <c r="M736450" s="472"/>
    </row>
    <row r="736451" spans="12:13" x14ac:dyDescent="0.25">
      <c r="L736451" s="472"/>
      <c r="M736451" s="472"/>
    </row>
    <row r="736523" spans="12:13" x14ac:dyDescent="0.25">
      <c r="L736523" s="472"/>
      <c r="M736523" s="472"/>
    </row>
    <row r="736524" spans="12:13" x14ac:dyDescent="0.25">
      <c r="L736524" s="472"/>
      <c r="M736524" s="472"/>
    </row>
    <row r="736525" spans="12:13" x14ac:dyDescent="0.25">
      <c r="L736525" s="472"/>
      <c r="M736525" s="472"/>
    </row>
    <row r="736597" spans="12:13" x14ac:dyDescent="0.25">
      <c r="L736597" s="472"/>
      <c r="M736597" s="472"/>
    </row>
    <row r="736598" spans="12:13" x14ac:dyDescent="0.25">
      <c r="L736598" s="472"/>
      <c r="M736598" s="472"/>
    </row>
    <row r="736599" spans="12:13" x14ac:dyDescent="0.25">
      <c r="L736599" s="472"/>
      <c r="M736599" s="472"/>
    </row>
    <row r="736671" spans="12:13" x14ac:dyDescent="0.25">
      <c r="L736671" s="472"/>
      <c r="M736671" s="472"/>
    </row>
    <row r="736672" spans="12:13" x14ac:dyDescent="0.25">
      <c r="L736672" s="472"/>
      <c r="M736672" s="472"/>
    </row>
    <row r="736673" spans="12:13" x14ac:dyDescent="0.25">
      <c r="L736673" s="472"/>
      <c r="M736673" s="472"/>
    </row>
    <row r="736745" spans="12:13" x14ac:dyDescent="0.25">
      <c r="L736745" s="472"/>
      <c r="M736745" s="472"/>
    </row>
    <row r="736746" spans="12:13" x14ac:dyDescent="0.25">
      <c r="L736746" s="472"/>
      <c r="M736746" s="472"/>
    </row>
    <row r="736747" spans="12:13" x14ac:dyDescent="0.25">
      <c r="L736747" s="472"/>
      <c r="M736747" s="472"/>
    </row>
    <row r="736819" spans="12:13" x14ac:dyDescent="0.25">
      <c r="L736819" s="472"/>
      <c r="M736819" s="472"/>
    </row>
    <row r="736820" spans="12:13" x14ac:dyDescent="0.25">
      <c r="L736820" s="472"/>
      <c r="M736820" s="472"/>
    </row>
    <row r="736821" spans="12:13" x14ac:dyDescent="0.25">
      <c r="L736821" s="472"/>
      <c r="M736821" s="472"/>
    </row>
    <row r="736893" spans="12:13" x14ac:dyDescent="0.25">
      <c r="L736893" s="472"/>
      <c r="M736893" s="472"/>
    </row>
    <row r="736894" spans="12:13" x14ac:dyDescent="0.25">
      <c r="L736894" s="472"/>
      <c r="M736894" s="472"/>
    </row>
    <row r="736895" spans="12:13" x14ac:dyDescent="0.25">
      <c r="L736895" s="472"/>
      <c r="M736895" s="472"/>
    </row>
    <row r="736967" spans="12:13" x14ac:dyDescent="0.25">
      <c r="L736967" s="472"/>
      <c r="M736967" s="472"/>
    </row>
    <row r="736968" spans="12:13" x14ac:dyDescent="0.25">
      <c r="L736968" s="472"/>
      <c r="M736968" s="472"/>
    </row>
    <row r="736969" spans="12:13" x14ac:dyDescent="0.25">
      <c r="L736969" s="472"/>
      <c r="M736969" s="472"/>
    </row>
    <row r="737041" spans="12:13" x14ac:dyDescent="0.25">
      <c r="L737041" s="472"/>
      <c r="M737041" s="472"/>
    </row>
    <row r="737042" spans="12:13" x14ac:dyDescent="0.25">
      <c r="L737042" s="472"/>
      <c r="M737042" s="472"/>
    </row>
    <row r="737043" spans="12:13" x14ac:dyDescent="0.25">
      <c r="L737043" s="472"/>
      <c r="M737043" s="472"/>
    </row>
    <row r="737115" spans="12:13" x14ac:dyDescent="0.25">
      <c r="L737115" s="472"/>
      <c r="M737115" s="472"/>
    </row>
    <row r="737116" spans="12:13" x14ac:dyDescent="0.25">
      <c r="L737116" s="472"/>
      <c r="M737116" s="472"/>
    </row>
    <row r="737117" spans="12:13" x14ac:dyDescent="0.25">
      <c r="L737117" s="472"/>
      <c r="M737117" s="472"/>
    </row>
    <row r="737189" spans="12:13" x14ac:dyDescent="0.25">
      <c r="L737189" s="472"/>
      <c r="M737189" s="472"/>
    </row>
    <row r="737190" spans="12:13" x14ac:dyDescent="0.25">
      <c r="L737190" s="472"/>
      <c r="M737190" s="472"/>
    </row>
    <row r="737191" spans="12:13" x14ac:dyDescent="0.25">
      <c r="L737191" s="472"/>
      <c r="M737191" s="472"/>
    </row>
    <row r="737263" spans="12:13" x14ac:dyDescent="0.25">
      <c r="L737263" s="472"/>
      <c r="M737263" s="472"/>
    </row>
    <row r="737264" spans="12:13" x14ac:dyDescent="0.25">
      <c r="L737264" s="472"/>
      <c r="M737264" s="472"/>
    </row>
    <row r="737265" spans="12:13" x14ac:dyDescent="0.25">
      <c r="L737265" s="472"/>
      <c r="M737265" s="472"/>
    </row>
    <row r="737337" spans="12:13" x14ac:dyDescent="0.25">
      <c r="L737337" s="472"/>
      <c r="M737337" s="472"/>
    </row>
    <row r="737338" spans="12:13" x14ac:dyDescent="0.25">
      <c r="L737338" s="472"/>
      <c r="M737338" s="472"/>
    </row>
    <row r="737339" spans="12:13" x14ac:dyDescent="0.25">
      <c r="L737339" s="472"/>
      <c r="M737339" s="472"/>
    </row>
    <row r="737411" spans="12:13" x14ac:dyDescent="0.25">
      <c r="L737411" s="472"/>
      <c r="M737411" s="472"/>
    </row>
    <row r="737412" spans="12:13" x14ac:dyDescent="0.25">
      <c r="L737412" s="472"/>
      <c r="M737412" s="472"/>
    </row>
    <row r="737413" spans="12:13" x14ac:dyDescent="0.25">
      <c r="L737413" s="472"/>
      <c r="M737413" s="472"/>
    </row>
    <row r="737485" spans="12:13" x14ac:dyDescent="0.25">
      <c r="L737485" s="472"/>
      <c r="M737485" s="472"/>
    </row>
    <row r="737486" spans="12:13" x14ac:dyDescent="0.25">
      <c r="L737486" s="472"/>
      <c r="M737486" s="472"/>
    </row>
    <row r="737487" spans="12:13" x14ac:dyDescent="0.25">
      <c r="L737487" s="472"/>
      <c r="M737487" s="472"/>
    </row>
    <row r="737559" spans="12:13" x14ac:dyDescent="0.25">
      <c r="L737559" s="472"/>
      <c r="M737559" s="472"/>
    </row>
    <row r="737560" spans="12:13" x14ac:dyDescent="0.25">
      <c r="L737560" s="472"/>
      <c r="M737560" s="472"/>
    </row>
    <row r="737561" spans="12:13" x14ac:dyDescent="0.25">
      <c r="L737561" s="472"/>
      <c r="M737561" s="472"/>
    </row>
    <row r="737633" spans="12:13" x14ac:dyDescent="0.25">
      <c r="L737633" s="472"/>
      <c r="M737633" s="472"/>
    </row>
    <row r="737634" spans="12:13" x14ac:dyDescent="0.25">
      <c r="L737634" s="472"/>
      <c r="M737634" s="472"/>
    </row>
    <row r="737635" spans="12:13" x14ac:dyDescent="0.25">
      <c r="L737635" s="472"/>
      <c r="M737635" s="472"/>
    </row>
    <row r="737707" spans="12:13" x14ac:dyDescent="0.25">
      <c r="L737707" s="472"/>
      <c r="M737707" s="472"/>
    </row>
    <row r="737708" spans="12:13" x14ac:dyDescent="0.25">
      <c r="L737708" s="472"/>
      <c r="M737708" s="472"/>
    </row>
    <row r="737709" spans="12:13" x14ac:dyDescent="0.25">
      <c r="L737709" s="472"/>
      <c r="M737709" s="472"/>
    </row>
    <row r="737781" spans="12:13" x14ac:dyDescent="0.25">
      <c r="L737781" s="472"/>
      <c r="M737781" s="472"/>
    </row>
    <row r="737782" spans="12:13" x14ac:dyDescent="0.25">
      <c r="L737782" s="472"/>
      <c r="M737782" s="472"/>
    </row>
    <row r="737783" spans="12:13" x14ac:dyDescent="0.25">
      <c r="L737783" s="472"/>
      <c r="M737783" s="472"/>
    </row>
    <row r="737855" spans="12:13" x14ac:dyDescent="0.25">
      <c r="L737855" s="472"/>
      <c r="M737855" s="472"/>
    </row>
    <row r="737856" spans="12:13" x14ac:dyDescent="0.25">
      <c r="L737856" s="472"/>
      <c r="M737856" s="472"/>
    </row>
    <row r="737857" spans="12:13" x14ac:dyDescent="0.25">
      <c r="L737857" s="472"/>
      <c r="M737857" s="472"/>
    </row>
    <row r="737929" spans="12:13" x14ac:dyDescent="0.25">
      <c r="L737929" s="472"/>
      <c r="M737929" s="472"/>
    </row>
    <row r="737930" spans="12:13" x14ac:dyDescent="0.25">
      <c r="L737930" s="472"/>
      <c r="M737930" s="472"/>
    </row>
    <row r="737931" spans="12:13" x14ac:dyDescent="0.25">
      <c r="L737931" s="472"/>
      <c r="M737931" s="472"/>
    </row>
    <row r="738003" spans="12:13" x14ac:dyDescent="0.25">
      <c r="L738003" s="472"/>
      <c r="M738003" s="472"/>
    </row>
    <row r="738004" spans="12:13" x14ac:dyDescent="0.25">
      <c r="L738004" s="472"/>
      <c r="M738004" s="472"/>
    </row>
    <row r="738005" spans="12:13" x14ac:dyDescent="0.25">
      <c r="L738005" s="472"/>
      <c r="M738005" s="472"/>
    </row>
    <row r="738077" spans="12:13" x14ac:dyDescent="0.25">
      <c r="L738077" s="472"/>
      <c r="M738077" s="472"/>
    </row>
    <row r="738078" spans="12:13" x14ac:dyDescent="0.25">
      <c r="L738078" s="472"/>
      <c r="M738078" s="472"/>
    </row>
    <row r="738079" spans="12:13" x14ac:dyDescent="0.25">
      <c r="L738079" s="472"/>
      <c r="M738079" s="472"/>
    </row>
    <row r="738151" spans="12:13" x14ac:dyDescent="0.25">
      <c r="L738151" s="472"/>
      <c r="M738151" s="472"/>
    </row>
    <row r="738152" spans="12:13" x14ac:dyDescent="0.25">
      <c r="L738152" s="472"/>
      <c r="M738152" s="472"/>
    </row>
    <row r="738153" spans="12:13" x14ac:dyDescent="0.25">
      <c r="L738153" s="472"/>
      <c r="M738153" s="472"/>
    </row>
    <row r="738225" spans="12:13" x14ac:dyDescent="0.25">
      <c r="L738225" s="472"/>
      <c r="M738225" s="472"/>
    </row>
    <row r="738226" spans="12:13" x14ac:dyDescent="0.25">
      <c r="L738226" s="472"/>
      <c r="M738226" s="472"/>
    </row>
    <row r="738227" spans="12:13" x14ac:dyDescent="0.25">
      <c r="L738227" s="472"/>
      <c r="M738227" s="472"/>
    </row>
    <row r="738299" spans="12:13" x14ac:dyDescent="0.25">
      <c r="L738299" s="472"/>
      <c r="M738299" s="472"/>
    </row>
    <row r="738300" spans="12:13" x14ac:dyDescent="0.25">
      <c r="L738300" s="472"/>
      <c r="M738300" s="472"/>
    </row>
    <row r="738301" spans="12:13" x14ac:dyDescent="0.25">
      <c r="L738301" s="472"/>
      <c r="M738301" s="472"/>
    </row>
    <row r="738373" spans="12:13" x14ac:dyDescent="0.25">
      <c r="L738373" s="472"/>
      <c r="M738373" s="472"/>
    </row>
    <row r="738374" spans="12:13" x14ac:dyDescent="0.25">
      <c r="L738374" s="472"/>
      <c r="M738374" s="472"/>
    </row>
    <row r="738375" spans="12:13" x14ac:dyDescent="0.25">
      <c r="L738375" s="472"/>
      <c r="M738375" s="472"/>
    </row>
    <row r="738447" spans="12:13" x14ac:dyDescent="0.25">
      <c r="L738447" s="472"/>
      <c r="M738447" s="472"/>
    </row>
    <row r="738448" spans="12:13" x14ac:dyDescent="0.25">
      <c r="L738448" s="472"/>
      <c r="M738448" s="472"/>
    </row>
    <row r="738449" spans="12:13" x14ac:dyDescent="0.25">
      <c r="L738449" s="472"/>
      <c r="M738449" s="472"/>
    </row>
    <row r="738521" spans="12:13" x14ac:dyDescent="0.25">
      <c r="L738521" s="472"/>
      <c r="M738521" s="472"/>
    </row>
    <row r="738522" spans="12:13" x14ac:dyDescent="0.25">
      <c r="L738522" s="472"/>
      <c r="M738522" s="472"/>
    </row>
    <row r="738523" spans="12:13" x14ac:dyDescent="0.25">
      <c r="L738523" s="472"/>
      <c r="M738523" s="472"/>
    </row>
    <row r="738595" spans="12:13" x14ac:dyDescent="0.25">
      <c r="L738595" s="472"/>
      <c r="M738595" s="472"/>
    </row>
    <row r="738596" spans="12:13" x14ac:dyDescent="0.25">
      <c r="L738596" s="472"/>
      <c r="M738596" s="472"/>
    </row>
    <row r="738597" spans="12:13" x14ac:dyDescent="0.25">
      <c r="L738597" s="472"/>
      <c r="M738597" s="472"/>
    </row>
    <row r="738669" spans="12:13" x14ac:dyDescent="0.25">
      <c r="L738669" s="472"/>
      <c r="M738669" s="472"/>
    </row>
    <row r="738670" spans="12:13" x14ac:dyDescent="0.25">
      <c r="L738670" s="472"/>
      <c r="M738670" s="472"/>
    </row>
    <row r="738671" spans="12:13" x14ac:dyDescent="0.25">
      <c r="L738671" s="472"/>
      <c r="M738671" s="472"/>
    </row>
    <row r="738743" spans="12:13" x14ac:dyDescent="0.25">
      <c r="L738743" s="472"/>
      <c r="M738743" s="472"/>
    </row>
    <row r="738744" spans="12:13" x14ac:dyDescent="0.25">
      <c r="L738744" s="472"/>
      <c r="M738744" s="472"/>
    </row>
    <row r="738745" spans="12:13" x14ac:dyDescent="0.25">
      <c r="L738745" s="472"/>
      <c r="M738745" s="472"/>
    </row>
    <row r="738817" spans="12:13" x14ac:dyDescent="0.25">
      <c r="L738817" s="472"/>
      <c r="M738817" s="472"/>
    </row>
    <row r="738818" spans="12:13" x14ac:dyDescent="0.25">
      <c r="L738818" s="472"/>
      <c r="M738818" s="472"/>
    </row>
    <row r="738819" spans="12:13" x14ac:dyDescent="0.25">
      <c r="L738819" s="472"/>
      <c r="M738819" s="472"/>
    </row>
    <row r="738891" spans="12:13" x14ac:dyDescent="0.25">
      <c r="L738891" s="472"/>
      <c r="M738891" s="472"/>
    </row>
    <row r="738892" spans="12:13" x14ac:dyDescent="0.25">
      <c r="L738892" s="472"/>
      <c r="M738892" s="472"/>
    </row>
    <row r="738893" spans="12:13" x14ac:dyDescent="0.25">
      <c r="L738893" s="472"/>
      <c r="M738893" s="472"/>
    </row>
    <row r="738965" spans="12:13" x14ac:dyDescent="0.25">
      <c r="L738965" s="472"/>
      <c r="M738965" s="472"/>
    </row>
    <row r="738966" spans="12:13" x14ac:dyDescent="0.25">
      <c r="L738966" s="472"/>
      <c r="M738966" s="472"/>
    </row>
    <row r="738967" spans="12:13" x14ac:dyDescent="0.25">
      <c r="L738967" s="472"/>
      <c r="M738967" s="472"/>
    </row>
    <row r="739039" spans="12:13" x14ac:dyDescent="0.25">
      <c r="L739039" s="472"/>
      <c r="M739039" s="472"/>
    </row>
    <row r="739040" spans="12:13" x14ac:dyDescent="0.25">
      <c r="L739040" s="472"/>
      <c r="M739040" s="472"/>
    </row>
    <row r="739041" spans="12:13" x14ac:dyDescent="0.25">
      <c r="L739041" s="472"/>
      <c r="M739041" s="472"/>
    </row>
    <row r="739113" spans="12:13" x14ac:dyDescent="0.25">
      <c r="L739113" s="472"/>
      <c r="M739113" s="472"/>
    </row>
    <row r="739114" spans="12:13" x14ac:dyDescent="0.25">
      <c r="L739114" s="472"/>
      <c r="M739114" s="472"/>
    </row>
    <row r="739115" spans="12:13" x14ac:dyDescent="0.25">
      <c r="L739115" s="472"/>
      <c r="M739115" s="472"/>
    </row>
    <row r="739187" spans="12:13" x14ac:dyDescent="0.25">
      <c r="L739187" s="472"/>
      <c r="M739187" s="472"/>
    </row>
    <row r="739188" spans="12:13" x14ac:dyDescent="0.25">
      <c r="L739188" s="472"/>
      <c r="M739188" s="472"/>
    </row>
    <row r="739189" spans="12:13" x14ac:dyDescent="0.25">
      <c r="L739189" s="472"/>
      <c r="M739189" s="472"/>
    </row>
    <row r="739261" spans="12:13" x14ac:dyDescent="0.25">
      <c r="L739261" s="472"/>
      <c r="M739261" s="472"/>
    </row>
    <row r="739262" spans="12:13" x14ac:dyDescent="0.25">
      <c r="L739262" s="472"/>
      <c r="M739262" s="472"/>
    </row>
    <row r="739263" spans="12:13" x14ac:dyDescent="0.25">
      <c r="L739263" s="472"/>
      <c r="M739263" s="472"/>
    </row>
    <row r="739335" spans="12:13" x14ac:dyDescent="0.25">
      <c r="L739335" s="472"/>
      <c r="M739335" s="472"/>
    </row>
    <row r="739336" spans="12:13" x14ac:dyDescent="0.25">
      <c r="L739336" s="472"/>
      <c r="M739336" s="472"/>
    </row>
    <row r="739337" spans="12:13" x14ac:dyDescent="0.25">
      <c r="L739337" s="472"/>
      <c r="M739337" s="472"/>
    </row>
    <row r="739409" spans="12:13" x14ac:dyDescent="0.25">
      <c r="L739409" s="472"/>
      <c r="M739409" s="472"/>
    </row>
    <row r="739410" spans="12:13" x14ac:dyDescent="0.25">
      <c r="L739410" s="472"/>
      <c r="M739410" s="472"/>
    </row>
    <row r="739411" spans="12:13" x14ac:dyDescent="0.25">
      <c r="L739411" s="472"/>
      <c r="M739411" s="472"/>
    </row>
    <row r="739483" spans="12:13" x14ac:dyDescent="0.25">
      <c r="L739483" s="472"/>
      <c r="M739483" s="472"/>
    </row>
    <row r="739484" spans="12:13" x14ac:dyDescent="0.25">
      <c r="L739484" s="472"/>
      <c r="M739484" s="472"/>
    </row>
    <row r="739485" spans="12:13" x14ac:dyDescent="0.25">
      <c r="L739485" s="472"/>
      <c r="M739485" s="472"/>
    </row>
    <row r="739557" spans="12:13" x14ac:dyDescent="0.25">
      <c r="L739557" s="472"/>
      <c r="M739557" s="472"/>
    </row>
    <row r="739558" spans="12:13" x14ac:dyDescent="0.25">
      <c r="L739558" s="472"/>
      <c r="M739558" s="472"/>
    </row>
    <row r="739559" spans="12:13" x14ac:dyDescent="0.25">
      <c r="L739559" s="472"/>
      <c r="M739559" s="472"/>
    </row>
    <row r="739631" spans="12:13" x14ac:dyDescent="0.25">
      <c r="L739631" s="472"/>
      <c r="M739631" s="472"/>
    </row>
    <row r="739632" spans="12:13" x14ac:dyDescent="0.25">
      <c r="L739632" s="472"/>
      <c r="M739632" s="472"/>
    </row>
    <row r="739633" spans="12:13" x14ac:dyDescent="0.25">
      <c r="L739633" s="472"/>
      <c r="M739633" s="472"/>
    </row>
    <row r="739705" spans="12:13" x14ac:dyDescent="0.25">
      <c r="L739705" s="472"/>
      <c r="M739705" s="472"/>
    </row>
    <row r="739706" spans="12:13" x14ac:dyDescent="0.25">
      <c r="L739706" s="472"/>
      <c r="M739706" s="472"/>
    </row>
    <row r="739707" spans="12:13" x14ac:dyDescent="0.25">
      <c r="L739707" s="472"/>
      <c r="M739707" s="472"/>
    </row>
    <row r="739779" spans="12:13" x14ac:dyDescent="0.25">
      <c r="L739779" s="472"/>
      <c r="M739779" s="472"/>
    </row>
    <row r="739780" spans="12:13" x14ac:dyDescent="0.25">
      <c r="L739780" s="472"/>
      <c r="M739780" s="472"/>
    </row>
    <row r="739781" spans="12:13" x14ac:dyDescent="0.25">
      <c r="L739781" s="472"/>
      <c r="M739781" s="472"/>
    </row>
    <row r="739853" spans="12:13" x14ac:dyDescent="0.25">
      <c r="L739853" s="472"/>
      <c r="M739853" s="472"/>
    </row>
    <row r="739854" spans="12:13" x14ac:dyDescent="0.25">
      <c r="L739854" s="472"/>
      <c r="M739854" s="472"/>
    </row>
    <row r="739855" spans="12:13" x14ac:dyDescent="0.25">
      <c r="L739855" s="472"/>
      <c r="M739855" s="472"/>
    </row>
    <row r="739927" spans="12:13" x14ac:dyDescent="0.25">
      <c r="L739927" s="472"/>
      <c r="M739927" s="472"/>
    </row>
    <row r="739928" spans="12:13" x14ac:dyDescent="0.25">
      <c r="L739928" s="472"/>
      <c r="M739928" s="472"/>
    </row>
    <row r="739929" spans="12:13" x14ac:dyDescent="0.25">
      <c r="L739929" s="472"/>
      <c r="M739929" s="472"/>
    </row>
    <row r="740001" spans="12:13" x14ac:dyDescent="0.25">
      <c r="L740001" s="472"/>
      <c r="M740001" s="472"/>
    </row>
    <row r="740002" spans="12:13" x14ac:dyDescent="0.25">
      <c r="L740002" s="472"/>
      <c r="M740002" s="472"/>
    </row>
    <row r="740003" spans="12:13" x14ac:dyDescent="0.25">
      <c r="L740003" s="472"/>
      <c r="M740003" s="472"/>
    </row>
    <row r="740075" spans="12:13" x14ac:dyDescent="0.25">
      <c r="L740075" s="472"/>
      <c r="M740075" s="472"/>
    </row>
    <row r="740076" spans="12:13" x14ac:dyDescent="0.25">
      <c r="L740076" s="472"/>
      <c r="M740076" s="472"/>
    </row>
    <row r="740077" spans="12:13" x14ac:dyDescent="0.25">
      <c r="L740077" s="472"/>
      <c r="M740077" s="472"/>
    </row>
    <row r="740149" spans="12:13" x14ac:dyDescent="0.25">
      <c r="L740149" s="472"/>
      <c r="M740149" s="472"/>
    </row>
    <row r="740150" spans="12:13" x14ac:dyDescent="0.25">
      <c r="L740150" s="472"/>
      <c r="M740150" s="472"/>
    </row>
    <row r="740151" spans="12:13" x14ac:dyDescent="0.25">
      <c r="L740151" s="472"/>
      <c r="M740151" s="472"/>
    </row>
    <row r="740223" spans="12:13" x14ac:dyDescent="0.25">
      <c r="L740223" s="472"/>
      <c r="M740223" s="472"/>
    </row>
    <row r="740224" spans="12:13" x14ac:dyDescent="0.25">
      <c r="L740224" s="472"/>
      <c r="M740224" s="472"/>
    </row>
    <row r="740225" spans="12:13" x14ac:dyDescent="0.25">
      <c r="L740225" s="472"/>
      <c r="M740225" s="472"/>
    </row>
    <row r="740297" spans="12:13" x14ac:dyDescent="0.25">
      <c r="L740297" s="472"/>
      <c r="M740297" s="472"/>
    </row>
    <row r="740298" spans="12:13" x14ac:dyDescent="0.25">
      <c r="L740298" s="472"/>
      <c r="M740298" s="472"/>
    </row>
    <row r="740299" spans="12:13" x14ac:dyDescent="0.25">
      <c r="L740299" s="472"/>
      <c r="M740299" s="472"/>
    </row>
    <row r="740371" spans="12:13" x14ac:dyDescent="0.25">
      <c r="L740371" s="472"/>
      <c r="M740371" s="472"/>
    </row>
    <row r="740372" spans="12:13" x14ac:dyDescent="0.25">
      <c r="L740372" s="472"/>
      <c r="M740372" s="472"/>
    </row>
    <row r="740373" spans="12:13" x14ac:dyDescent="0.25">
      <c r="L740373" s="472"/>
      <c r="M740373" s="472"/>
    </row>
    <row r="740445" spans="12:13" x14ac:dyDescent="0.25">
      <c r="L740445" s="472"/>
      <c r="M740445" s="472"/>
    </row>
    <row r="740446" spans="12:13" x14ac:dyDescent="0.25">
      <c r="L740446" s="472"/>
      <c r="M740446" s="472"/>
    </row>
    <row r="740447" spans="12:13" x14ac:dyDescent="0.25">
      <c r="L740447" s="472"/>
      <c r="M740447" s="472"/>
    </row>
    <row r="740519" spans="12:13" x14ac:dyDescent="0.25">
      <c r="L740519" s="472"/>
      <c r="M740519" s="472"/>
    </row>
    <row r="740520" spans="12:13" x14ac:dyDescent="0.25">
      <c r="L740520" s="472"/>
      <c r="M740520" s="472"/>
    </row>
    <row r="740521" spans="12:13" x14ac:dyDescent="0.25">
      <c r="L740521" s="472"/>
      <c r="M740521" s="472"/>
    </row>
    <row r="740593" spans="12:13" x14ac:dyDescent="0.25">
      <c r="L740593" s="472"/>
      <c r="M740593" s="472"/>
    </row>
    <row r="740594" spans="12:13" x14ac:dyDescent="0.25">
      <c r="L740594" s="472"/>
      <c r="M740594" s="472"/>
    </row>
    <row r="740595" spans="12:13" x14ac:dyDescent="0.25">
      <c r="L740595" s="472"/>
      <c r="M740595" s="472"/>
    </row>
    <row r="740667" spans="12:13" x14ac:dyDescent="0.25">
      <c r="L740667" s="472"/>
      <c r="M740667" s="472"/>
    </row>
    <row r="740668" spans="12:13" x14ac:dyDescent="0.25">
      <c r="L740668" s="472"/>
      <c r="M740668" s="472"/>
    </row>
    <row r="740669" spans="12:13" x14ac:dyDescent="0.25">
      <c r="L740669" s="472"/>
      <c r="M740669" s="472"/>
    </row>
    <row r="740741" spans="12:13" x14ac:dyDescent="0.25">
      <c r="L740741" s="472"/>
      <c r="M740741" s="472"/>
    </row>
    <row r="740742" spans="12:13" x14ac:dyDescent="0.25">
      <c r="L740742" s="472"/>
      <c r="M740742" s="472"/>
    </row>
    <row r="740743" spans="12:13" x14ac:dyDescent="0.25">
      <c r="L740743" s="472"/>
      <c r="M740743" s="472"/>
    </row>
    <row r="740815" spans="12:13" x14ac:dyDescent="0.25">
      <c r="L740815" s="472"/>
      <c r="M740815" s="472"/>
    </row>
    <row r="740816" spans="12:13" x14ac:dyDescent="0.25">
      <c r="L740816" s="472"/>
      <c r="M740816" s="472"/>
    </row>
    <row r="740817" spans="12:13" x14ac:dyDescent="0.25">
      <c r="L740817" s="472"/>
      <c r="M740817" s="472"/>
    </row>
    <row r="740889" spans="12:13" x14ac:dyDescent="0.25">
      <c r="L740889" s="472"/>
      <c r="M740889" s="472"/>
    </row>
    <row r="740890" spans="12:13" x14ac:dyDescent="0.25">
      <c r="L740890" s="472"/>
      <c r="M740890" s="472"/>
    </row>
    <row r="740891" spans="12:13" x14ac:dyDescent="0.25">
      <c r="L740891" s="472"/>
      <c r="M740891" s="472"/>
    </row>
    <row r="740963" spans="12:13" x14ac:dyDescent="0.25">
      <c r="L740963" s="472"/>
      <c r="M740963" s="472"/>
    </row>
    <row r="740964" spans="12:13" x14ac:dyDescent="0.25">
      <c r="L740964" s="472"/>
      <c r="M740964" s="472"/>
    </row>
    <row r="740965" spans="12:13" x14ac:dyDescent="0.25">
      <c r="L740965" s="472"/>
      <c r="M740965" s="472"/>
    </row>
    <row r="741037" spans="12:13" x14ac:dyDescent="0.25">
      <c r="L741037" s="472"/>
      <c r="M741037" s="472"/>
    </row>
    <row r="741038" spans="12:13" x14ac:dyDescent="0.25">
      <c r="L741038" s="472"/>
      <c r="M741038" s="472"/>
    </row>
    <row r="741039" spans="12:13" x14ac:dyDescent="0.25">
      <c r="L741039" s="472"/>
      <c r="M741039" s="472"/>
    </row>
    <row r="741111" spans="12:13" x14ac:dyDescent="0.25">
      <c r="L741111" s="472"/>
      <c r="M741111" s="472"/>
    </row>
    <row r="741112" spans="12:13" x14ac:dyDescent="0.25">
      <c r="L741112" s="472"/>
      <c r="M741112" s="472"/>
    </row>
    <row r="741113" spans="12:13" x14ac:dyDescent="0.25">
      <c r="L741113" s="472"/>
      <c r="M741113" s="472"/>
    </row>
    <row r="741185" spans="12:13" x14ac:dyDescent="0.25">
      <c r="L741185" s="472"/>
      <c r="M741185" s="472"/>
    </row>
    <row r="741186" spans="12:13" x14ac:dyDescent="0.25">
      <c r="L741186" s="472"/>
      <c r="M741186" s="472"/>
    </row>
    <row r="741187" spans="12:13" x14ac:dyDescent="0.25">
      <c r="L741187" s="472"/>
      <c r="M741187" s="472"/>
    </row>
    <row r="741259" spans="12:13" x14ac:dyDescent="0.25">
      <c r="L741259" s="472"/>
      <c r="M741259" s="472"/>
    </row>
    <row r="741260" spans="12:13" x14ac:dyDescent="0.25">
      <c r="L741260" s="472"/>
      <c r="M741260" s="472"/>
    </row>
    <row r="741261" spans="12:13" x14ac:dyDescent="0.25">
      <c r="L741261" s="472"/>
      <c r="M741261" s="472"/>
    </row>
    <row r="741333" spans="12:13" x14ac:dyDescent="0.25">
      <c r="L741333" s="472"/>
      <c r="M741333" s="472"/>
    </row>
    <row r="741334" spans="12:13" x14ac:dyDescent="0.25">
      <c r="L741334" s="472"/>
      <c r="M741334" s="472"/>
    </row>
    <row r="741335" spans="12:13" x14ac:dyDescent="0.25">
      <c r="L741335" s="472"/>
      <c r="M741335" s="472"/>
    </row>
    <row r="741407" spans="12:13" x14ac:dyDescent="0.25">
      <c r="L741407" s="472"/>
      <c r="M741407" s="472"/>
    </row>
    <row r="741408" spans="12:13" x14ac:dyDescent="0.25">
      <c r="L741408" s="472"/>
      <c r="M741408" s="472"/>
    </row>
    <row r="741409" spans="12:13" x14ac:dyDescent="0.25">
      <c r="L741409" s="472"/>
      <c r="M741409" s="472"/>
    </row>
    <row r="741481" spans="12:13" x14ac:dyDescent="0.25">
      <c r="L741481" s="472"/>
      <c r="M741481" s="472"/>
    </row>
    <row r="741482" spans="12:13" x14ac:dyDescent="0.25">
      <c r="L741482" s="472"/>
      <c r="M741482" s="472"/>
    </row>
    <row r="741483" spans="12:13" x14ac:dyDescent="0.25">
      <c r="L741483" s="472"/>
      <c r="M741483" s="472"/>
    </row>
    <row r="741555" spans="12:13" x14ac:dyDescent="0.25">
      <c r="L741555" s="472"/>
      <c r="M741555" s="472"/>
    </row>
    <row r="741556" spans="12:13" x14ac:dyDescent="0.25">
      <c r="L741556" s="472"/>
      <c r="M741556" s="472"/>
    </row>
    <row r="741557" spans="12:13" x14ac:dyDescent="0.25">
      <c r="L741557" s="472"/>
      <c r="M741557" s="472"/>
    </row>
    <row r="741629" spans="12:13" x14ac:dyDescent="0.25">
      <c r="L741629" s="472"/>
      <c r="M741629" s="472"/>
    </row>
    <row r="741630" spans="12:13" x14ac:dyDescent="0.25">
      <c r="L741630" s="472"/>
      <c r="M741630" s="472"/>
    </row>
    <row r="741631" spans="12:13" x14ac:dyDescent="0.25">
      <c r="L741631" s="472"/>
      <c r="M741631" s="472"/>
    </row>
    <row r="741703" spans="12:13" x14ac:dyDescent="0.25">
      <c r="L741703" s="472"/>
      <c r="M741703" s="472"/>
    </row>
    <row r="741704" spans="12:13" x14ac:dyDescent="0.25">
      <c r="L741704" s="472"/>
      <c r="M741704" s="472"/>
    </row>
    <row r="741705" spans="12:13" x14ac:dyDescent="0.25">
      <c r="L741705" s="472"/>
      <c r="M741705" s="472"/>
    </row>
    <row r="741777" spans="12:13" x14ac:dyDescent="0.25">
      <c r="L741777" s="472"/>
      <c r="M741777" s="472"/>
    </row>
    <row r="741778" spans="12:13" x14ac:dyDescent="0.25">
      <c r="L741778" s="472"/>
      <c r="M741778" s="472"/>
    </row>
    <row r="741779" spans="12:13" x14ac:dyDescent="0.25">
      <c r="L741779" s="472"/>
      <c r="M741779" s="472"/>
    </row>
    <row r="741851" spans="12:13" x14ac:dyDescent="0.25">
      <c r="L741851" s="472"/>
      <c r="M741851" s="472"/>
    </row>
    <row r="741852" spans="12:13" x14ac:dyDescent="0.25">
      <c r="L741852" s="472"/>
      <c r="M741852" s="472"/>
    </row>
    <row r="741853" spans="12:13" x14ac:dyDescent="0.25">
      <c r="L741853" s="472"/>
      <c r="M741853" s="472"/>
    </row>
    <row r="741925" spans="12:13" x14ac:dyDescent="0.25">
      <c r="L741925" s="472"/>
      <c r="M741925" s="472"/>
    </row>
    <row r="741926" spans="12:13" x14ac:dyDescent="0.25">
      <c r="L741926" s="472"/>
      <c r="M741926" s="472"/>
    </row>
    <row r="741927" spans="12:13" x14ac:dyDescent="0.25">
      <c r="L741927" s="472"/>
      <c r="M741927" s="472"/>
    </row>
    <row r="741999" spans="12:13" x14ac:dyDescent="0.25">
      <c r="L741999" s="472"/>
      <c r="M741999" s="472"/>
    </row>
    <row r="742000" spans="12:13" x14ac:dyDescent="0.25">
      <c r="L742000" s="472"/>
      <c r="M742000" s="472"/>
    </row>
    <row r="742001" spans="12:13" x14ac:dyDescent="0.25">
      <c r="L742001" s="472"/>
      <c r="M742001" s="472"/>
    </row>
    <row r="742073" spans="12:13" x14ac:dyDescent="0.25">
      <c r="L742073" s="472"/>
      <c r="M742073" s="472"/>
    </row>
    <row r="742074" spans="12:13" x14ac:dyDescent="0.25">
      <c r="L742074" s="472"/>
      <c r="M742074" s="472"/>
    </row>
    <row r="742075" spans="12:13" x14ac:dyDescent="0.25">
      <c r="L742075" s="472"/>
      <c r="M742075" s="472"/>
    </row>
    <row r="742147" spans="12:13" x14ac:dyDescent="0.25">
      <c r="L742147" s="472"/>
      <c r="M742147" s="472"/>
    </row>
    <row r="742148" spans="12:13" x14ac:dyDescent="0.25">
      <c r="L742148" s="472"/>
      <c r="M742148" s="472"/>
    </row>
    <row r="742149" spans="12:13" x14ac:dyDescent="0.25">
      <c r="L742149" s="472"/>
      <c r="M742149" s="472"/>
    </row>
    <row r="742221" spans="12:13" x14ac:dyDescent="0.25">
      <c r="L742221" s="472"/>
      <c r="M742221" s="472"/>
    </row>
    <row r="742222" spans="12:13" x14ac:dyDescent="0.25">
      <c r="L742222" s="472"/>
      <c r="M742222" s="472"/>
    </row>
    <row r="742223" spans="12:13" x14ac:dyDescent="0.25">
      <c r="L742223" s="472"/>
      <c r="M742223" s="472"/>
    </row>
    <row r="742295" spans="12:13" x14ac:dyDescent="0.25">
      <c r="L742295" s="472"/>
      <c r="M742295" s="472"/>
    </row>
    <row r="742296" spans="12:13" x14ac:dyDescent="0.25">
      <c r="L742296" s="472"/>
      <c r="M742296" s="472"/>
    </row>
    <row r="742297" spans="12:13" x14ac:dyDescent="0.25">
      <c r="L742297" s="472"/>
      <c r="M742297" s="472"/>
    </row>
    <row r="742369" spans="12:13" x14ac:dyDescent="0.25">
      <c r="L742369" s="472"/>
      <c r="M742369" s="472"/>
    </row>
    <row r="742370" spans="12:13" x14ac:dyDescent="0.25">
      <c r="L742370" s="472"/>
      <c r="M742370" s="472"/>
    </row>
    <row r="742371" spans="12:13" x14ac:dyDescent="0.25">
      <c r="L742371" s="472"/>
      <c r="M742371" s="472"/>
    </row>
    <row r="742443" spans="12:13" x14ac:dyDescent="0.25">
      <c r="L742443" s="472"/>
      <c r="M742443" s="472"/>
    </row>
    <row r="742444" spans="12:13" x14ac:dyDescent="0.25">
      <c r="L742444" s="472"/>
      <c r="M742444" s="472"/>
    </row>
    <row r="742445" spans="12:13" x14ac:dyDescent="0.25">
      <c r="L742445" s="472"/>
      <c r="M742445" s="472"/>
    </row>
    <row r="742517" spans="12:13" x14ac:dyDescent="0.25">
      <c r="L742517" s="472"/>
      <c r="M742517" s="472"/>
    </row>
    <row r="742518" spans="12:13" x14ac:dyDescent="0.25">
      <c r="L742518" s="472"/>
      <c r="M742518" s="472"/>
    </row>
    <row r="742519" spans="12:13" x14ac:dyDescent="0.25">
      <c r="L742519" s="472"/>
      <c r="M742519" s="472"/>
    </row>
    <row r="742591" spans="12:13" x14ac:dyDescent="0.25">
      <c r="L742591" s="472"/>
      <c r="M742591" s="472"/>
    </row>
    <row r="742592" spans="12:13" x14ac:dyDescent="0.25">
      <c r="L742592" s="472"/>
      <c r="M742592" s="472"/>
    </row>
    <row r="742593" spans="12:13" x14ac:dyDescent="0.25">
      <c r="L742593" s="472"/>
      <c r="M742593" s="472"/>
    </row>
    <row r="742665" spans="12:13" x14ac:dyDescent="0.25">
      <c r="L742665" s="472"/>
      <c r="M742665" s="472"/>
    </row>
    <row r="742666" spans="12:13" x14ac:dyDescent="0.25">
      <c r="L742666" s="472"/>
      <c r="M742666" s="472"/>
    </row>
    <row r="742667" spans="12:13" x14ac:dyDescent="0.25">
      <c r="L742667" s="472"/>
      <c r="M742667" s="472"/>
    </row>
    <row r="742739" spans="12:13" x14ac:dyDescent="0.25">
      <c r="L742739" s="472"/>
      <c r="M742739" s="472"/>
    </row>
    <row r="742740" spans="12:13" x14ac:dyDescent="0.25">
      <c r="L742740" s="472"/>
      <c r="M742740" s="472"/>
    </row>
    <row r="742741" spans="12:13" x14ac:dyDescent="0.25">
      <c r="L742741" s="472"/>
      <c r="M742741" s="472"/>
    </row>
    <row r="742813" spans="12:13" x14ac:dyDescent="0.25">
      <c r="L742813" s="472"/>
      <c r="M742813" s="472"/>
    </row>
    <row r="742814" spans="12:13" x14ac:dyDescent="0.25">
      <c r="L742814" s="472"/>
      <c r="M742814" s="472"/>
    </row>
    <row r="742815" spans="12:13" x14ac:dyDescent="0.25">
      <c r="L742815" s="472"/>
      <c r="M742815" s="472"/>
    </row>
    <row r="742887" spans="12:13" x14ac:dyDescent="0.25">
      <c r="L742887" s="472"/>
      <c r="M742887" s="472"/>
    </row>
    <row r="742888" spans="12:13" x14ac:dyDescent="0.25">
      <c r="L742888" s="472"/>
      <c r="M742888" s="472"/>
    </row>
    <row r="742889" spans="12:13" x14ac:dyDescent="0.25">
      <c r="L742889" s="472"/>
      <c r="M742889" s="472"/>
    </row>
    <row r="742961" spans="12:13" x14ac:dyDescent="0.25">
      <c r="L742961" s="472"/>
      <c r="M742961" s="472"/>
    </row>
    <row r="742962" spans="12:13" x14ac:dyDescent="0.25">
      <c r="L742962" s="472"/>
      <c r="M742962" s="472"/>
    </row>
    <row r="742963" spans="12:13" x14ac:dyDescent="0.25">
      <c r="L742963" s="472"/>
      <c r="M742963" s="472"/>
    </row>
    <row r="743035" spans="12:13" x14ac:dyDescent="0.25">
      <c r="L743035" s="472"/>
      <c r="M743035" s="472"/>
    </row>
    <row r="743036" spans="12:13" x14ac:dyDescent="0.25">
      <c r="L743036" s="472"/>
      <c r="M743036" s="472"/>
    </row>
    <row r="743037" spans="12:13" x14ac:dyDescent="0.25">
      <c r="L743037" s="472"/>
      <c r="M743037" s="472"/>
    </row>
    <row r="743109" spans="12:13" x14ac:dyDescent="0.25">
      <c r="L743109" s="472"/>
      <c r="M743109" s="472"/>
    </row>
    <row r="743110" spans="12:13" x14ac:dyDescent="0.25">
      <c r="L743110" s="472"/>
      <c r="M743110" s="472"/>
    </row>
    <row r="743111" spans="12:13" x14ac:dyDescent="0.25">
      <c r="L743111" s="472"/>
      <c r="M743111" s="472"/>
    </row>
    <row r="743183" spans="12:13" x14ac:dyDescent="0.25">
      <c r="L743183" s="472"/>
      <c r="M743183" s="472"/>
    </row>
    <row r="743184" spans="12:13" x14ac:dyDescent="0.25">
      <c r="L743184" s="472"/>
      <c r="M743184" s="472"/>
    </row>
    <row r="743185" spans="12:13" x14ac:dyDescent="0.25">
      <c r="L743185" s="472"/>
      <c r="M743185" s="472"/>
    </row>
    <row r="743257" spans="12:13" x14ac:dyDescent="0.25">
      <c r="L743257" s="472"/>
      <c r="M743257" s="472"/>
    </row>
    <row r="743258" spans="12:13" x14ac:dyDescent="0.25">
      <c r="L743258" s="472"/>
      <c r="M743258" s="472"/>
    </row>
    <row r="743259" spans="12:13" x14ac:dyDescent="0.25">
      <c r="L743259" s="472"/>
      <c r="M743259" s="472"/>
    </row>
    <row r="743331" spans="12:13" x14ac:dyDescent="0.25">
      <c r="L743331" s="472"/>
      <c r="M743331" s="472"/>
    </row>
    <row r="743332" spans="12:13" x14ac:dyDescent="0.25">
      <c r="L743332" s="472"/>
      <c r="M743332" s="472"/>
    </row>
    <row r="743333" spans="12:13" x14ac:dyDescent="0.25">
      <c r="L743333" s="472"/>
      <c r="M743333" s="472"/>
    </row>
    <row r="743405" spans="12:13" x14ac:dyDescent="0.25">
      <c r="L743405" s="472"/>
      <c r="M743405" s="472"/>
    </row>
    <row r="743406" spans="12:13" x14ac:dyDescent="0.25">
      <c r="L743406" s="472"/>
      <c r="M743406" s="472"/>
    </row>
    <row r="743407" spans="12:13" x14ac:dyDescent="0.25">
      <c r="L743407" s="472"/>
      <c r="M743407" s="472"/>
    </row>
    <row r="743479" spans="12:13" x14ac:dyDescent="0.25">
      <c r="L743479" s="472"/>
      <c r="M743479" s="472"/>
    </row>
    <row r="743480" spans="12:13" x14ac:dyDescent="0.25">
      <c r="L743480" s="472"/>
      <c r="M743480" s="472"/>
    </row>
    <row r="743481" spans="12:13" x14ac:dyDescent="0.25">
      <c r="L743481" s="472"/>
      <c r="M743481" s="472"/>
    </row>
    <row r="743553" spans="12:13" x14ac:dyDescent="0.25">
      <c r="L743553" s="472"/>
      <c r="M743553" s="472"/>
    </row>
    <row r="743554" spans="12:13" x14ac:dyDescent="0.25">
      <c r="L743554" s="472"/>
      <c r="M743554" s="472"/>
    </row>
    <row r="743555" spans="12:13" x14ac:dyDescent="0.25">
      <c r="L743555" s="472"/>
      <c r="M743555" s="472"/>
    </row>
    <row r="743627" spans="12:13" x14ac:dyDescent="0.25">
      <c r="L743627" s="472"/>
      <c r="M743627" s="472"/>
    </row>
    <row r="743628" spans="12:13" x14ac:dyDescent="0.25">
      <c r="L743628" s="472"/>
      <c r="M743628" s="472"/>
    </row>
    <row r="743629" spans="12:13" x14ac:dyDescent="0.25">
      <c r="L743629" s="472"/>
      <c r="M743629" s="472"/>
    </row>
    <row r="743701" spans="12:13" x14ac:dyDescent="0.25">
      <c r="L743701" s="472"/>
      <c r="M743701" s="472"/>
    </row>
    <row r="743702" spans="12:13" x14ac:dyDescent="0.25">
      <c r="L743702" s="472"/>
      <c r="M743702" s="472"/>
    </row>
    <row r="743703" spans="12:13" x14ac:dyDescent="0.25">
      <c r="L743703" s="472"/>
      <c r="M743703" s="472"/>
    </row>
    <row r="743775" spans="12:13" x14ac:dyDescent="0.25">
      <c r="L743775" s="472"/>
      <c r="M743775" s="472"/>
    </row>
    <row r="743776" spans="12:13" x14ac:dyDescent="0.25">
      <c r="L743776" s="472"/>
      <c r="M743776" s="472"/>
    </row>
    <row r="743777" spans="12:13" x14ac:dyDescent="0.25">
      <c r="L743777" s="472"/>
      <c r="M743777" s="472"/>
    </row>
    <row r="743849" spans="12:13" x14ac:dyDescent="0.25">
      <c r="L743849" s="472"/>
      <c r="M743849" s="472"/>
    </row>
    <row r="743850" spans="12:13" x14ac:dyDescent="0.25">
      <c r="L743850" s="472"/>
      <c r="M743850" s="472"/>
    </row>
    <row r="743851" spans="12:13" x14ac:dyDescent="0.25">
      <c r="L743851" s="472"/>
      <c r="M743851" s="472"/>
    </row>
    <row r="743923" spans="12:13" x14ac:dyDescent="0.25">
      <c r="L743923" s="472"/>
      <c r="M743923" s="472"/>
    </row>
    <row r="743924" spans="12:13" x14ac:dyDescent="0.25">
      <c r="L743924" s="472"/>
      <c r="M743924" s="472"/>
    </row>
    <row r="743925" spans="12:13" x14ac:dyDescent="0.25">
      <c r="L743925" s="472"/>
      <c r="M743925" s="472"/>
    </row>
    <row r="743997" spans="12:13" x14ac:dyDescent="0.25">
      <c r="L743997" s="472"/>
      <c r="M743997" s="472"/>
    </row>
    <row r="743998" spans="12:13" x14ac:dyDescent="0.25">
      <c r="L743998" s="472"/>
      <c r="M743998" s="472"/>
    </row>
    <row r="743999" spans="12:13" x14ac:dyDescent="0.25">
      <c r="L743999" s="472"/>
      <c r="M743999" s="472"/>
    </row>
    <row r="744071" spans="12:13" x14ac:dyDescent="0.25">
      <c r="L744071" s="472"/>
      <c r="M744071" s="472"/>
    </row>
    <row r="744072" spans="12:13" x14ac:dyDescent="0.25">
      <c r="L744072" s="472"/>
      <c r="M744072" s="472"/>
    </row>
    <row r="744073" spans="12:13" x14ac:dyDescent="0.25">
      <c r="L744073" s="472"/>
      <c r="M744073" s="472"/>
    </row>
    <row r="744145" spans="12:13" x14ac:dyDescent="0.25">
      <c r="L744145" s="472"/>
      <c r="M744145" s="472"/>
    </row>
    <row r="744146" spans="12:13" x14ac:dyDescent="0.25">
      <c r="L744146" s="472"/>
      <c r="M744146" s="472"/>
    </row>
    <row r="744147" spans="12:13" x14ac:dyDescent="0.25">
      <c r="L744147" s="472"/>
      <c r="M744147" s="472"/>
    </row>
    <row r="744219" spans="12:13" x14ac:dyDescent="0.25">
      <c r="L744219" s="472"/>
      <c r="M744219" s="472"/>
    </row>
    <row r="744220" spans="12:13" x14ac:dyDescent="0.25">
      <c r="L744220" s="472"/>
      <c r="M744220" s="472"/>
    </row>
    <row r="744221" spans="12:13" x14ac:dyDescent="0.25">
      <c r="L744221" s="472"/>
      <c r="M744221" s="472"/>
    </row>
    <row r="744293" spans="12:13" x14ac:dyDescent="0.25">
      <c r="L744293" s="472"/>
      <c r="M744293" s="472"/>
    </row>
    <row r="744294" spans="12:13" x14ac:dyDescent="0.25">
      <c r="L744294" s="472"/>
      <c r="M744294" s="472"/>
    </row>
    <row r="744295" spans="12:13" x14ac:dyDescent="0.25">
      <c r="L744295" s="472"/>
      <c r="M744295" s="472"/>
    </row>
    <row r="744367" spans="12:13" x14ac:dyDescent="0.25">
      <c r="L744367" s="472"/>
      <c r="M744367" s="472"/>
    </row>
    <row r="744368" spans="12:13" x14ac:dyDescent="0.25">
      <c r="L744368" s="472"/>
      <c r="M744368" s="472"/>
    </row>
    <row r="744369" spans="12:13" x14ac:dyDescent="0.25">
      <c r="L744369" s="472"/>
      <c r="M744369" s="472"/>
    </row>
    <row r="744441" spans="12:13" x14ac:dyDescent="0.25">
      <c r="L744441" s="472"/>
      <c r="M744441" s="472"/>
    </row>
    <row r="744442" spans="12:13" x14ac:dyDescent="0.25">
      <c r="L744442" s="472"/>
      <c r="M744442" s="472"/>
    </row>
    <row r="744443" spans="12:13" x14ac:dyDescent="0.25">
      <c r="L744443" s="472"/>
      <c r="M744443" s="472"/>
    </row>
    <row r="744515" spans="12:13" x14ac:dyDescent="0.25">
      <c r="L744515" s="472"/>
      <c r="M744515" s="472"/>
    </row>
    <row r="744516" spans="12:13" x14ac:dyDescent="0.25">
      <c r="L744516" s="472"/>
      <c r="M744516" s="472"/>
    </row>
    <row r="744517" spans="12:13" x14ac:dyDescent="0.25">
      <c r="L744517" s="472"/>
      <c r="M744517" s="472"/>
    </row>
    <row r="744589" spans="12:13" x14ac:dyDescent="0.25">
      <c r="L744589" s="472"/>
      <c r="M744589" s="472"/>
    </row>
    <row r="744590" spans="12:13" x14ac:dyDescent="0.25">
      <c r="L744590" s="472"/>
      <c r="M744590" s="472"/>
    </row>
    <row r="744591" spans="12:13" x14ac:dyDescent="0.25">
      <c r="L744591" s="472"/>
      <c r="M744591" s="472"/>
    </row>
    <row r="744663" spans="12:13" x14ac:dyDescent="0.25">
      <c r="L744663" s="472"/>
      <c r="M744663" s="472"/>
    </row>
    <row r="744664" spans="12:13" x14ac:dyDescent="0.25">
      <c r="L744664" s="472"/>
      <c r="M744664" s="472"/>
    </row>
    <row r="744665" spans="12:13" x14ac:dyDescent="0.25">
      <c r="L744665" s="472"/>
      <c r="M744665" s="472"/>
    </row>
    <row r="744737" spans="12:13" x14ac:dyDescent="0.25">
      <c r="L744737" s="472"/>
      <c r="M744737" s="472"/>
    </row>
    <row r="744738" spans="12:13" x14ac:dyDescent="0.25">
      <c r="L744738" s="472"/>
      <c r="M744738" s="472"/>
    </row>
    <row r="744739" spans="12:13" x14ac:dyDescent="0.25">
      <c r="L744739" s="472"/>
      <c r="M744739" s="472"/>
    </row>
    <row r="744811" spans="12:13" x14ac:dyDescent="0.25">
      <c r="L744811" s="472"/>
      <c r="M744811" s="472"/>
    </row>
    <row r="744812" spans="12:13" x14ac:dyDescent="0.25">
      <c r="L744812" s="472"/>
      <c r="M744812" s="472"/>
    </row>
    <row r="744813" spans="12:13" x14ac:dyDescent="0.25">
      <c r="L744813" s="472"/>
      <c r="M744813" s="472"/>
    </row>
    <row r="744885" spans="12:13" x14ac:dyDescent="0.25">
      <c r="L744885" s="472"/>
      <c r="M744885" s="472"/>
    </row>
    <row r="744886" spans="12:13" x14ac:dyDescent="0.25">
      <c r="L744886" s="472"/>
      <c r="M744886" s="472"/>
    </row>
    <row r="744887" spans="12:13" x14ac:dyDescent="0.25">
      <c r="L744887" s="472"/>
      <c r="M744887" s="472"/>
    </row>
    <row r="744959" spans="12:13" x14ac:dyDescent="0.25">
      <c r="L744959" s="472"/>
      <c r="M744959" s="472"/>
    </row>
    <row r="744960" spans="12:13" x14ac:dyDescent="0.25">
      <c r="L744960" s="472"/>
      <c r="M744960" s="472"/>
    </row>
    <row r="744961" spans="12:13" x14ac:dyDescent="0.25">
      <c r="L744961" s="472"/>
      <c r="M744961" s="472"/>
    </row>
    <row r="745033" spans="12:13" x14ac:dyDescent="0.25">
      <c r="L745033" s="472"/>
      <c r="M745033" s="472"/>
    </row>
    <row r="745034" spans="12:13" x14ac:dyDescent="0.25">
      <c r="L745034" s="472"/>
      <c r="M745034" s="472"/>
    </row>
    <row r="745035" spans="12:13" x14ac:dyDescent="0.25">
      <c r="L745035" s="472"/>
      <c r="M745035" s="472"/>
    </row>
    <row r="745107" spans="12:13" x14ac:dyDescent="0.25">
      <c r="L745107" s="472"/>
      <c r="M745107" s="472"/>
    </row>
    <row r="745108" spans="12:13" x14ac:dyDescent="0.25">
      <c r="L745108" s="472"/>
      <c r="M745108" s="472"/>
    </row>
    <row r="745109" spans="12:13" x14ac:dyDescent="0.25">
      <c r="L745109" s="472"/>
      <c r="M745109" s="472"/>
    </row>
    <row r="745181" spans="12:13" x14ac:dyDescent="0.25">
      <c r="L745181" s="472"/>
      <c r="M745181" s="472"/>
    </row>
    <row r="745182" spans="12:13" x14ac:dyDescent="0.25">
      <c r="L745182" s="472"/>
      <c r="M745182" s="472"/>
    </row>
    <row r="745183" spans="12:13" x14ac:dyDescent="0.25">
      <c r="L745183" s="472"/>
      <c r="M745183" s="472"/>
    </row>
    <row r="745255" spans="12:13" x14ac:dyDescent="0.25">
      <c r="L745255" s="472"/>
      <c r="M745255" s="472"/>
    </row>
    <row r="745256" spans="12:13" x14ac:dyDescent="0.25">
      <c r="L745256" s="472"/>
      <c r="M745256" s="472"/>
    </row>
    <row r="745257" spans="12:13" x14ac:dyDescent="0.25">
      <c r="L745257" s="472"/>
      <c r="M745257" s="472"/>
    </row>
    <row r="745329" spans="12:13" x14ac:dyDescent="0.25">
      <c r="L745329" s="472"/>
      <c r="M745329" s="472"/>
    </row>
    <row r="745330" spans="12:13" x14ac:dyDescent="0.25">
      <c r="L745330" s="472"/>
      <c r="M745330" s="472"/>
    </row>
    <row r="745331" spans="12:13" x14ac:dyDescent="0.25">
      <c r="L745331" s="472"/>
      <c r="M745331" s="472"/>
    </row>
    <row r="745403" spans="12:13" x14ac:dyDescent="0.25">
      <c r="L745403" s="472"/>
      <c r="M745403" s="472"/>
    </row>
    <row r="745404" spans="12:13" x14ac:dyDescent="0.25">
      <c r="L745404" s="472"/>
      <c r="M745404" s="472"/>
    </row>
    <row r="745405" spans="12:13" x14ac:dyDescent="0.25">
      <c r="L745405" s="472"/>
      <c r="M745405" s="472"/>
    </row>
    <row r="745477" spans="12:13" x14ac:dyDescent="0.25">
      <c r="L745477" s="472"/>
      <c r="M745477" s="472"/>
    </row>
    <row r="745478" spans="12:13" x14ac:dyDescent="0.25">
      <c r="L745478" s="472"/>
      <c r="M745478" s="472"/>
    </row>
    <row r="745479" spans="12:13" x14ac:dyDescent="0.25">
      <c r="L745479" s="472"/>
      <c r="M745479" s="472"/>
    </row>
    <row r="745551" spans="12:13" x14ac:dyDescent="0.25">
      <c r="L745551" s="472"/>
      <c r="M745551" s="472"/>
    </row>
    <row r="745552" spans="12:13" x14ac:dyDescent="0.25">
      <c r="L745552" s="472"/>
      <c r="M745552" s="472"/>
    </row>
    <row r="745553" spans="12:13" x14ac:dyDescent="0.25">
      <c r="L745553" s="472"/>
      <c r="M745553" s="472"/>
    </row>
    <row r="745625" spans="12:13" x14ac:dyDescent="0.25">
      <c r="L745625" s="472"/>
      <c r="M745625" s="472"/>
    </row>
    <row r="745626" spans="12:13" x14ac:dyDescent="0.25">
      <c r="L745626" s="472"/>
      <c r="M745626" s="472"/>
    </row>
    <row r="745627" spans="12:13" x14ac:dyDescent="0.25">
      <c r="L745627" s="472"/>
      <c r="M745627" s="472"/>
    </row>
    <row r="745699" spans="12:13" x14ac:dyDescent="0.25">
      <c r="L745699" s="472"/>
      <c r="M745699" s="472"/>
    </row>
    <row r="745700" spans="12:13" x14ac:dyDescent="0.25">
      <c r="L745700" s="472"/>
      <c r="M745700" s="472"/>
    </row>
    <row r="745701" spans="12:13" x14ac:dyDescent="0.25">
      <c r="L745701" s="472"/>
      <c r="M745701" s="472"/>
    </row>
    <row r="745773" spans="12:13" x14ac:dyDescent="0.25">
      <c r="L745773" s="472"/>
      <c r="M745773" s="472"/>
    </row>
    <row r="745774" spans="12:13" x14ac:dyDescent="0.25">
      <c r="L745774" s="472"/>
      <c r="M745774" s="472"/>
    </row>
    <row r="745775" spans="12:13" x14ac:dyDescent="0.25">
      <c r="L745775" s="472"/>
      <c r="M745775" s="472"/>
    </row>
    <row r="745847" spans="12:13" x14ac:dyDescent="0.25">
      <c r="L745847" s="472"/>
      <c r="M745847" s="472"/>
    </row>
    <row r="745848" spans="12:13" x14ac:dyDescent="0.25">
      <c r="L745848" s="472"/>
      <c r="M745848" s="472"/>
    </row>
    <row r="745849" spans="12:13" x14ac:dyDescent="0.25">
      <c r="L745849" s="472"/>
      <c r="M745849" s="472"/>
    </row>
    <row r="745921" spans="12:13" x14ac:dyDescent="0.25">
      <c r="L745921" s="472"/>
      <c r="M745921" s="472"/>
    </row>
    <row r="745922" spans="12:13" x14ac:dyDescent="0.25">
      <c r="L745922" s="472"/>
      <c r="M745922" s="472"/>
    </row>
    <row r="745923" spans="12:13" x14ac:dyDescent="0.25">
      <c r="L745923" s="472"/>
      <c r="M745923" s="472"/>
    </row>
    <row r="745995" spans="12:13" x14ac:dyDescent="0.25">
      <c r="L745995" s="472"/>
      <c r="M745995" s="472"/>
    </row>
    <row r="745996" spans="12:13" x14ac:dyDescent="0.25">
      <c r="L745996" s="472"/>
      <c r="M745996" s="472"/>
    </row>
    <row r="745997" spans="12:13" x14ac:dyDescent="0.25">
      <c r="L745997" s="472"/>
      <c r="M745997" s="472"/>
    </row>
    <row r="746069" spans="12:13" x14ac:dyDescent="0.25">
      <c r="L746069" s="472"/>
      <c r="M746069" s="472"/>
    </row>
    <row r="746070" spans="12:13" x14ac:dyDescent="0.25">
      <c r="L746070" s="472"/>
      <c r="M746070" s="472"/>
    </row>
    <row r="746071" spans="12:13" x14ac:dyDescent="0.25">
      <c r="L746071" s="472"/>
      <c r="M746071" s="472"/>
    </row>
    <row r="746143" spans="12:13" x14ac:dyDescent="0.25">
      <c r="L746143" s="472"/>
      <c r="M746143" s="472"/>
    </row>
    <row r="746144" spans="12:13" x14ac:dyDescent="0.25">
      <c r="L746144" s="472"/>
      <c r="M746144" s="472"/>
    </row>
    <row r="746145" spans="12:13" x14ac:dyDescent="0.25">
      <c r="L746145" s="472"/>
      <c r="M746145" s="472"/>
    </row>
    <row r="746217" spans="12:13" x14ac:dyDescent="0.25">
      <c r="L746217" s="472"/>
      <c r="M746217" s="472"/>
    </row>
    <row r="746218" spans="12:13" x14ac:dyDescent="0.25">
      <c r="L746218" s="472"/>
      <c r="M746218" s="472"/>
    </row>
    <row r="746219" spans="12:13" x14ac:dyDescent="0.25">
      <c r="L746219" s="472"/>
      <c r="M746219" s="472"/>
    </row>
    <row r="746291" spans="12:13" x14ac:dyDescent="0.25">
      <c r="L746291" s="472"/>
      <c r="M746291" s="472"/>
    </row>
    <row r="746292" spans="12:13" x14ac:dyDescent="0.25">
      <c r="L746292" s="472"/>
      <c r="M746292" s="472"/>
    </row>
    <row r="746293" spans="12:13" x14ac:dyDescent="0.25">
      <c r="L746293" s="472"/>
      <c r="M746293" s="472"/>
    </row>
    <row r="746365" spans="12:13" x14ac:dyDescent="0.25">
      <c r="L746365" s="472"/>
      <c r="M746365" s="472"/>
    </row>
    <row r="746366" spans="12:13" x14ac:dyDescent="0.25">
      <c r="L746366" s="472"/>
      <c r="M746366" s="472"/>
    </row>
    <row r="746367" spans="12:13" x14ac:dyDescent="0.25">
      <c r="L746367" s="472"/>
      <c r="M746367" s="472"/>
    </row>
    <row r="746439" spans="12:13" x14ac:dyDescent="0.25">
      <c r="L746439" s="472"/>
      <c r="M746439" s="472"/>
    </row>
    <row r="746440" spans="12:13" x14ac:dyDescent="0.25">
      <c r="L746440" s="472"/>
      <c r="M746440" s="472"/>
    </row>
    <row r="746441" spans="12:13" x14ac:dyDescent="0.25">
      <c r="L746441" s="472"/>
      <c r="M746441" s="472"/>
    </row>
    <row r="746513" spans="12:13" x14ac:dyDescent="0.25">
      <c r="L746513" s="472"/>
      <c r="M746513" s="472"/>
    </row>
    <row r="746514" spans="12:13" x14ac:dyDescent="0.25">
      <c r="L746514" s="472"/>
      <c r="M746514" s="472"/>
    </row>
    <row r="746515" spans="12:13" x14ac:dyDescent="0.25">
      <c r="L746515" s="472"/>
      <c r="M746515" s="472"/>
    </row>
    <row r="746587" spans="12:13" x14ac:dyDescent="0.25">
      <c r="L746587" s="472"/>
      <c r="M746587" s="472"/>
    </row>
    <row r="746588" spans="12:13" x14ac:dyDescent="0.25">
      <c r="L746588" s="472"/>
      <c r="M746588" s="472"/>
    </row>
    <row r="746589" spans="12:13" x14ac:dyDescent="0.25">
      <c r="L746589" s="472"/>
      <c r="M746589" s="472"/>
    </row>
    <row r="746661" spans="12:13" x14ac:dyDescent="0.25">
      <c r="L746661" s="472"/>
      <c r="M746661" s="472"/>
    </row>
    <row r="746662" spans="12:13" x14ac:dyDescent="0.25">
      <c r="L746662" s="472"/>
      <c r="M746662" s="472"/>
    </row>
    <row r="746663" spans="12:13" x14ac:dyDescent="0.25">
      <c r="L746663" s="472"/>
      <c r="M746663" s="472"/>
    </row>
    <row r="746735" spans="12:13" x14ac:dyDescent="0.25">
      <c r="L746735" s="472"/>
      <c r="M746735" s="472"/>
    </row>
    <row r="746736" spans="12:13" x14ac:dyDescent="0.25">
      <c r="L746736" s="472"/>
      <c r="M746736" s="472"/>
    </row>
    <row r="746737" spans="12:13" x14ac:dyDescent="0.25">
      <c r="L746737" s="472"/>
      <c r="M746737" s="472"/>
    </row>
    <row r="746809" spans="12:13" x14ac:dyDescent="0.25">
      <c r="L746809" s="472"/>
      <c r="M746809" s="472"/>
    </row>
    <row r="746810" spans="12:13" x14ac:dyDescent="0.25">
      <c r="L746810" s="472"/>
      <c r="M746810" s="472"/>
    </row>
    <row r="746811" spans="12:13" x14ac:dyDescent="0.25">
      <c r="L746811" s="472"/>
      <c r="M746811" s="472"/>
    </row>
    <row r="746883" spans="12:13" x14ac:dyDescent="0.25">
      <c r="L746883" s="472"/>
      <c r="M746883" s="472"/>
    </row>
    <row r="746884" spans="12:13" x14ac:dyDescent="0.25">
      <c r="L746884" s="472"/>
      <c r="M746884" s="472"/>
    </row>
    <row r="746885" spans="12:13" x14ac:dyDescent="0.25">
      <c r="L746885" s="472"/>
      <c r="M746885" s="472"/>
    </row>
    <row r="746957" spans="12:13" x14ac:dyDescent="0.25">
      <c r="L746957" s="472"/>
      <c r="M746957" s="472"/>
    </row>
    <row r="746958" spans="12:13" x14ac:dyDescent="0.25">
      <c r="L746958" s="472"/>
      <c r="M746958" s="472"/>
    </row>
    <row r="746959" spans="12:13" x14ac:dyDescent="0.25">
      <c r="L746959" s="472"/>
      <c r="M746959" s="472"/>
    </row>
    <row r="747031" spans="12:13" x14ac:dyDescent="0.25">
      <c r="L747031" s="472"/>
      <c r="M747031" s="472"/>
    </row>
    <row r="747032" spans="12:13" x14ac:dyDescent="0.25">
      <c r="L747032" s="472"/>
      <c r="M747032" s="472"/>
    </row>
    <row r="747033" spans="12:13" x14ac:dyDescent="0.25">
      <c r="L747033" s="472"/>
      <c r="M747033" s="472"/>
    </row>
    <row r="747105" spans="12:13" x14ac:dyDescent="0.25">
      <c r="L747105" s="472"/>
      <c r="M747105" s="472"/>
    </row>
    <row r="747106" spans="12:13" x14ac:dyDescent="0.25">
      <c r="L747106" s="472"/>
      <c r="M747106" s="472"/>
    </row>
    <row r="747107" spans="12:13" x14ac:dyDescent="0.25">
      <c r="L747107" s="472"/>
      <c r="M747107" s="472"/>
    </row>
    <row r="747179" spans="12:13" x14ac:dyDescent="0.25">
      <c r="L747179" s="472"/>
      <c r="M747179" s="472"/>
    </row>
    <row r="747180" spans="12:13" x14ac:dyDescent="0.25">
      <c r="L747180" s="472"/>
      <c r="M747180" s="472"/>
    </row>
    <row r="747181" spans="12:13" x14ac:dyDescent="0.25">
      <c r="L747181" s="472"/>
      <c r="M747181" s="472"/>
    </row>
    <row r="747253" spans="12:13" x14ac:dyDescent="0.25">
      <c r="L747253" s="472"/>
      <c r="M747253" s="472"/>
    </row>
    <row r="747254" spans="12:13" x14ac:dyDescent="0.25">
      <c r="L747254" s="472"/>
      <c r="M747254" s="472"/>
    </row>
    <row r="747255" spans="12:13" x14ac:dyDescent="0.25">
      <c r="L747255" s="472"/>
      <c r="M747255" s="472"/>
    </row>
    <row r="747327" spans="12:13" x14ac:dyDescent="0.25">
      <c r="L747327" s="472"/>
      <c r="M747327" s="472"/>
    </row>
    <row r="747328" spans="12:13" x14ac:dyDescent="0.25">
      <c r="L747328" s="472"/>
      <c r="M747328" s="472"/>
    </row>
    <row r="747329" spans="12:13" x14ac:dyDescent="0.25">
      <c r="L747329" s="472"/>
      <c r="M747329" s="472"/>
    </row>
    <row r="747401" spans="12:13" x14ac:dyDescent="0.25">
      <c r="L747401" s="472"/>
      <c r="M747401" s="472"/>
    </row>
    <row r="747402" spans="12:13" x14ac:dyDescent="0.25">
      <c r="L747402" s="472"/>
      <c r="M747402" s="472"/>
    </row>
    <row r="747403" spans="12:13" x14ac:dyDescent="0.25">
      <c r="L747403" s="472"/>
      <c r="M747403" s="472"/>
    </row>
    <row r="747475" spans="12:13" x14ac:dyDescent="0.25">
      <c r="L747475" s="472"/>
      <c r="M747475" s="472"/>
    </row>
    <row r="747476" spans="12:13" x14ac:dyDescent="0.25">
      <c r="L747476" s="472"/>
      <c r="M747476" s="472"/>
    </row>
    <row r="747477" spans="12:13" x14ac:dyDescent="0.25">
      <c r="L747477" s="472"/>
      <c r="M747477" s="472"/>
    </row>
    <row r="747549" spans="12:13" x14ac:dyDescent="0.25">
      <c r="L747549" s="472"/>
      <c r="M747549" s="472"/>
    </row>
    <row r="747550" spans="12:13" x14ac:dyDescent="0.25">
      <c r="L747550" s="472"/>
      <c r="M747550" s="472"/>
    </row>
    <row r="747551" spans="12:13" x14ac:dyDescent="0.25">
      <c r="L747551" s="472"/>
      <c r="M747551" s="472"/>
    </row>
    <row r="747623" spans="12:13" x14ac:dyDescent="0.25">
      <c r="L747623" s="472"/>
      <c r="M747623" s="472"/>
    </row>
    <row r="747624" spans="12:13" x14ac:dyDescent="0.25">
      <c r="L747624" s="472"/>
      <c r="M747624" s="472"/>
    </row>
    <row r="747625" spans="12:13" x14ac:dyDescent="0.25">
      <c r="L747625" s="472"/>
      <c r="M747625" s="472"/>
    </row>
    <row r="747697" spans="12:13" x14ac:dyDescent="0.25">
      <c r="L747697" s="472"/>
      <c r="M747697" s="472"/>
    </row>
    <row r="747698" spans="12:13" x14ac:dyDescent="0.25">
      <c r="L747698" s="472"/>
      <c r="M747698" s="472"/>
    </row>
    <row r="747699" spans="12:13" x14ac:dyDescent="0.25">
      <c r="L747699" s="472"/>
      <c r="M747699" s="472"/>
    </row>
    <row r="747771" spans="12:13" x14ac:dyDescent="0.25">
      <c r="L747771" s="472"/>
      <c r="M747771" s="472"/>
    </row>
    <row r="747772" spans="12:13" x14ac:dyDescent="0.25">
      <c r="L747772" s="472"/>
      <c r="M747772" s="472"/>
    </row>
    <row r="747773" spans="12:13" x14ac:dyDescent="0.25">
      <c r="L747773" s="472"/>
      <c r="M747773" s="472"/>
    </row>
    <row r="747845" spans="12:13" x14ac:dyDescent="0.25">
      <c r="L747845" s="472"/>
      <c r="M747845" s="472"/>
    </row>
    <row r="747846" spans="12:13" x14ac:dyDescent="0.25">
      <c r="L747846" s="472"/>
      <c r="M747846" s="472"/>
    </row>
    <row r="747847" spans="12:13" x14ac:dyDescent="0.25">
      <c r="L747847" s="472"/>
      <c r="M747847" s="472"/>
    </row>
    <row r="747919" spans="12:13" x14ac:dyDescent="0.25">
      <c r="L747919" s="472"/>
      <c r="M747919" s="472"/>
    </row>
    <row r="747920" spans="12:13" x14ac:dyDescent="0.25">
      <c r="L747920" s="472"/>
      <c r="M747920" s="472"/>
    </row>
    <row r="747921" spans="12:13" x14ac:dyDescent="0.25">
      <c r="L747921" s="472"/>
      <c r="M747921" s="472"/>
    </row>
    <row r="747993" spans="12:13" x14ac:dyDescent="0.25">
      <c r="L747993" s="472"/>
      <c r="M747993" s="472"/>
    </row>
    <row r="747994" spans="12:13" x14ac:dyDescent="0.25">
      <c r="L747994" s="472"/>
      <c r="M747994" s="472"/>
    </row>
    <row r="747995" spans="12:13" x14ac:dyDescent="0.25">
      <c r="L747995" s="472"/>
      <c r="M747995" s="472"/>
    </row>
    <row r="748067" spans="12:13" x14ac:dyDescent="0.25">
      <c r="L748067" s="472"/>
      <c r="M748067" s="472"/>
    </row>
    <row r="748068" spans="12:13" x14ac:dyDescent="0.25">
      <c r="L748068" s="472"/>
      <c r="M748068" s="472"/>
    </row>
    <row r="748069" spans="12:13" x14ac:dyDescent="0.25">
      <c r="L748069" s="472"/>
      <c r="M748069" s="472"/>
    </row>
    <row r="748141" spans="12:13" x14ac:dyDescent="0.25">
      <c r="L748141" s="472"/>
      <c r="M748141" s="472"/>
    </row>
    <row r="748142" spans="12:13" x14ac:dyDescent="0.25">
      <c r="L748142" s="472"/>
      <c r="M748142" s="472"/>
    </row>
    <row r="748143" spans="12:13" x14ac:dyDescent="0.25">
      <c r="L748143" s="472"/>
      <c r="M748143" s="472"/>
    </row>
    <row r="748215" spans="12:13" x14ac:dyDescent="0.25">
      <c r="L748215" s="472"/>
      <c r="M748215" s="472"/>
    </row>
    <row r="748216" spans="12:13" x14ac:dyDescent="0.25">
      <c r="L748216" s="472"/>
      <c r="M748216" s="472"/>
    </row>
    <row r="748217" spans="12:13" x14ac:dyDescent="0.25">
      <c r="L748217" s="472"/>
      <c r="M748217" s="472"/>
    </row>
    <row r="748289" spans="12:13" x14ac:dyDescent="0.25">
      <c r="L748289" s="472"/>
      <c r="M748289" s="472"/>
    </row>
    <row r="748290" spans="12:13" x14ac:dyDescent="0.25">
      <c r="L748290" s="472"/>
      <c r="M748290" s="472"/>
    </row>
    <row r="748291" spans="12:13" x14ac:dyDescent="0.25">
      <c r="L748291" s="472"/>
      <c r="M748291" s="472"/>
    </row>
    <row r="748363" spans="12:13" x14ac:dyDescent="0.25">
      <c r="L748363" s="472"/>
      <c r="M748363" s="472"/>
    </row>
    <row r="748364" spans="12:13" x14ac:dyDescent="0.25">
      <c r="L748364" s="472"/>
      <c r="M748364" s="472"/>
    </row>
    <row r="748365" spans="12:13" x14ac:dyDescent="0.25">
      <c r="L748365" s="472"/>
      <c r="M748365" s="472"/>
    </row>
    <row r="748437" spans="12:13" x14ac:dyDescent="0.25">
      <c r="L748437" s="472"/>
      <c r="M748437" s="472"/>
    </row>
    <row r="748438" spans="12:13" x14ac:dyDescent="0.25">
      <c r="L748438" s="472"/>
      <c r="M748438" s="472"/>
    </row>
    <row r="748439" spans="12:13" x14ac:dyDescent="0.25">
      <c r="L748439" s="472"/>
      <c r="M748439" s="472"/>
    </row>
    <row r="748511" spans="12:13" x14ac:dyDescent="0.25">
      <c r="L748511" s="472"/>
      <c r="M748511" s="472"/>
    </row>
    <row r="748512" spans="12:13" x14ac:dyDescent="0.25">
      <c r="L748512" s="472"/>
      <c r="M748512" s="472"/>
    </row>
    <row r="748513" spans="12:13" x14ac:dyDescent="0.25">
      <c r="L748513" s="472"/>
      <c r="M748513" s="472"/>
    </row>
    <row r="748585" spans="12:13" x14ac:dyDescent="0.25">
      <c r="L748585" s="472"/>
      <c r="M748585" s="472"/>
    </row>
    <row r="748586" spans="12:13" x14ac:dyDescent="0.25">
      <c r="L748586" s="472"/>
      <c r="M748586" s="472"/>
    </row>
    <row r="748587" spans="12:13" x14ac:dyDescent="0.25">
      <c r="L748587" s="472"/>
      <c r="M748587" s="472"/>
    </row>
    <row r="748659" spans="12:13" x14ac:dyDescent="0.25">
      <c r="L748659" s="472"/>
      <c r="M748659" s="472"/>
    </row>
    <row r="748660" spans="12:13" x14ac:dyDescent="0.25">
      <c r="L748660" s="472"/>
      <c r="M748660" s="472"/>
    </row>
    <row r="748661" spans="12:13" x14ac:dyDescent="0.25">
      <c r="L748661" s="472"/>
      <c r="M748661" s="472"/>
    </row>
    <row r="748733" spans="12:13" x14ac:dyDescent="0.25">
      <c r="L748733" s="472"/>
      <c r="M748733" s="472"/>
    </row>
    <row r="748734" spans="12:13" x14ac:dyDescent="0.25">
      <c r="L748734" s="472"/>
      <c r="M748734" s="472"/>
    </row>
    <row r="748735" spans="12:13" x14ac:dyDescent="0.25">
      <c r="L748735" s="472"/>
      <c r="M748735" s="472"/>
    </row>
    <row r="748807" spans="12:13" x14ac:dyDescent="0.25">
      <c r="L748807" s="472"/>
      <c r="M748807" s="472"/>
    </row>
    <row r="748808" spans="12:13" x14ac:dyDescent="0.25">
      <c r="L748808" s="472"/>
      <c r="M748808" s="472"/>
    </row>
    <row r="748809" spans="12:13" x14ac:dyDescent="0.25">
      <c r="L748809" s="472"/>
      <c r="M748809" s="472"/>
    </row>
    <row r="748881" spans="12:13" x14ac:dyDescent="0.25">
      <c r="L748881" s="472"/>
      <c r="M748881" s="472"/>
    </row>
    <row r="748882" spans="12:13" x14ac:dyDescent="0.25">
      <c r="L748882" s="472"/>
      <c r="M748882" s="472"/>
    </row>
    <row r="748883" spans="12:13" x14ac:dyDescent="0.25">
      <c r="L748883" s="472"/>
      <c r="M748883" s="472"/>
    </row>
    <row r="748955" spans="12:13" x14ac:dyDescent="0.25">
      <c r="L748955" s="472"/>
      <c r="M748955" s="472"/>
    </row>
    <row r="748956" spans="12:13" x14ac:dyDescent="0.25">
      <c r="L748956" s="472"/>
      <c r="M748956" s="472"/>
    </row>
    <row r="748957" spans="12:13" x14ac:dyDescent="0.25">
      <c r="L748957" s="472"/>
      <c r="M748957" s="472"/>
    </row>
    <row r="749029" spans="12:13" x14ac:dyDescent="0.25">
      <c r="L749029" s="472"/>
      <c r="M749029" s="472"/>
    </row>
    <row r="749030" spans="12:13" x14ac:dyDescent="0.25">
      <c r="L749030" s="472"/>
      <c r="M749030" s="472"/>
    </row>
    <row r="749031" spans="12:13" x14ac:dyDescent="0.25">
      <c r="L749031" s="472"/>
      <c r="M749031" s="472"/>
    </row>
    <row r="749103" spans="12:13" x14ac:dyDescent="0.25">
      <c r="L749103" s="472"/>
      <c r="M749103" s="472"/>
    </row>
    <row r="749104" spans="12:13" x14ac:dyDescent="0.25">
      <c r="L749104" s="472"/>
      <c r="M749104" s="472"/>
    </row>
    <row r="749105" spans="12:13" x14ac:dyDescent="0.25">
      <c r="L749105" s="472"/>
      <c r="M749105" s="472"/>
    </row>
    <row r="749177" spans="12:13" x14ac:dyDescent="0.25">
      <c r="L749177" s="472"/>
      <c r="M749177" s="472"/>
    </row>
    <row r="749178" spans="12:13" x14ac:dyDescent="0.25">
      <c r="L749178" s="472"/>
      <c r="M749178" s="472"/>
    </row>
    <row r="749179" spans="12:13" x14ac:dyDescent="0.25">
      <c r="L749179" s="472"/>
      <c r="M749179" s="472"/>
    </row>
    <row r="749251" spans="12:13" x14ac:dyDescent="0.25">
      <c r="L749251" s="472"/>
      <c r="M749251" s="472"/>
    </row>
    <row r="749252" spans="12:13" x14ac:dyDescent="0.25">
      <c r="L749252" s="472"/>
      <c r="M749252" s="472"/>
    </row>
    <row r="749253" spans="12:13" x14ac:dyDescent="0.25">
      <c r="L749253" s="472"/>
      <c r="M749253" s="472"/>
    </row>
    <row r="749325" spans="12:13" x14ac:dyDescent="0.25">
      <c r="L749325" s="472"/>
      <c r="M749325" s="472"/>
    </row>
    <row r="749326" spans="12:13" x14ac:dyDescent="0.25">
      <c r="L749326" s="472"/>
      <c r="M749326" s="472"/>
    </row>
    <row r="749327" spans="12:13" x14ac:dyDescent="0.25">
      <c r="L749327" s="472"/>
      <c r="M749327" s="472"/>
    </row>
    <row r="749399" spans="12:13" x14ac:dyDescent="0.25">
      <c r="L749399" s="472"/>
      <c r="M749399" s="472"/>
    </row>
    <row r="749400" spans="12:13" x14ac:dyDescent="0.25">
      <c r="L749400" s="472"/>
      <c r="M749400" s="472"/>
    </row>
    <row r="749401" spans="12:13" x14ac:dyDescent="0.25">
      <c r="L749401" s="472"/>
      <c r="M749401" s="472"/>
    </row>
    <row r="749473" spans="12:13" x14ac:dyDescent="0.25">
      <c r="L749473" s="472"/>
      <c r="M749473" s="472"/>
    </row>
    <row r="749474" spans="12:13" x14ac:dyDescent="0.25">
      <c r="L749474" s="472"/>
      <c r="M749474" s="472"/>
    </row>
    <row r="749475" spans="12:13" x14ac:dyDescent="0.25">
      <c r="L749475" s="472"/>
      <c r="M749475" s="472"/>
    </row>
    <row r="749547" spans="12:13" x14ac:dyDescent="0.25">
      <c r="L749547" s="472"/>
      <c r="M749547" s="472"/>
    </row>
    <row r="749548" spans="12:13" x14ac:dyDescent="0.25">
      <c r="L749548" s="472"/>
      <c r="M749548" s="472"/>
    </row>
    <row r="749549" spans="12:13" x14ac:dyDescent="0.25">
      <c r="L749549" s="472"/>
      <c r="M749549" s="472"/>
    </row>
    <row r="749621" spans="12:13" x14ac:dyDescent="0.25">
      <c r="L749621" s="472"/>
      <c r="M749621" s="472"/>
    </row>
    <row r="749622" spans="12:13" x14ac:dyDescent="0.25">
      <c r="L749622" s="472"/>
      <c r="M749622" s="472"/>
    </row>
    <row r="749623" spans="12:13" x14ac:dyDescent="0.25">
      <c r="L749623" s="472"/>
      <c r="M749623" s="472"/>
    </row>
    <row r="749695" spans="12:13" x14ac:dyDescent="0.25">
      <c r="L749695" s="472"/>
      <c r="M749695" s="472"/>
    </row>
    <row r="749696" spans="12:13" x14ac:dyDescent="0.25">
      <c r="L749696" s="472"/>
      <c r="M749696" s="472"/>
    </row>
    <row r="749697" spans="12:13" x14ac:dyDescent="0.25">
      <c r="L749697" s="472"/>
      <c r="M749697" s="472"/>
    </row>
    <row r="749769" spans="12:13" x14ac:dyDescent="0.25">
      <c r="L749769" s="472"/>
      <c r="M749769" s="472"/>
    </row>
    <row r="749770" spans="12:13" x14ac:dyDescent="0.25">
      <c r="L749770" s="472"/>
      <c r="M749770" s="472"/>
    </row>
    <row r="749771" spans="12:13" x14ac:dyDescent="0.25">
      <c r="L749771" s="472"/>
      <c r="M749771" s="472"/>
    </row>
    <row r="749843" spans="12:13" x14ac:dyDescent="0.25">
      <c r="L749843" s="472"/>
      <c r="M749843" s="472"/>
    </row>
    <row r="749844" spans="12:13" x14ac:dyDescent="0.25">
      <c r="L749844" s="472"/>
      <c r="M749844" s="472"/>
    </row>
    <row r="749845" spans="12:13" x14ac:dyDescent="0.25">
      <c r="L749845" s="472"/>
      <c r="M749845" s="472"/>
    </row>
    <row r="749917" spans="12:13" x14ac:dyDescent="0.25">
      <c r="L749917" s="472"/>
      <c r="M749917" s="472"/>
    </row>
    <row r="749918" spans="12:13" x14ac:dyDescent="0.25">
      <c r="L749918" s="472"/>
      <c r="M749918" s="472"/>
    </row>
    <row r="749919" spans="12:13" x14ac:dyDescent="0.25">
      <c r="L749919" s="472"/>
      <c r="M749919" s="472"/>
    </row>
    <row r="749991" spans="12:13" x14ac:dyDescent="0.25">
      <c r="L749991" s="472"/>
      <c r="M749991" s="472"/>
    </row>
    <row r="749992" spans="12:13" x14ac:dyDescent="0.25">
      <c r="L749992" s="472"/>
      <c r="M749992" s="472"/>
    </row>
    <row r="749993" spans="12:13" x14ac:dyDescent="0.25">
      <c r="L749993" s="472"/>
      <c r="M749993" s="472"/>
    </row>
    <row r="750065" spans="12:13" x14ac:dyDescent="0.25">
      <c r="L750065" s="472"/>
      <c r="M750065" s="472"/>
    </row>
    <row r="750066" spans="12:13" x14ac:dyDescent="0.25">
      <c r="L750066" s="472"/>
      <c r="M750066" s="472"/>
    </row>
    <row r="750067" spans="12:13" x14ac:dyDescent="0.25">
      <c r="L750067" s="472"/>
      <c r="M750067" s="472"/>
    </row>
    <row r="750139" spans="12:13" x14ac:dyDescent="0.25">
      <c r="L750139" s="472"/>
      <c r="M750139" s="472"/>
    </row>
    <row r="750140" spans="12:13" x14ac:dyDescent="0.25">
      <c r="L750140" s="472"/>
      <c r="M750140" s="472"/>
    </row>
    <row r="750141" spans="12:13" x14ac:dyDescent="0.25">
      <c r="L750141" s="472"/>
      <c r="M750141" s="472"/>
    </row>
    <row r="750213" spans="12:13" x14ac:dyDescent="0.25">
      <c r="L750213" s="472"/>
      <c r="M750213" s="472"/>
    </row>
    <row r="750214" spans="12:13" x14ac:dyDescent="0.25">
      <c r="L750214" s="472"/>
      <c r="M750214" s="472"/>
    </row>
    <row r="750215" spans="12:13" x14ac:dyDescent="0.25">
      <c r="L750215" s="472"/>
      <c r="M750215" s="472"/>
    </row>
    <row r="750287" spans="12:13" x14ac:dyDescent="0.25">
      <c r="L750287" s="472"/>
      <c r="M750287" s="472"/>
    </row>
    <row r="750288" spans="12:13" x14ac:dyDescent="0.25">
      <c r="L750288" s="472"/>
      <c r="M750288" s="472"/>
    </row>
    <row r="750289" spans="12:13" x14ac:dyDescent="0.25">
      <c r="L750289" s="472"/>
      <c r="M750289" s="472"/>
    </row>
    <row r="750361" spans="12:13" x14ac:dyDescent="0.25">
      <c r="L750361" s="472"/>
      <c r="M750361" s="472"/>
    </row>
    <row r="750362" spans="12:13" x14ac:dyDescent="0.25">
      <c r="L750362" s="472"/>
      <c r="M750362" s="472"/>
    </row>
    <row r="750363" spans="12:13" x14ac:dyDescent="0.25">
      <c r="L750363" s="472"/>
      <c r="M750363" s="472"/>
    </row>
    <row r="750435" spans="12:13" x14ac:dyDescent="0.25">
      <c r="L750435" s="472"/>
      <c r="M750435" s="472"/>
    </row>
    <row r="750436" spans="12:13" x14ac:dyDescent="0.25">
      <c r="L750436" s="472"/>
      <c r="M750436" s="472"/>
    </row>
    <row r="750437" spans="12:13" x14ac:dyDescent="0.25">
      <c r="L750437" s="472"/>
      <c r="M750437" s="472"/>
    </row>
    <row r="750509" spans="12:13" x14ac:dyDescent="0.25">
      <c r="L750509" s="472"/>
      <c r="M750509" s="472"/>
    </row>
    <row r="750510" spans="12:13" x14ac:dyDescent="0.25">
      <c r="L750510" s="472"/>
      <c r="M750510" s="472"/>
    </row>
    <row r="750511" spans="12:13" x14ac:dyDescent="0.25">
      <c r="L750511" s="472"/>
      <c r="M750511" s="472"/>
    </row>
    <row r="750583" spans="12:13" x14ac:dyDescent="0.25">
      <c r="L750583" s="472"/>
      <c r="M750583" s="472"/>
    </row>
    <row r="750584" spans="12:13" x14ac:dyDescent="0.25">
      <c r="L750584" s="472"/>
      <c r="M750584" s="472"/>
    </row>
    <row r="750585" spans="12:13" x14ac:dyDescent="0.25">
      <c r="L750585" s="472"/>
      <c r="M750585" s="472"/>
    </row>
    <row r="750657" spans="12:13" x14ac:dyDescent="0.25">
      <c r="L750657" s="472"/>
      <c r="M750657" s="472"/>
    </row>
    <row r="750658" spans="12:13" x14ac:dyDescent="0.25">
      <c r="L750658" s="472"/>
      <c r="M750658" s="472"/>
    </row>
    <row r="750659" spans="12:13" x14ac:dyDescent="0.25">
      <c r="L750659" s="472"/>
      <c r="M750659" s="472"/>
    </row>
    <row r="750731" spans="12:13" x14ac:dyDescent="0.25">
      <c r="L750731" s="472"/>
      <c r="M750731" s="472"/>
    </row>
    <row r="750732" spans="12:13" x14ac:dyDescent="0.25">
      <c r="L750732" s="472"/>
      <c r="M750732" s="472"/>
    </row>
    <row r="750733" spans="12:13" x14ac:dyDescent="0.25">
      <c r="L750733" s="472"/>
      <c r="M750733" s="472"/>
    </row>
    <row r="750805" spans="12:13" x14ac:dyDescent="0.25">
      <c r="L750805" s="472"/>
      <c r="M750805" s="472"/>
    </row>
    <row r="750806" spans="12:13" x14ac:dyDescent="0.25">
      <c r="L750806" s="472"/>
      <c r="M750806" s="472"/>
    </row>
    <row r="750807" spans="12:13" x14ac:dyDescent="0.25">
      <c r="L750807" s="472"/>
      <c r="M750807" s="472"/>
    </row>
    <row r="750879" spans="12:13" x14ac:dyDescent="0.25">
      <c r="L750879" s="472"/>
      <c r="M750879" s="472"/>
    </row>
    <row r="750880" spans="12:13" x14ac:dyDescent="0.25">
      <c r="L750880" s="472"/>
      <c r="M750880" s="472"/>
    </row>
    <row r="750881" spans="12:13" x14ac:dyDescent="0.25">
      <c r="L750881" s="472"/>
      <c r="M750881" s="472"/>
    </row>
    <row r="750953" spans="12:13" x14ac:dyDescent="0.25">
      <c r="L750953" s="472"/>
      <c r="M750953" s="472"/>
    </row>
    <row r="750954" spans="12:13" x14ac:dyDescent="0.25">
      <c r="L750954" s="472"/>
      <c r="M750954" s="472"/>
    </row>
    <row r="750955" spans="12:13" x14ac:dyDescent="0.25">
      <c r="L750955" s="472"/>
      <c r="M750955" s="472"/>
    </row>
    <row r="751027" spans="12:13" x14ac:dyDescent="0.25">
      <c r="L751027" s="472"/>
      <c r="M751027" s="472"/>
    </row>
    <row r="751028" spans="12:13" x14ac:dyDescent="0.25">
      <c r="L751028" s="472"/>
      <c r="M751028" s="472"/>
    </row>
    <row r="751029" spans="12:13" x14ac:dyDescent="0.25">
      <c r="L751029" s="472"/>
      <c r="M751029" s="472"/>
    </row>
    <row r="751101" spans="12:13" x14ac:dyDescent="0.25">
      <c r="L751101" s="472"/>
      <c r="M751101" s="472"/>
    </row>
    <row r="751102" spans="12:13" x14ac:dyDescent="0.25">
      <c r="L751102" s="472"/>
      <c r="M751102" s="472"/>
    </row>
    <row r="751103" spans="12:13" x14ac:dyDescent="0.25">
      <c r="L751103" s="472"/>
      <c r="M751103" s="472"/>
    </row>
    <row r="751175" spans="12:13" x14ac:dyDescent="0.25">
      <c r="L751175" s="472"/>
      <c r="M751175" s="472"/>
    </row>
    <row r="751176" spans="12:13" x14ac:dyDescent="0.25">
      <c r="L751176" s="472"/>
      <c r="M751176" s="472"/>
    </row>
    <row r="751177" spans="12:13" x14ac:dyDescent="0.25">
      <c r="L751177" s="472"/>
      <c r="M751177" s="472"/>
    </row>
    <row r="751249" spans="12:13" x14ac:dyDescent="0.25">
      <c r="L751249" s="472"/>
      <c r="M751249" s="472"/>
    </row>
    <row r="751250" spans="12:13" x14ac:dyDescent="0.25">
      <c r="L751250" s="472"/>
      <c r="M751250" s="472"/>
    </row>
    <row r="751251" spans="12:13" x14ac:dyDescent="0.25">
      <c r="L751251" s="472"/>
      <c r="M751251" s="472"/>
    </row>
    <row r="751323" spans="12:13" x14ac:dyDescent="0.25">
      <c r="L751323" s="472"/>
      <c r="M751323" s="472"/>
    </row>
    <row r="751324" spans="12:13" x14ac:dyDescent="0.25">
      <c r="L751324" s="472"/>
      <c r="M751324" s="472"/>
    </row>
    <row r="751325" spans="12:13" x14ac:dyDescent="0.25">
      <c r="L751325" s="472"/>
      <c r="M751325" s="472"/>
    </row>
    <row r="751397" spans="12:13" x14ac:dyDescent="0.25">
      <c r="L751397" s="472"/>
      <c r="M751397" s="472"/>
    </row>
    <row r="751398" spans="12:13" x14ac:dyDescent="0.25">
      <c r="L751398" s="472"/>
      <c r="M751398" s="472"/>
    </row>
    <row r="751399" spans="12:13" x14ac:dyDescent="0.25">
      <c r="L751399" s="472"/>
      <c r="M751399" s="472"/>
    </row>
    <row r="751471" spans="12:13" x14ac:dyDescent="0.25">
      <c r="L751471" s="472"/>
      <c r="M751471" s="472"/>
    </row>
    <row r="751472" spans="12:13" x14ac:dyDescent="0.25">
      <c r="L751472" s="472"/>
      <c r="M751472" s="472"/>
    </row>
    <row r="751473" spans="12:13" x14ac:dyDescent="0.25">
      <c r="L751473" s="472"/>
      <c r="M751473" s="472"/>
    </row>
    <row r="751545" spans="12:13" x14ac:dyDescent="0.25">
      <c r="L751545" s="472"/>
      <c r="M751545" s="472"/>
    </row>
    <row r="751546" spans="12:13" x14ac:dyDescent="0.25">
      <c r="L751546" s="472"/>
      <c r="M751546" s="472"/>
    </row>
    <row r="751547" spans="12:13" x14ac:dyDescent="0.25">
      <c r="L751547" s="472"/>
      <c r="M751547" s="472"/>
    </row>
    <row r="751619" spans="12:13" x14ac:dyDescent="0.25">
      <c r="L751619" s="472"/>
      <c r="M751619" s="472"/>
    </row>
    <row r="751620" spans="12:13" x14ac:dyDescent="0.25">
      <c r="L751620" s="472"/>
      <c r="M751620" s="472"/>
    </row>
    <row r="751621" spans="12:13" x14ac:dyDescent="0.25">
      <c r="L751621" s="472"/>
      <c r="M751621" s="472"/>
    </row>
    <row r="751693" spans="12:13" x14ac:dyDescent="0.25">
      <c r="L751693" s="472"/>
      <c r="M751693" s="472"/>
    </row>
    <row r="751694" spans="12:13" x14ac:dyDescent="0.25">
      <c r="L751694" s="472"/>
      <c r="M751694" s="472"/>
    </row>
    <row r="751695" spans="12:13" x14ac:dyDescent="0.25">
      <c r="L751695" s="472"/>
      <c r="M751695" s="472"/>
    </row>
    <row r="751767" spans="12:13" x14ac:dyDescent="0.25">
      <c r="L751767" s="472"/>
      <c r="M751767" s="472"/>
    </row>
    <row r="751768" spans="12:13" x14ac:dyDescent="0.25">
      <c r="L751768" s="472"/>
      <c r="M751768" s="472"/>
    </row>
    <row r="751769" spans="12:13" x14ac:dyDescent="0.25">
      <c r="L751769" s="472"/>
      <c r="M751769" s="472"/>
    </row>
    <row r="751841" spans="12:13" x14ac:dyDescent="0.25">
      <c r="L751841" s="472"/>
      <c r="M751841" s="472"/>
    </row>
    <row r="751842" spans="12:13" x14ac:dyDescent="0.25">
      <c r="L751842" s="472"/>
      <c r="M751842" s="472"/>
    </row>
    <row r="751843" spans="12:13" x14ac:dyDescent="0.25">
      <c r="L751843" s="472"/>
      <c r="M751843" s="472"/>
    </row>
    <row r="751915" spans="12:13" x14ac:dyDescent="0.25">
      <c r="L751915" s="472"/>
      <c r="M751915" s="472"/>
    </row>
    <row r="751916" spans="12:13" x14ac:dyDescent="0.25">
      <c r="L751916" s="472"/>
      <c r="M751916" s="472"/>
    </row>
    <row r="751917" spans="12:13" x14ac:dyDescent="0.25">
      <c r="L751917" s="472"/>
      <c r="M751917" s="472"/>
    </row>
    <row r="751989" spans="12:13" x14ac:dyDescent="0.25">
      <c r="L751989" s="472"/>
      <c r="M751989" s="472"/>
    </row>
    <row r="751990" spans="12:13" x14ac:dyDescent="0.25">
      <c r="L751990" s="472"/>
      <c r="M751990" s="472"/>
    </row>
    <row r="751991" spans="12:13" x14ac:dyDescent="0.25">
      <c r="L751991" s="472"/>
      <c r="M751991" s="472"/>
    </row>
    <row r="752063" spans="12:13" x14ac:dyDescent="0.25">
      <c r="L752063" s="472"/>
      <c r="M752063" s="472"/>
    </row>
    <row r="752064" spans="12:13" x14ac:dyDescent="0.25">
      <c r="L752064" s="472"/>
      <c r="M752064" s="472"/>
    </row>
    <row r="752065" spans="12:13" x14ac:dyDescent="0.25">
      <c r="L752065" s="472"/>
      <c r="M752065" s="472"/>
    </row>
    <row r="752137" spans="12:13" x14ac:dyDescent="0.25">
      <c r="L752137" s="472"/>
      <c r="M752137" s="472"/>
    </row>
    <row r="752138" spans="12:13" x14ac:dyDescent="0.25">
      <c r="L752138" s="472"/>
      <c r="M752138" s="472"/>
    </row>
    <row r="752139" spans="12:13" x14ac:dyDescent="0.25">
      <c r="L752139" s="472"/>
      <c r="M752139" s="472"/>
    </row>
    <row r="752211" spans="12:13" x14ac:dyDescent="0.25">
      <c r="L752211" s="472"/>
      <c r="M752211" s="472"/>
    </row>
    <row r="752212" spans="12:13" x14ac:dyDescent="0.25">
      <c r="L752212" s="472"/>
      <c r="M752212" s="472"/>
    </row>
    <row r="752213" spans="12:13" x14ac:dyDescent="0.25">
      <c r="L752213" s="472"/>
      <c r="M752213" s="472"/>
    </row>
    <row r="752285" spans="12:13" x14ac:dyDescent="0.25">
      <c r="L752285" s="472"/>
      <c r="M752285" s="472"/>
    </row>
    <row r="752286" spans="12:13" x14ac:dyDescent="0.25">
      <c r="L752286" s="472"/>
      <c r="M752286" s="472"/>
    </row>
    <row r="752287" spans="12:13" x14ac:dyDescent="0.25">
      <c r="L752287" s="472"/>
      <c r="M752287" s="472"/>
    </row>
    <row r="752359" spans="12:13" x14ac:dyDescent="0.25">
      <c r="L752359" s="472"/>
      <c r="M752359" s="472"/>
    </row>
    <row r="752360" spans="12:13" x14ac:dyDescent="0.25">
      <c r="L752360" s="472"/>
      <c r="M752360" s="472"/>
    </row>
    <row r="752361" spans="12:13" x14ac:dyDescent="0.25">
      <c r="L752361" s="472"/>
      <c r="M752361" s="472"/>
    </row>
    <row r="752433" spans="12:13" x14ac:dyDescent="0.25">
      <c r="L752433" s="472"/>
      <c r="M752433" s="472"/>
    </row>
    <row r="752434" spans="12:13" x14ac:dyDescent="0.25">
      <c r="L752434" s="472"/>
      <c r="M752434" s="472"/>
    </row>
    <row r="752435" spans="12:13" x14ac:dyDescent="0.25">
      <c r="L752435" s="472"/>
      <c r="M752435" s="472"/>
    </row>
    <row r="752507" spans="12:13" x14ac:dyDescent="0.25">
      <c r="L752507" s="472"/>
      <c r="M752507" s="472"/>
    </row>
    <row r="752508" spans="12:13" x14ac:dyDescent="0.25">
      <c r="L752508" s="472"/>
      <c r="M752508" s="472"/>
    </row>
    <row r="752509" spans="12:13" x14ac:dyDescent="0.25">
      <c r="L752509" s="472"/>
      <c r="M752509" s="472"/>
    </row>
    <row r="752581" spans="12:13" x14ac:dyDescent="0.25">
      <c r="L752581" s="472"/>
      <c r="M752581" s="472"/>
    </row>
    <row r="752582" spans="12:13" x14ac:dyDescent="0.25">
      <c r="L752582" s="472"/>
      <c r="M752582" s="472"/>
    </row>
    <row r="752583" spans="12:13" x14ac:dyDescent="0.25">
      <c r="L752583" s="472"/>
      <c r="M752583" s="472"/>
    </row>
    <row r="752655" spans="12:13" x14ac:dyDescent="0.25">
      <c r="L752655" s="472"/>
      <c r="M752655" s="472"/>
    </row>
    <row r="752656" spans="12:13" x14ac:dyDescent="0.25">
      <c r="L752656" s="472"/>
      <c r="M752656" s="472"/>
    </row>
    <row r="752657" spans="12:13" x14ac:dyDescent="0.25">
      <c r="L752657" s="472"/>
      <c r="M752657" s="472"/>
    </row>
    <row r="752729" spans="12:13" x14ac:dyDescent="0.25">
      <c r="L752729" s="472"/>
      <c r="M752729" s="472"/>
    </row>
    <row r="752730" spans="12:13" x14ac:dyDescent="0.25">
      <c r="L752730" s="472"/>
      <c r="M752730" s="472"/>
    </row>
    <row r="752731" spans="12:13" x14ac:dyDescent="0.25">
      <c r="L752731" s="472"/>
      <c r="M752731" s="472"/>
    </row>
    <row r="752803" spans="12:13" x14ac:dyDescent="0.25">
      <c r="L752803" s="472"/>
      <c r="M752803" s="472"/>
    </row>
    <row r="752804" spans="12:13" x14ac:dyDescent="0.25">
      <c r="L752804" s="472"/>
      <c r="M752804" s="472"/>
    </row>
    <row r="752805" spans="12:13" x14ac:dyDescent="0.25">
      <c r="L752805" s="472"/>
      <c r="M752805" s="472"/>
    </row>
    <row r="752877" spans="12:13" x14ac:dyDescent="0.25">
      <c r="L752877" s="472"/>
      <c r="M752877" s="472"/>
    </row>
    <row r="752878" spans="12:13" x14ac:dyDescent="0.25">
      <c r="L752878" s="472"/>
      <c r="M752878" s="472"/>
    </row>
    <row r="752879" spans="12:13" x14ac:dyDescent="0.25">
      <c r="L752879" s="472"/>
      <c r="M752879" s="472"/>
    </row>
    <row r="752951" spans="12:13" x14ac:dyDescent="0.25">
      <c r="L752951" s="472"/>
      <c r="M752951" s="472"/>
    </row>
    <row r="752952" spans="12:13" x14ac:dyDescent="0.25">
      <c r="L752952" s="472"/>
      <c r="M752952" s="472"/>
    </row>
    <row r="752953" spans="12:13" x14ac:dyDescent="0.25">
      <c r="L752953" s="472"/>
      <c r="M752953" s="472"/>
    </row>
    <row r="753025" spans="12:13" x14ac:dyDescent="0.25">
      <c r="L753025" s="472"/>
      <c r="M753025" s="472"/>
    </row>
    <row r="753026" spans="12:13" x14ac:dyDescent="0.25">
      <c r="L753026" s="472"/>
      <c r="M753026" s="472"/>
    </row>
    <row r="753027" spans="12:13" x14ac:dyDescent="0.25">
      <c r="L753027" s="472"/>
      <c r="M753027" s="472"/>
    </row>
    <row r="753099" spans="12:13" x14ac:dyDescent="0.25">
      <c r="L753099" s="472"/>
      <c r="M753099" s="472"/>
    </row>
    <row r="753100" spans="12:13" x14ac:dyDescent="0.25">
      <c r="L753100" s="472"/>
      <c r="M753100" s="472"/>
    </row>
    <row r="753101" spans="12:13" x14ac:dyDescent="0.25">
      <c r="L753101" s="472"/>
      <c r="M753101" s="472"/>
    </row>
    <row r="753173" spans="12:13" x14ac:dyDescent="0.25">
      <c r="L753173" s="472"/>
      <c r="M753173" s="472"/>
    </row>
    <row r="753174" spans="12:13" x14ac:dyDescent="0.25">
      <c r="L753174" s="472"/>
      <c r="M753174" s="472"/>
    </row>
    <row r="753175" spans="12:13" x14ac:dyDescent="0.25">
      <c r="L753175" s="472"/>
      <c r="M753175" s="472"/>
    </row>
    <row r="753247" spans="12:13" x14ac:dyDescent="0.25">
      <c r="L753247" s="472"/>
      <c r="M753247" s="472"/>
    </row>
    <row r="753248" spans="12:13" x14ac:dyDescent="0.25">
      <c r="L753248" s="472"/>
      <c r="M753248" s="472"/>
    </row>
    <row r="753249" spans="12:13" x14ac:dyDescent="0.25">
      <c r="L753249" s="472"/>
      <c r="M753249" s="472"/>
    </row>
    <row r="753321" spans="12:13" x14ac:dyDescent="0.25">
      <c r="L753321" s="472"/>
      <c r="M753321" s="472"/>
    </row>
    <row r="753322" spans="12:13" x14ac:dyDescent="0.25">
      <c r="L753322" s="472"/>
      <c r="M753322" s="472"/>
    </row>
    <row r="753323" spans="12:13" x14ac:dyDescent="0.25">
      <c r="L753323" s="472"/>
      <c r="M753323" s="472"/>
    </row>
    <row r="753395" spans="12:13" x14ac:dyDescent="0.25">
      <c r="L753395" s="472"/>
      <c r="M753395" s="472"/>
    </row>
    <row r="753396" spans="12:13" x14ac:dyDescent="0.25">
      <c r="L753396" s="472"/>
      <c r="M753396" s="472"/>
    </row>
    <row r="753397" spans="12:13" x14ac:dyDescent="0.25">
      <c r="L753397" s="472"/>
      <c r="M753397" s="472"/>
    </row>
    <row r="753469" spans="12:13" x14ac:dyDescent="0.25">
      <c r="L753469" s="472"/>
      <c r="M753469" s="472"/>
    </row>
    <row r="753470" spans="12:13" x14ac:dyDescent="0.25">
      <c r="L753470" s="472"/>
      <c r="M753470" s="472"/>
    </row>
    <row r="753471" spans="12:13" x14ac:dyDescent="0.25">
      <c r="L753471" s="472"/>
      <c r="M753471" s="472"/>
    </row>
    <row r="753543" spans="12:13" x14ac:dyDescent="0.25">
      <c r="L753543" s="472"/>
      <c r="M753543" s="472"/>
    </row>
    <row r="753544" spans="12:13" x14ac:dyDescent="0.25">
      <c r="L753544" s="472"/>
      <c r="M753544" s="472"/>
    </row>
    <row r="753545" spans="12:13" x14ac:dyDescent="0.25">
      <c r="L753545" s="472"/>
      <c r="M753545" s="472"/>
    </row>
    <row r="753617" spans="12:13" x14ac:dyDescent="0.25">
      <c r="L753617" s="472"/>
      <c r="M753617" s="472"/>
    </row>
    <row r="753618" spans="12:13" x14ac:dyDescent="0.25">
      <c r="L753618" s="472"/>
      <c r="M753618" s="472"/>
    </row>
    <row r="753619" spans="12:13" x14ac:dyDescent="0.25">
      <c r="L753619" s="472"/>
      <c r="M753619" s="472"/>
    </row>
    <row r="753691" spans="12:13" x14ac:dyDescent="0.25">
      <c r="L753691" s="472"/>
      <c r="M753691" s="472"/>
    </row>
    <row r="753692" spans="12:13" x14ac:dyDescent="0.25">
      <c r="L753692" s="472"/>
      <c r="M753692" s="472"/>
    </row>
    <row r="753693" spans="12:13" x14ac:dyDescent="0.25">
      <c r="L753693" s="472"/>
      <c r="M753693" s="472"/>
    </row>
    <row r="753765" spans="12:13" x14ac:dyDescent="0.25">
      <c r="L753765" s="472"/>
      <c r="M753765" s="472"/>
    </row>
    <row r="753766" spans="12:13" x14ac:dyDescent="0.25">
      <c r="L753766" s="472"/>
      <c r="M753766" s="472"/>
    </row>
    <row r="753767" spans="12:13" x14ac:dyDescent="0.25">
      <c r="L753767" s="472"/>
      <c r="M753767" s="472"/>
    </row>
    <row r="753839" spans="12:13" x14ac:dyDescent="0.25">
      <c r="L753839" s="472"/>
      <c r="M753839" s="472"/>
    </row>
    <row r="753840" spans="12:13" x14ac:dyDescent="0.25">
      <c r="L753840" s="472"/>
      <c r="M753840" s="472"/>
    </row>
    <row r="753841" spans="12:13" x14ac:dyDescent="0.25">
      <c r="L753841" s="472"/>
      <c r="M753841" s="472"/>
    </row>
    <row r="753913" spans="12:13" x14ac:dyDescent="0.25">
      <c r="L753913" s="472"/>
      <c r="M753913" s="472"/>
    </row>
    <row r="753914" spans="12:13" x14ac:dyDescent="0.25">
      <c r="L753914" s="472"/>
      <c r="M753914" s="472"/>
    </row>
    <row r="753915" spans="12:13" x14ac:dyDescent="0.25">
      <c r="L753915" s="472"/>
      <c r="M753915" s="472"/>
    </row>
    <row r="753987" spans="12:13" x14ac:dyDescent="0.25">
      <c r="L753987" s="472"/>
      <c r="M753987" s="472"/>
    </row>
    <row r="753988" spans="12:13" x14ac:dyDescent="0.25">
      <c r="L753988" s="472"/>
      <c r="M753988" s="472"/>
    </row>
    <row r="753989" spans="12:13" x14ac:dyDescent="0.25">
      <c r="L753989" s="472"/>
      <c r="M753989" s="472"/>
    </row>
    <row r="754061" spans="12:13" x14ac:dyDescent="0.25">
      <c r="L754061" s="472"/>
      <c r="M754061" s="472"/>
    </row>
    <row r="754062" spans="12:13" x14ac:dyDescent="0.25">
      <c r="L754062" s="472"/>
      <c r="M754062" s="472"/>
    </row>
    <row r="754063" spans="12:13" x14ac:dyDescent="0.25">
      <c r="L754063" s="472"/>
      <c r="M754063" s="472"/>
    </row>
    <row r="754135" spans="12:13" x14ac:dyDescent="0.25">
      <c r="L754135" s="472"/>
      <c r="M754135" s="472"/>
    </row>
    <row r="754136" spans="12:13" x14ac:dyDescent="0.25">
      <c r="L754136" s="472"/>
      <c r="M754136" s="472"/>
    </row>
    <row r="754137" spans="12:13" x14ac:dyDescent="0.25">
      <c r="L754137" s="472"/>
      <c r="M754137" s="472"/>
    </row>
    <row r="754209" spans="12:13" x14ac:dyDescent="0.25">
      <c r="L754209" s="472"/>
      <c r="M754209" s="472"/>
    </row>
    <row r="754210" spans="12:13" x14ac:dyDescent="0.25">
      <c r="L754210" s="472"/>
      <c r="M754210" s="472"/>
    </row>
    <row r="754211" spans="12:13" x14ac:dyDescent="0.25">
      <c r="L754211" s="472"/>
      <c r="M754211" s="472"/>
    </row>
    <row r="754283" spans="12:13" x14ac:dyDescent="0.25">
      <c r="L754283" s="472"/>
      <c r="M754283" s="472"/>
    </row>
    <row r="754284" spans="12:13" x14ac:dyDescent="0.25">
      <c r="L754284" s="472"/>
      <c r="M754284" s="472"/>
    </row>
    <row r="754285" spans="12:13" x14ac:dyDescent="0.25">
      <c r="L754285" s="472"/>
      <c r="M754285" s="472"/>
    </row>
    <row r="754357" spans="12:13" x14ac:dyDescent="0.25">
      <c r="L754357" s="472"/>
      <c r="M754357" s="472"/>
    </row>
    <row r="754358" spans="12:13" x14ac:dyDescent="0.25">
      <c r="L754358" s="472"/>
      <c r="M754358" s="472"/>
    </row>
    <row r="754359" spans="12:13" x14ac:dyDescent="0.25">
      <c r="L754359" s="472"/>
      <c r="M754359" s="472"/>
    </row>
    <row r="754431" spans="12:13" x14ac:dyDescent="0.25">
      <c r="L754431" s="472"/>
      <c r="M754431" s="472"/>
    </row>
    <row r="754432" spans="12:13" x14ac:dyDescent="0.25">
      <c r="L754432" s="472"/>
      <c r="M754432" s="472"/>
    </row>
    <row r="754433" spans="12:13" x14ac:dyDescent="0.25">
      <c r="L754433" s="472"/>
      <c r="M754433" s="472"/>
    </row>
    <row r="754505" spans="12:13" x14ac:dyDescent="0.25">
      <c r="L754505" s="472"/>
      <c r="M754505" s="472"/>
    </row>
    <row r="754506" spans="12:13" x14ac:dyDescent="0.25">
      <c r="L754506" s="472"/>
      <c r="M754506" s="472"/>
    </row>
    <row r="754507" spans="12:13" x14ac:dyDescent="0.25">
      <c r="L754507" s="472"/>
      <c r="M754507" s="472"/>
    </row>
    <row r="754579" spans="12:13" x14ac:dyDescent="0.25">
      <c r="L754579" s="472"/>
      <c r="M754579" s="472"/>
    </row>
    <row r="754580" spans="12:13" x14ac:dyDescent="0.25">
      <c r="L754580" s="472"/>
      <c r="M754580" s="472"/>
    </row>
    <row r="754581" spans="12:13" x14ac:dyDescent="0.25">
      <c r="L754581" s="472"/>
      <c r="M754581" s="472"/>
    </row>
    <row r="754653" spans="12:13" x14ac:dyDescent="0.25">
      <c r="L754653" s="472"/>
      <c r="M754653" s="472"/>
    </row>
    <row r="754654" spans="12:13" x14ac:dyDescent="0.25">
      <c r="L754654" s="472"/>
      <c r="M754654" s="472"/>
    </row>
    <row r="754655" spans="12:13" x14ac:dyDescent="0.25">
      <c r="L754655" s="472"/>
      <c r="M754655" s="472"/>
    </row>
    <row r="754727" spans="12:13" x14ac:dyDescent="0.25">
      <c r="L754727" s="472"/>
      <c r="M754727" s="472"/>
    </row>
    <row r="754728" spans="12:13" x14ac:dyDescent="0.25">
      <c r="L754728" s="472"/>
      <c r="M754728" s="472"/>
    </row>
    <row r="754729" spans="12:13" x14ac:dyDescent="0.25">
      <c r="L754729" s="472"/>
      <c r="M754729" s="472"/>
    </row>
    <row r="754801" spans="12:13" x14ac:dyDescent="0.25">
      <c r="L754801" s="472"/>
      <c r="M754801" s="472"/>
    </row>
    <row r="754802" spans="12:13" x14ac:dyDescent="0.25">
      <c r="L754802" s="472"/>
      <c r="M754802" s="472"/>
    </row>
    <row r="754803" spans="12:13" x14ac:dyDescent="0.25">
      <c r="L754803" s="472"/>
      <c r="M754803" s="472"/>
    </row>
    <row r="754875" spans="12:13" x14ac:dyDescent="0.25">
      <c r="L754875" s="472"/>
      <c r="M754875" s="472"/>
    </row>
    <row r="754876" spans="12:13" x14ac:dyDescent="0.25">
      <c r="L754876" s="472"/>
      <c r="M754876" s="472"/>
    </row>
    <row r="754877" spans="12:13" x14ac:dyDescent="0.25">
      <c r="L754877" s="472"/>
      <c r="M754877" s="472"/>
    </row>
    <row r="754949" spans="12:13" x14ac:dyDescent="0.25">
      <c r="L754949" s="472"/>
      <c r="M754949" s="472"/>
    </row>
    <row r="754950" spans="12:13" x14ac:dyDescent="0.25">
      <c r="L754950" s="472"/>
      <c r="M754950" s="472"/>
    </row>
    <row r="754951" spans="12:13" x14ac:dyDescent="0.25">
      <c r="L754951" s="472"/>
      <c r="M754951" s="472"/>
    </row>
    <row r="755023" spans="12:13" x14ac:dyDescent="0.25">
      <c r="L755023" s="472"/>
      <c r="M755023" s="472"/>
    </row>
    <row r="755024" spans="12:13" x14ac:dyDescent="0.25">
      <c r="L755024" s="472"/>
      <c r="M755024" s="472"/>
    </row>
    <row r="755025" spans="12:13" x14ac:dyDescent="0.25">
      <c r="L755025" s="472"/>
      <c r="M755025" s="472"/>
    </row>
    <row r="755097" spans="12:13" x14ac:dyDescent="0.25">
      <c r="L755097" s="472"/>
      <c r="M755097" s="472"/>
    </row>
    <row r="755098" spans="12:13" x14ac:dyDescent="0.25">
      <c r="L755098" s="472"/>
      <c r="M755098" s="472"/>
    </row>
    <row r="755099" spans="12:13" x14ac:dyDescent="0.25">
      <c r="L755099" s="472"/>
      <c r="M755099" s="472"/>
    </row>
    <row r="755171" spans="12:13" x14ac:dyDescent="0.25">
      <c r="L755171" s="472"/>
      <c r="M755171" s="472"/>
    </row>
    <row r="755172" spans="12:13" x14ac:dyDescent="0.25">
      <c r="L755172" s="472"/>
      <c r="M755172" s="472"/>
    </row>
    <row r="755173" spans="12:13" x14ac:dyDescent="0.25">
      <c r="L755173" s="472"/>
      <c r="M755173" s="472"/>
    </row>
    <row r="755245" spans="12:13" x14ac:dyDescent="0.25">
      <c r="L755245" s="472"/>
      <c r="M755245" s="472"/>
    </row>
    <row r="755246" spans="12:13" x14ac:dyDescent="0.25">
      <c r="L755246" s="472"/>
      <c r="M755246" s="472"/>
    </row>
    <row r="755247" spans="12:13" x14ac:dyDescent="0.25">
      <c r="L755247" s="472"/>
      <c r="M755247" s="472"/>
    </row>
    <row r="755319" spans="12:13" x14ac:dyDescent="0.25">
      <c r="L755319" s="472"/>
      <c r="M755319" s="472"/>
    </row>
    <row r="755320" spans="12:13" x14ac:dyDescent="0.25">
      <c r="L755320" s="472"/>
      <c r="M755320" s="472"/>
    </row>
    <row r="755321" spans="12:13" x14ac:dyDescent="0.25">
      <c r="L755321" s="472"/>
      <c r="M755321" s="472"/>
    </row>
    <row r="755393" spans="12:13" x14ac:dyDescent="0.25">
      <c r="L755393" s="472"/>
      <c r="M755393" s="472"/>
    </row>
    <row r="755394" spans="12:13" x14ac:dyDescent="0.25">
      <c r="L755394" s="472"/>
      <c r="M755394" s="472"/>
    </row>
    <row r="755395" spans="12:13" x14ac:dyDescent="0.25">
      <c r="L755395" s="472"/>
      <c r="M755395" s="472"/>
    </row>
    <row r="755467" spans="12:13" x14ac:dyDescent="0.25">
      <c r="L755467" s="472"/>
      <c r="M755467" s="472"/>
    </row>
    <row r="755468" spans="12:13" x14ac:dyDescent="0.25">
      <c r="L755468" s="472"/>
      <c r="M755468" s="472"/>
    </row>
    <row r="755469" spans="12:13" x14ac:dyDescent="0.25">
      <c r="L755469" s="472"/>
      <c r="M755469" s="472"/>
    </row>
    <row r="755541" spans="12:13" x14ac:dyDescent="0.25">
      <c r="L755541" s="472"/>
      <c r="M755541" s="472"/>
    </row>
    <row r="755542" spans="12:13" x14ac:dyDescent="0.25">
      <c r="L755542" s="472"/>
      <c r="M755542" s="472"/>
    </row>
    <row r="755543" spans="12:13" x14ac:dyDescent="0.25">
      <c r="L755543" s="472"/>
      <c r="M755543" s="472"/>
    </row>
    <row r="755615" spans="12:13" x14ac:dyDescent="0.25">
      <c r="L755615" s="472"/>
      <c r="M755615" s="472"/>
    </row>
    <row r="755616" spans="12:13" x14ac:dyDescent="0.25">
      <c r="L755616" s="472"/>
      <c r="M755616" s="472"/>
    </row>
    <row r="755617" spans="12:13" x14ac:dyDescent="0.25">
      <c r="L755617" s="472"/>
      <c r="M755617" s="472"/>
    </row>
    <row r="755689" spans="12:13" x14ac:dyDescent="0.25">
      <c r="L755689" s="472"/>
      <c r="M755689" s="472"/>
    </row>
    <row r="755690" spans="12:13" x14ac:dyDescent="0.25">
      <c r="L755690" s="472"/>
      <c r="M755690" s="472"/>
    </row>
    <row r="755691" spans="12:13" x14ac:dyDescent="0.25">
      <c r="L755691" s="472"/>
      <c r="M755691" s="472"/>
    </row>
    <row r="755763" spans="12:13" x14ac:dyDescent="0.25">
      <c r="L755763" s="472"/>
      <c r="M755763" s="472"/>
    </row>
    <row r="755764" spans="12:13" x14ac:dyDescent="0.25">
      <c r="L755764" s="472"/>
      <c r="M755764" s="472"/>
    </row>
    <row r="755765" spans="12:13" x14ac:dyDescent="0.25">
      <c r="L755765" s="472"/>
      <c r="M755765" s="472"/>
    </row>
    <row r="755837" spans="12:13" x14ac:dyDescent="0.25">
      <c r="L755837" s="472"/>
      <c r="M755837" s="472"/>
    </row>
    <row r="755838" spans="12:13" x14ac:dyDescent="0.25">
      <c r="L755838" s="472"/>
      <c r="M755838" s="472"/>
    </row>
    <row r="755839" spans="12:13" x14ac:dyDescent="0.25">
      <c r="L755839" s="472"/>
      <c r="M755839" s="472"/>
    </row>
    <row r="755911" spans="12:13" x14ac:dyDescent="0.25">
      <c r="L755911" s="472"/>
      <c r="M755911" s="472"/>
    </row>
    <row r="755912" spans="12:13" x14ac:dyDescent="0.25">
      <c r="L755912" s="472"/>
      <c r="M755912" s="472"/>
    </row>
    <row r="755913" spans="12:13" x14ac:dyDescent="0.25">
      <c r="L755913" s="472"/>
      <c r="M755913" s="472"/>
    </row>
    <row r="755985" spans="12:13" x14ac:dyDescent="0.25">
      <c r="L755985" s="472"/>
      <c r="M755985" s="472"/>
    </row>
    <row r="755986" spans="12:13" x14ac:dyDescent="0.25">
      <c r="L755986" s="472"/>
      <c r="M755986" s="472"/>
    </row>
    <row r="755987" spans="12:13" x14ac:dyDescent="0.25">
      <c r="L755987" s="472"/>
      <c r="M755987" s="472"/>
    </row>
    <row r="756059" spans="12:13" x14ac:dyDescent="0.25">
      <c r="L756059" s="472"/>
      <c r="M756059" s="472"/>
    </row>
    <row r="756060" spans="12:13" x14ac:dyDescent="0.25">
      <c r="L756060" s="472"/>
      <c r="M756060" s="472"/>
    </row>
    <row r="756061" spans="12:13" x14ac:dyDescent="0.25">
      <c r="L756061" s="472"/>
      <c r="M756061" s="472"/>
    </row>
    <row r="756133" spans="12:13" x14ac:dyDescent="0.25">
      <c r="L756133" s="472"/>
      <c r="M756133" s="472"/>
    </row>
    <row r="756134" spans="12:13" x14ac:dyDescent="0.25">
      <c r="L756134" s="472"/>
      <c r="M756134" s="472"/>
    </row>
    <row r="756135" spans="12:13" x14ac:dyDescent="0.25">
      <c r="L756135" s="472"/>
      <c r="M756135" s="472"/>
    </row>
    <row r="756207" spans="12:13" x14ac:dyDescent="0.25">
      <c r="L756207" s="472"/>
      <c r="M756207" s="472"/>
    </row>
    <row r="756208" spans="12:13" x14ac:dyDescent="0.25">
      <c r="L756208" s="472"/>
      <c r="M756208" s="472"/>
    </row>
    <row r="756209" spans="12:13" x14ac:dyDescent="0.25">
      <c r="L756209" s="472"/>
      <c r="M756209" s="472"/>
    </row>
    <row r="756281" spans="12:13" x14ac:dyDescent="0.25">
      <c r="L756281" s="472"/>
      <c r="M756281" s="472"/>
    </row>
    <row r="756282" spans="12:13" x14ac:dyDescent="0.25">
      <c r="L756282" s="472"/>
      <c r="M756282" s="472"/>
    </row>
    <row r="756283" spans="12:13" x14ac:dyDescent="0.25">
      <c r="L756283" s="472"/>
      <c r="M756283" s="472"/>
    </row>
    <row r="756355" spans="12:13" x14ac:dyDescent="0.25">
      <c r="L756355" s="472"/>
      <c r="M756355" s="472"/>
    </row>
    <row r="756356" spans="12:13" x14ac:dyDescent="0.25">
      <c r="L756356" s="472"/>
      <c r="M756356" s="472"/>
    </row>
    <row r="756357" spans="12:13" x14ac:dyDescent="0.25">
      <c r="L756357" s="472"/>
      <c r="M756357" s="472"/>
    </row>
    <row r="756429" spans="12:13" x14ac:dyDescent="0.25">
      <c r="L756429" s="472"/>
      <c r="M756429" s="472"/>
    </row>
    <row r="756430" spans="12:13" x14ac:dyDescent="0.25">
      <c r="L756430" s="472"/>
      <c r="M756430" s="472"/>
    </row>
    <row r="756431" spans="12:13" x14ac:dyDescent="0.25">
      <c r="L756431" s="472"/>
      <c r="M756431" s="472"/>
    </row>
    <row r="756503" spans="12:13" x14ac:dyDescent="0.25">
      <c r="L756503" s="472"/>
      <c r="M756503" s="472"/>
    </row>
    <row r="756504" spans="12:13" x14ac:dyDescent="0.25">
      <c r="L756504" s="472"/>
      <c r="M756504" s="472"/>
    </row>
    <row r="756505" spans="12:13" x14ac:dyDescent="0.25">
      <c r="L756505" s="472"/>
      <c r="M756505" s="472"/>
    </row>
    <row r="756577" spans="12:13" x14ac:dyDescent="0.25">
      <c r="L756577" s="472"/>
      <c r="M756577" s="472"/>
    </row>
    <row r="756578" spans="12:13" x14ac:dyDescent="0.25">
      <c r="L756578" s="472"/>
      <c r="M756578" s="472"/>
    </row>
    <row r="756579" spans="12:13" x14ac:dyDescent="0.25">
      <c r="L756579" s="472"/>
      <c r="M756579" s="472"/>
    </row>
    <row r="756651" spans="12:13" x14ac:dyDescent="0.25">
      <c r="L756651" s="472"/>
      <c r="M756651" s="472"/>
    </row>
    <row r="756652" spans="12:13" x14ac:dyDescent="0.25">
      <c r="L756652" s="472"/>
      <c r="M756652" s="472"/>
    </row>
    <row r="756653" spans="12:13" x14ac:dyDescent="0.25">
      <c r="L756653" s="472"/>
      <c r="M756653" s="472"/>
    </row>
    <row r="756725" spans="12:13" x14ac:dyDescent="0.25">
      <c r="L756725" s="472"/>
      <c r="M756725" s="472"/>
    </row>
    <row r="756726" spans="12:13" x14ac:dyDescent="0.25">
      <c r="L756726" s="472"/>
      <c r="M756726" s="472"/>
    </row>
    <row r="756727" spans="12:13" x14ac:dyDescent="0.25">
      <c r="L756727" s="472"/>
      <c r="M756727" s="472"/>
    </row>
    <row r="756799" spans="12:13" x14ac:dyDescent="0.25">
      <c r="L756799" s="472"/>
      <c r="M756799" s="472"/>
    </row>
    <row r="756800" spans="12:13" x14ac:dyDescent="0.25">
      <c r="L756800" s="472"/>
      <c r="M756800" s="472"/>
    </row>
    <row r="756801" spans="12:13" x14ac:dyDescent="0.25">
      <c r="L756801" s="472"/>
      <c r="M756801" s="472"/>
    </row>
    <row r="756873" spans="12:13" x14ac:dyDescent="0.25">
      <c r="L756873" s="472"/>
      <c r="M756873" s="472"/>
    </row>
    <row r="756874" spans="12:13" x14ac:dyDescent="0.25">
      <c r="L756874" s="472"/>
      <c r="M756874" s="472"/>
    </row>
    <row r="756875" spans="12:13" x14ac:dyDescent="0.25">
      <c r="L756875" s="472"/>
      <c r="M756875" s="472"/>
    </row>
    <row r="756947" spans="12:13" x14ac:dyDescent="0.25">
      <c r="L756947" s="472"/>
      <c r="M756947" s="472"/>
    </row>
    <row r="756948" spans="12:13" x14ac:dyDescent="0.25">
      <c r="L756948" s="472"/>
      <c r="M756948" s="472"/>
    </row>
    <row r="756949" spans="12:13" x14ac:dyDescent="0.25">
      <c r="L756949" s="472"/>
      <c r="M756949" s="472"/>
    </row>
    <row r="757021" spans="12:13" x14ac:dyDescent="0.25">
      <c r="L757021" s="472"/>
      <c r="M757021" s="472"/>
    </row>
    <row r="757022" spans="12:13" x14ac:dyDescent="0.25">
      <c r="L757022" s="472"/>
      <c r="M757022" s="472"/>
    </row>
    <row r="757023" spans="12:13" x14ac:dyDescent="0.25">
      <c r="L757023" s="472"/>
      <c r="M757023" s="472"/>
    </row>
    <row r="757095" spans="12:13" x14ac:dyDescent="0.25">
      <c r="L757095" s="472"/>
      <c r="M757095" s="472"/>
    </row>
    <row r="757096" spans="12:13" x14ac:dyDescent="0.25">
      <c r="L757096" s="472"/>
      <c r="M757096" s="472"/>
    </row>
    <row r="757097" spans="12:13" x14ac:dyDescent="0.25">
      <c r="L757097" s="472"/>
      <c r="M757097" s="472"/>
    </row>
    <row r="757169" spans="12:13" x14ac:dyDescent="0.25">
      <c r="L757169" s="472"/>
      <c r="M757169" s="472"/>
    </row>
    <row r="757170" spans="12:13" x14ac:dyDescent="0.25">
      <c r="L757170" s="472"/>
      <c r="M757170" s="472"/>
    </row>
    <row r="757171" spans="12:13" x14ac:dyDescent="0.25">
      <c r="L757171" s="472"/>
      <c r="M757171" s="472"/>
    </row>
    <row r="757243" spans="12:13" x14ac:dyDescent="0.25">
      <c r="L757243" s="472"/>
      <c r="M757243" s="472"/>
    </row>
    <row r="757244" spans="12:13" x14ac:dyDescent="0.25">
      <c r="L757244" s="472"/>
      <c r="M757244" s="472"/>
    </row>
    <row r="757245" spans="12:13" x14ac:dyDescent="0.25">
      <c r="L757245" s="472"/>
      <c r="M757245" s="472"/>
    </row>
    <row r="757317" spans="12:13" x14ac:dyDescent="0.25">
      <c r="L757317" s="472"/>
      <c r="M757317" s="472"/>
    </row>
    <row r="757318" spans="12:13" x14ac:dyDescent="0.25">
      <c r="L757318" s="472"/>
      <c r="M757318" s="472"/>
    </row>
    <row r="757319" spans="12:13" x14ac:dyDescent="0.25">
      <c r="L757319" s="472"/>
      <c r="M757319" s="472"/>
    </row>
    <row r="757391" spans="12:13" x14ac:dyDescent="0.25">
      <c r="L757391" s="472"/>
      <c r="M757391" s="472"/>
    </row>
    <row r="757392" spans="12:13" x14ac:dyDescent="0.25">
      <c r="L757392" s="472"/>
      <c r="M757392" s="472"/>
    </row>
    <row r="757393" spans="12:13" x14ac:dyDescent="0.25">
      <c r="L757393" s="472"/>
      <c r="M757393" s="472"/>
    </row>
    <row r="757465" spans="12:13" x14ac:dyDescent="0.25">
      <c r="L757465" s="472"/>
      <c r="M757465" s="472"/>
    </row>
    <row r="757466" spans="12:13" x14ac:dyDescent="0.25">
      <c r="L757466" s="472"/>
      <c r="M757466" s="472"/>
    </row>
    <row r="757467" spans="12:13" x14ac:dyDescent="0.25">
      <c r="L757467" s="472"/>
      <c r="M757467" s="472"/>
    </row>
    <row r="757539" spans="12:13" x14ac:dyDescent="0.25">
      <c r="L757539" s="472"/>
      <c r="M757539" s="472"/>
    </row>
    <row r="757540" spans="12:13" x14ac:dyDescent="0.25">
      <c r="L757540" s="472"/>
      <c r="M757540" s="472"/>
    </row>
    <row r="757541" spans="12:13" x14ac:dyDescent="0.25">
      <c r="L757541" s="472"/>
      <c r="M757541" s="472"/>
    </row>
    <row r="757613" spans="12:13" x14ac:dyDescent="0.25">
      <c r="L757613" s="472"/>
      <c r="M757613" s="472"/>
    </row>
    <row r="757614" spans="12:13" x14ac:dyDescent="0.25">
      <c r="L757614" s="472"/>
      <c r="M757614" s="472"/>
    </row>
    <row r="757615" spans="12:13" x14ac:dyDescent="0.25">
      <c r="L757615" s="472"/>
      <c r="M757615" s="472"/>
    </row>
    <row r="757687" spans="12:13" x14ac:dyDescent="0.25">
      <c r="L757687" s="472"/>
      <c r="M757687" s="472"/>
    </row>
    <row r="757688" spans="12:13" x14ac:dyDescent="0.25">
      <c r="L757688" s="472"/>
      <c r="M757688" s="472"/>
    </row>
    <row r="757689" spans="12:13" x14ac:dyDescent="0.25">
      <c r="L757689" s="472"/>
      <c r="M757689" s="472"/>
    </row>
    <row r="757761" spans="12:13" x14ac:dyDescent="0.25">
      <c r="L757761" s="472"/>
      <c r="M757761" s="472"/>
    </row>
    <row r="757762" spans="12:13" x14ac:dyDescent="0.25">
      <c r="L757762" s="472"/>
      <c r="M757762" s="472"/>
    </row>
    <row r="757763" spans="12:13" x14ac:dyDescent="0.25">
      <c r="L757763" s="472"/>
      <c r="M757763" s="472"/>
    </row>
    <row r="757835" spans="12:13" x14ac:dyDescent="0.25">
      <c r="L757835" s="472"/>
      <c r="M757835" s="472"/>
    </row>
    <row r="757836" spans="12:13" x14ac:dyDescent="0.25">
      <c r="L757836" s="472"/>
      <c r="M757836" s="472"/>
    </row>
    <row r="757837" spans="12:13" x14ac:dyDescent="0.25">
      <c r="L757837" s="472"/>
      <c r="M757837" s="472"/>
    </row>
    <row r="757909" spans="12:13" x14ac:dyDescent="0.25">
      <c r="L757909" s="472"/>
      <c r="M757909" s="472"/>
    </row>
    <row r="757910" spans="12:13" x14ac:dyDescent="0.25">
      <c r="L757910" s="472"/>
      <c r="M757910" s="472"/>
    </row>
    <row r="757911" spans="12:13" x14ac:dyDescent="0.25">
      <c r="L757911" s="472"/>
      <c r="M757911" s="472"/>
    </row>
    <row r="757983" spans="12:13" x14ac:dyDescent="0.25">
      <c r="L757983" s="472"/>
      <c r="M757983" s="472"/>
    </row>
    <row r="757984" spans="12:13" x14ac:dyDescent="0.25">
      <c r="L757984" s="472"/>
      <c r="M757984" s="472"/>
    </row>
    <row r="757985" spans="12:13" x14ac:dyDescent="0.25">
      <c r="L757985" s="472"/>
      <c r="M757985" s="472"/>
    </row>
    <row r="758057" spans="12:13" x14ac:dyDescent="0.25">
      <c r="L758057" s="472"/>
      <c r="M758057" s="472"/>
    </row>
    <row r="758058" spans="12:13" x14ac:dyDescent="0.25">
      <c r="L758058" s="472"/>
      <c r="M758058" s="472"/>
    </row>
    <row r="758059" spans="12:13" x14ac:dyDescent="0.25">
      <c r="L758059" s="472"/>
      <c r="M758059" s="472"/>
    </row>
    <row r="758131" spans="12:13" x14ac:dyDescent="0.25">
      <c r="L758131" s="472"/>
      <c r="M758131" s="472"/>
    </row>
    <row r="758132" spans="12:13" x14ac:dyDescent="0.25">
      <c r="L758132" s="472"/>
      <c r="M758132" s="472"/>
    </row>
    <row r="758133" spans="12:13" x14ac:dyDescent="0.25">
      <c r="L758133" s="472"/>
      <c r="M758133" s="472"/>
    </row>
    <row r="758205" spans="12:13" x14ac:dyDescent="0.25">
      <c r="L758205" s="472"/>
      <c r="M758205" s="472"/>
    </row>
    <row r="758206" spans="12:13" x14ac:dyDescent="0.25">
      <c r="L758206" s="472"/>
      <c r="M758206" s="472"/>
    </row>
    <row r="758207" spans="12:13" x14ac:dyDescent="0.25">
      <c r="L758207" s="472"/>
      <c r="M758207" s="472"/>
    </row>
    <row r="758279" spans="12:13" x14ac:dyDescent="0.25">
      <c r="L758279" s="472"/>
      <c r="M758279" s="472"/>
    </row>
    <row r="758280" spans="12:13" x14ac:dyDescent="0.25">
      <c r="L758280" s="472"/>
      <c r="M758280" s="472"/>
    </row>
    <row r="758281" spans="12:13" x14ac:dyDescent="0.25">
      <c r="L758281" s="472"/>
      <c r="M758281" s="472"/>
    </row>
    <row r="758353" spans="12:13" x14ac:dyDescent="0.25">
      <c r="L758353" s="472"/>
      <c r="M758353" s="472"/>
    </row>
    <row r="758354" spans="12:13" x14ac:dyDescent="0.25">
      <c r="L758354" s="472"/>
      <c r="M758354" s="472"/>
    </row>
    <row r="758355" spans="12:13" x14ac:dyDescent="0.25">
      <c r="L758355" s="472"/>
      <c r="M758355" s="472"/>
    </row>
    <row r="758427" spans="12:13" x14ac:dyDescent="0.25">
      <c r="L758427" s="472"/>
      <c r="M758427" s="472"/>
    </row>
    <row r="758428" spans="12:13" x14ac:dyDescent="0.25">
      <c r="L758428" s="472"/>
      <c r="M758428" s="472"/>
    </row>
    <row r="758429" spans="12:13" x14ac:dyDescent="0.25">
      <c r="L758429" s="472"/>
      <c r="M758429" s="472"/>
    </row>
    <row r="758501" spans="12:13" x14ac:dyDescent="0.25">
      <c r="L758501" s="472"/>
      <c r="M758501" s="472"/>
    </row>
    <row r="758502" spans="12:13" x14ac:dyDescent="0.25">
      <c r="L758502" s="472"/>
      <c r="M758502" s="472"/>
    </row>
    <row r="758503" spans="12:13" x14ac:dyDescent="0.25">
      <c r="L758503" s="472"/>
      <c r="M758503" s="472"/>
    </row>
    <row r="758575" spans="12:13" x14ac:dyDescent="0.25">
      <c r="L758575" s="472"/>
      <c r="M758575" s="472"/>
    </row>
    <row r="758576" spans="12:13" x14ac:dyDescent="0.25">
      <c r="L758576" s="472"/>
      <c r="M758576" s="472"/>
    </row>
    <row r="758577" spans="12:13" x14ac:dyDescent="0.25">
      <c r="L758577" s="472"/>
      <c r="M758577" s="472"/>
    </row>
    <row r="758649" spans="12:13" x14ac:dyDescent="0.25">
      <c r="L758649" s="472"/>
      <c r="M758649" s="472"/>
    </row>
    <row r="758650" spans="12:13" x14ac:dyDescent="0.25">
      <c r="L758650" s="472"/>
      <c r="M758650" s="472"/>
    </row>
    <row r="758651" spans="12:13" x14ac:dyDescent="0.25">
      <c r="L758651" s="472"/>
      <c r="M758651" s="472"/>
    </row>
    <row r="758723" spans="12:13" x14ac:dyDescent="0.25">
      <c r="L758723" s="472"/>
      <c r="M758723" s="472"/>
    </row>
    <row r="758724" spans="12:13" x14ac:dyDescent="0.25">
      <c r="L758724" s="472"/>
      <c r="M758724" s="472"/>
    </row>
    <row r="758725" spans="12:13" x14ac:dyDescent="0.25">
      <c r="L758725" s="472"/>
      <c r="M758725" s="472"/>
    </row>
    <row r="758797" spans="12:13" x14ac:dyDescent="0.25">
      <c r="L758797" s="472"/>
      <c r="M758797" s="472"/>
    </row>
    <row r="758798" spans="12:13" x14ac:dyDescent="0.25">
      <c r="L758798" s="472"/>
      <c r="M758798" s="472"/>
    </row>
    <row r="758799" spans="12:13" x14ac:dyDescent="0.25">
      <c r="L758799" s="472"/>
      <c r="M758799" s="472"/>
    </row>
    <row r="758871" spans="12:13" x14ac:dyDescent="0.25">
      <c r="L758871" s="472"/>
      <c r="M758871" s="472"/>
    </row>
    <row r="758872" spans="12:13" x14ac:dyDescent="0.25">
      <c r="L758872" s="472"/>
      <c r="M758872" s="472"/>
    </row>
    <row r="758873" spans="12:13" x14ac:dyDescent="0.25">
      <c r="L758873" s="472"/>
      <c r="M758873" s="472"/>
    </row>
    <row r="758945" spans="12:13" x14ac:dyDescent="0.25">
      <c r="L758945" s="472"/>
      <c r="M758945" s="472"/>
    </row>
    <row r="758946" spans="12:13" x14ac:dyDescent="0.25">
      <c r="L758946" s="472"/>
      <c r="M758946" s="472"/>
    </row>
    <row r="758947" spans="12:13" x14ac:dyDescent="0.25">
      <c r="L758947" s="472"/>
      <c r="M758947" s="472"/>
    </row>
    <row r="759019" spans="12:13" x14ac:dyDescent="0.25">
      <c r="L759019" s="472"/>
      <c r="M759019" s="472"/>
    </row>
    <row r="759020" spans="12:13" x14ac:dyDescent="0.25">
      <c r="L759020" s="472"/>
      <c r="M759020" s="472"/>
    </row>
    <row r="759021" spans="12:13" x14ac:dyDescent="0.25">
      <c r="L759021" s="472"/>
      <c r="M759021" s="472"/>
    </row>
    <row r="759093" spans="12:13" x14ac:dyDescent="0.25">
      <c r="L759093" s="472"/>
      <c r="M759093" s="472"/>
    </row>
    <row r="759094" spans="12:13" x14ac:dyDescent="0.25">
      <c r="L759094" s="472"/>
      <c r="M759094" s="472"/>
    </row>
    <row r="759095" spans="12:13" x14ac:dyDescent="0.25">
      <c r="L759095" s="472"/>
      <c r="M759095" s="472"/>
    </row>
    <row r="759167" spans="12:13" x14ac:dyDescent="0.25">
      <c r="L759167" s="472"/>
      <c r="M759167" s="472"/>
    </row>
    <row r="759168" spans="12:13" x14ac:dyDescent="0.25">
      <c r="L759168" s="472"/>
      <c r="M759168" s="472"/>
    </row>
    <row r="759169" spans="12:13" x14ac:dyDescent="0.25">
      <c r="L759169" s="472"/>
      <c r="M759169" s="472"/>
    </row>
    <row r="759241" spans="12:13" x14ac:dyDescent="0.25">
      <c r="L759241" s="472"/>
      <c r="M759241" s="472"/>
    </row>
    <row r="759242" spans="12:13" x14ac:dyDescent="0.25">
      <c r="L759242" s="472"/>
      <c r="M759242" s="472"/>
    </row>
    <row r="759243" spans="12:13" x14ac:dyDescent="0.25">
      <c r="L759243" s="472"/>
      <c r="M759243" s="472"/>
    </row>
    <row r="759315" spans="12:13" x14ac:dyDescent="0.25">
      <c r="L759315" s="472"/>
      <c r="M759315" s="472"/>
    </row>
    <row r="759316" spans="12:13" x14ac:dyDescent="0.25">
      <c r="L759316" s="472"/>
      <c r="M759316" s="472"/>
    </row>
    <row r="759317" spans="12:13" x14ac:dyDescent="0.25">
      <c r="L759317" s="472"/>
      <c r="M759317" s="472"/>
    </row>
    <row r="759389" spans="12:13" x14ac:dyDescent="0.25">
      <c r="L759389" s="472"/>
      <c r="M759389" s="472"/>
    </row>
    <row r="759390" spans="12:13" x14ac:dyDescent="0.25">
      <c r="L759390" s="472"/>
      <c r="M759390" s="472"/>
    </row>
    <row r="759391" spans="12:13" x14ac:dyDescent="0.25">
      <c r="L759391" s="472"/>
      <c r="M759391" s="472"/>
    </row>
    <row r="759463" spans="12:13" x14ac:dyDescent="0.25">
      <c r="L759463" s="472"/>
      <c r="M759463" s="472"/>
    </row>
    <row r="759464" spans="12:13" x14ac:dyDescent="0.25">
      <c r="L759464" s="472"/>
      <c r="M759464" s="472"/>
    </row>
    <row r="759465" spans="12:13" x14ac:dyDescent="0.25">
      <c r="L759465" s="472"/>
      <c r="M759465" s="472"/>
    </row>
    <row r="759537" spans="12:13" x14ac:dyDescent="0.25">
      <c r="L759537" s="472"/>
      <c r="M759537" s="472"/>
    </row>
    <row r="759538" spans="12:13" x14ac:dyDescent="0.25">
      <c r="L759538" s="472"/>
      <c r="M759538" s="472"/>
    </row>
    <row r="759539" spans="12:13" x14ac:dyDescent="0.25">
      <c r="L759539" s="472"/>
      <c r="M759539" s="472"/>
    </row>
    <row r="759611" spans="12:13" x14ac:dyDescent="0.25">
      <c r="L759611" s="472"/>
      <c r="M759611" s="472"/>
    </row>
    <row r="759612" spans="12:13" x14ac:dyDescent="0.25">
      <c r="L759612" s="472"/>
      <c r="M759612" s="472"/>
    </row>
    <row r="759613" spans="12:13" x14ac:dyDescent="0.25">
      <c r="L759613" s="472"/>
      <c r="M759613" s="472"/>
    </row>
    <row r="759685" spans="12:13" x14ac:dyDescent="0.25">
      <c r="L759685" s="472"/>
      <c r="M759685" s="472"/>
    </row>
    <row r="759686" spans="12:13" x14ac:dyDescent="0.25">
      <c r="L759686" s="472"/>
      <c r="M759686" s="472"/>
    </row>
    <row r="759687" spans="12:13" x14ac:dyDescent="0.25">
      <c r="L759687" s="472"/>
      <c r="M759687" s="472"/>
    </row>
    <row r="759759" spans="12:13" x14ac:dyDescent="0.25">
      <c r="L759759" s="472"/>
      <c r="M759759" s="472"/>
    </row>
    <row r="759760" spans="12:13" x14ac:dyDescent="0.25">
      <c r="L759760" s="472"/>
      <c r="M759760" s="472"/>
    </row>
    <row r="759761" spans="12:13" x14ac:dyDescent="0.25">
      <c r="L759761" s="472"/>
      <c r="M759761" s="472"/>
    </row>
    <row r="759833" spans="12:13" x14ac:dyDescent="0.25">
      <c r="L759833" s="472"/>
      <c r="M759833" s="472"/>
    </row>
    <row r="759834" spans="12:13" x14ac:dyDescent="0.25">
      <c r="L759834" s="472"/>
      <c r="M759834" s="472"/>
    </row>
    <row r="759835" spans="12:13" x14ac:dyDescent="0.25">
      <c r="L759835" s="472"/>
      <c r="M759835" s="472"/>
    </row>
    <row r="759907" spans="12:13" x14ac:dyDescent="0.25">
      <c r="L759907" s="472"/>
      <c r="M759907" s="472"/>
    </row>
    <row r="759908" spans="12:13" x14ac:dyDescent="0.25">
      <c r="L759908" s="472"/>
      <c r="M759908" s="472"/>
    </row>
    <row r="759909" spans="12:13" x14ac:dyDescent="0.25">
      <c r="L759909" s="472"/>
      <c r="M759909" s="472"/>
    </row>
    <row r="759981" spans="12:13" x14ac:dyDescent="0.25">
      <c r="L759981" s="472"/>
      <c r="M759981" s="472"/>
    </row>
    <row r="759982" spans="12:13" x14ac:dyDescent="0.25">
      <c r="L759982" s="472"/>
      <c r="M759982" s="472"/>
    </row>
    <row r="759983" spans="12:13" x14ac:dyDescent="0.25">
      <c r="L759983" s="472"/>
      <c r="M759983" s="472"/>
    </row>
    <row r="760055" spans="12:13" x14ac:dyDescent="0.25">
      <c r="L760055" s="472"/>
      <c r="M760055" s="472"/>
    </row>
    <row r="760056" spans="12:13" x14ac:dyDescent="0.25">
      <c r="L760056" s="472"/>
      <c r="M760056" s="472"/>
    </row>
    <row r="760057" spans="12:13" x14ac:dyDescent="0.25">
      <c r="L760057" s="472"/>
      <c r="M760057" s="472"/>
    </row>
    <row r="760129" spans="12:13" x14ac:dyDescent="0.25">
      <c r="L760129" s="472"/>
      <c r="M760129" s="472"/>
    </row>
    <row r="760130" spans="12:13" x14ac:dyDescent="0.25">
      <c r="L760130" s="472"/>
      <c r="M760130" s="472"/>
    </row>
    <row r="760131" spans="12:13" x14ac:dyDescent="0.25">
      <c r="L760131" s="472"/>
      <c r="M760131" s="472"/>
    </row>
    <row r="760203" spans="12:13" x14ac:dyDescent="0.25">
      <c r="L760203" s="472"/>
      <c r="M760203" s="472"/>
    </row>
    <row r="760204" spans="12:13" x14ac:dyDescent="0.25">
      <c r="L760204" s="472"/>
      <c r="M760204" s="472"/>
    </row>
    <row r="760205" spans="12:13" x14ac:dyDescent="0.25">
      <c r="L760205" s="472"/>
      <c r="M760205" s="472"/>
    </row>
    <row r="760277" spans="12:13" x14ac:dyDescent="0.25">
      <c r="L760277" s="472"/>
      <c r="M760277" s="472"/>
    </row>
    <row r="760278" spans="12:13" x14ac:dyDescent="0.25">
      <c r="L760278" s="472"/>
      <c r="M760278" s="472"/>
    </row>
    <row r="760279" spans="12:13" x14ac:dyDescent="0.25">
      <c r="L760279" s="472"/>
      <c r="M760279" s="472"/>
    </row>
    <row r="760351" spans="12:13" x14ac:dyDescent="0.25">
      <c r="L760351" s="472"/>
      <c r="M760351" s="472"/>
    </row>
    <row r="760352" spans="12:13" x14ac:dyDescent="0.25">
      <c r="L760352" s="472"/>
      <c r="M760352" s="472"/>
    </row>
    <row r="760353" spans="12:13" x14ac:dyDescent="0.25">
      <c r="L760353" s="472"/>
      <c r="M760353" s="472"/>
    </row>
    <row r="760425" spans="12:13" x14ac:dyDescent="0.25">
      <c r="L760425" s="472"/>
      <c r="M760425" s="472"/>
    </row>
    <row r="760426" spans="12:13" x14ac:dyDescent="0.25">
      <c r="L760426" s="472"/>
      <c r="M760426" s="472"/>
    </row>
    <row r="760427" spans="12:13" x14ac:dyDescent="0.25">
      <c r="L760427" s="472"/>
      <c r="M760427" s="472"/>
    </row>
    <row r="760499" spans="12:13" x14ac:dyDescent="0.25">
      <c r="L760499" s="472"/>
      <c r="M760499" s="472"/>
    </row>
    <row r="760500" spans="12:13" x14ac:dyDescent="0.25">
      <c r="L760500" s="472"/>
      <c r="M760500" s="472"/>
    </row>
    <row r="760501" spans="12:13" x14ac:dyDescent="0.25">
      <c r="L760501" s="472"/>
      <c r="M760501" s="472"/>
    </row>
    <row r="760573" spans="12:13" x14ac:dyDescent="0.25">
      <c r="L760573" s="472"/>
      <c r="M760573" s="472"/>
    </row>
    <row r="760574" spans="12:13" x14ac:dyDescent="0.25">
      <c r="L760574" s="472"/>
      <c r="M760574" s="472"/>
    </row>
    <row r="760575" spans="12:13" x14ac:dyDescent="0.25">
      <c r="L760575" s="472"/>
      <c r="M760575" s="472"/>
    </row>
    <row r="760647" spans="12:13" x14ac:dyDescent="0.25">
      <c r="L760647" s="472"/>
      <c r="M760647" s="472"/>
    </row>
    <row r="760648" spans="12:13" x14ac:dyDescent="0.25">
      <c r="L760648" s="472"/>
      <c r="M760648" s="472"/>
    </row>
    <row r="760649" spans="12:13" x14ac:dyDescent="0.25">
      <c r="L760649" s="472"/>
      <c r="M760649" s="472"/>
    </row>
    <row r="760721" spans="12:13" x14ac:dyDescent="0.25">
      <c r="L760721" s="472"/>
      <c r="M760721" s="472"/>
    </row>
    <row r="760722" spans="12:13" x14ac:dyDescent="0.25">
      <c r="L760722" s="472"/>
      <c r="M760722" s="472"/>
    </row>
    <row r="760723" spans="12:13" x14ac:dyDescent="0.25">
      <c r="L760723" s="472"/>
      <c r="M760723" s="472"/>
    </row>
    <row r="760795" spans="12:13" x14ac:dyDescent="0.25">
      <c r="L760795" s="472"/>
      <c r="M760795" s="472"/>
    </row>
    <row r="760796" spans="12:13" x14ac:dyDescent="0.25">
      <c r="L760796" s="472"/>
      <c r="M760796" s="472"/>
    </row>
    <row r="760797" spans="12:13" x14ac:dyDescent="0.25">
      <c r="L760797" s="472"/>
      <c r="M760797" s="472"/>
    </row>
    <row r="760869" spans="12:13" x14ac:dyDescent="0.25">
      <c r="L760869" s="472"/>
      <c r="M760869" s="472"/>
    </row>
    <row r="760870" spans="12:13" x14ac:dyDescent="0.25">
      <c r="L760870" s="472"/>
      <c r="M760870" s="472"/>
    </row>
    <row r="760871" spans="12:13" x14ac:dyDescent="0.25">
      <c r="L760871" s="472"/>
      <c r="M760871" s="472"/>
    </row>
    <row r="760943" spans="12:13" x14ac:dyDescent="0.25">
      <c r="L760943" s="472"/>
      <c r="M760943" s="472"/>
    </row>
    <row r="760944" spans="12:13" x14ac:dyDescent="0.25">
      <c r="L760944" s="472"/>
      <c r="M760944" s="472"/>
    </row>
    <row r="760945" spans="12:13" x14ac:dyDescent="0.25">
      <c r="L760945" s="472"/>
      <c r="M760945" s="472"/>
    </row>
    <row r="761017" spans="12:13" x14ac:dyDescent="0.25">
      <c r="L761017" s="472"/>
      <c r="M761017" s="472"/>
    </row>
    <row r="761018" spans="12:13" x14ac:dyDescent="0.25">
      <c r="L761018" s="472"/>
      <c r="M761018" s="472"/>
    </row>
    <row r="761019" spans="12:13" x14ac:dyDescent="0.25">
      <c r="L761019" s="472"/>
      <c r="M761019" s="472"/>
    </row>
    <row r="761091" spans="12:13" x14ac:dyDescent="0.25">
      <c r="L761091" s="472"/>
      <c r="M761091" s="472"/>
    </row>
    <row r="761092" spans="12:13" x14ac:dyDescent="0.25">
      <c r="L761092" s="472"/>
      <c r="M761092" s="472"/>
    </row>
    <row r="761093" spans="12:13" x14ac:dyDescent="0.25">
      <c r="L761093" s="472"/>
      <c r="M761093" s="472"/>
    </row>
    <row r="761165" spans="12:13" x14ac:dyDescent="0.25">
      <c r="L761165" s="472"/>
      <c r="M761165" s="472"/>
    </row>
    <row r="761166" spans="12:13" x14ac:dyDescent="0.25">
      <c r="L761166" s="472"/>
      <c r="M761166" s="472"/>
    </row>
    <row r="761167" spans="12:13" x14ac:dyDescent="0.25">
      <c r="L761167" s="472"/>
      <c r="M761167" s="472"/>
    </row>
    <row r="761239" spans="12:13" x14ac:dyDescent="0.25">
      <c r="L761239" s="472"/>
      <c r="M761239" s="472"/>
    </row>
    <row r="761240" spans="12:13" x14ac:dyDescent="0.25">
      <c r="L761240" s="472"/>
      <c r="M761240" s="472"/>
    </row>
    <row r="761241" spans="12:13" x14ac:dyDescent="0.25">
      <c r="L761241" s="472"/>
      <c r="M761241" s="472"/>
    </row>
    <row r="761313" spans="12:13" x14ac:dyDescent="0.25">
      <c r="L761313" s="472"/>
      <c r="M761313" s="472"/>
    </row>
    <row r="761314" spans="12:13" x14ac:dyDescent="0.25">
      <c r="L761314" s="472"/>
      <c r="M761314" s="472"/>
    </row>
    <row r="761315" spans="12:13" x14ac:dyDescent="0.25">
      <c r="L761315" s="472"/>
      <c r="M761315" s="472"/>
    </row>
    <row r="761387" spans="12:13" x14ac:dyDescent="0.25">
      <c r="L761387" s="472"/>
      <c r="M761387" s="472"/>
    </row>
    <row r="761388" spans="12:13" x14ac:dyDescent="0.25">
      <c r="L761388" s="472"/>
      <c r="M761388" s="472"/>
    </row>
    <row r="761389" spans="12:13" x14ac:dyDescent="0.25">
      <c r="L761389" s="472"/>
      <c r="M761389" s="472"/>
    </row>
    <row r="761461" spans="12:13" x14ac:dyDescent="0.25">
      <c r="L761461" s="472"/>
      <c r="M761461" s="472"/>
    </row>
    <row r="761462" spans="12:13" x14ac:dyDescent="0.25">
      <c r="L761462" s="472"/>
      <c r="M761462" s="472"/>
    </row>
    <row r="761463" spans="12:13" x14ac:dyDescent="0.25">
      <c r="L761463" s="472"/>
      <c r="M761463" s="472"/>
    </row>
    <row r="761535" spans="12:13" x14ac:dyDescent="0.25">
      <c r="L761535" s="472"/>
      <c r="M761535" s="472"/>
    </row>
    <row r="761536" spans="12:13" x14ac:dyDescent="0.25">
      <c r="L761536" s="472"/>
      <c r="M761536" s="472"/>
    </row>
    <row r="761537" spans="12:13" x14ac:dyDescent="0.25">
      <c r="L761537" s="472"/>
      <c r="M761537" s="472"/>
    </row>
    <row r="761609" spans="12:13" x14ac:dyDescent="0.25">
      <c r="L761609" s="472"/>
      <c r="M761609" s="472"/>
    </row>
    <row r="761610" spans="12:13" x14ac:dyDescent="0.25">
      <c r="L761610" s="472"/>
      <c r="M761610" s="472"/>
    </row>
    <row r="761611" spans="12:13" x14ac:dyDescent="0.25">
      <c r="L761611" s="472"/>
      <c r="M761611" s="472"/>
    </row>
    <row r="761683" spans="12:13" x14ac:dyDescent="0.25">
      <c r="L761683" s="472"/>
      <c r="M761683" s="472"/>
    </row>
    <row r="761684" spans="12:13" x14ac:dyDescent="0.25">
      <c r="L761684" s="472"/>
      <c r="M761684" s="472"/>
    </row>
    <row r="761685" spans="12:13" x14ac:dyDescent="0.25">
      <c r="L761685" s="472"/>
      <c r="M761685" s="472"/>
    </row>
    <row r="761757" spans="12:13" x14ac:dyDescent="0.25">
      <c r="L761757" s="472"/>
      <c r="M761757" s="472"/>
    </row>
    <row r="761758" spans="12:13" x14ac:dyDescent="0.25">
      <c r="L761758" s="472"/>
      <c r="M761758" s="472"/>
    </row>
    <row r="761759" spans="12:13" x14ac:dyDescent="0.25">
      <c r="L761759" s="472"/>
      <c r="M761759" s="472"/>
    </row>
    <row r="761831" spans="12:13" x14ac:dyDescent="0.25">
      <c r="L761831" s="472"/>
      <c r="M761831" s="472"/>
    </row>
    <row r="761832" spans="12:13" x14ac:dyDescent="0.25">
      <c r="L761832" s="472"/>
      <c r="M761832" s="472"/>
    </row>
    <row r="761833" spans="12:13" x14ac:dyDescent="0.25">
      <c r="L761833" s="472"/>
      <c r="M761833" s="472"/>
    </row>
    <row r="761905" spans="12:13" x14ac:dyDescent="0.25">
      <c r="L761905" s="472"/>
      <c r="M761905" s="472"/>
    </row>
    <row r="761906" spans="12:13" x14ac:dyDescent="0.25">
      <c r="L761906" s="472"/>
      <c r="M761906" s="472"/>
    </row>
    <row r="761907" spans="12:13" x14ac:dyDescent="0.25">
      <c r="L761907" s="472"/>
      <c r="M761907" s="472"/>
    </row>
    <row r="761979" spans="12:13" x14ac:dyDescent="0.25">
      <c r="L761979" s="472"/>
      <c r="M761979" s="472"/>
    </row>
    <row r="761980" spans="12:13" x14ac:dyDescent="0.25">
      <c r="L761980" s="472"/>
      <c r="M761980" s="472"/>
    </row>
    <row r="761981" spans="12:13" x14ac:dyDescent="0.25">
      <c r="L761981" s="472"/>
      <c r="M761981" s="472"/>
    </row>
    <row r="762053" spans="12:13" x14ac:dyDescent="0.25">
      <c r="L762053" s="472"/>
      <c r="M762053" s="472"/>
    </row>
    <row r="762054" spans="12:13" x14ac:dyDescent="0.25">
      <c r="L762054" s="472"/>
      <c r="M762054" s="472"/>
    </row>
    <row r="762055" spans="12:13" x14ac:dyDescent="0.25">
      <c r="L762055" s="472"/>
      <c r="M762055" s="472"/>
    </row>
    <row r="762127" spans="12:13" x14ac:dyDescent="0.25">
      <c r="L762127" s="472"/>
      <c r="M762127" s="472"/>
    </row>
    <row r="762128" spans="12:13" x14ac:dyDescent="0.25">
      <c r="L762128" s="472"/>
      <c r="M762128" s="472"/>
    </row>
    <row r="762129" spans="12:13" x14ac:dyDescent="0.25">
      <c r="L762129" s="472"/>
      <c r="M762129" s="472"/>
    </row>
    <row r="762201" spans="12:13" x14ac:dyDescent="0.25">
      <c r="L762201" s="472"/>
      <c r="M762201" s="472"/>
    </row>
    <row r="762202" spans="12:13" x14ac:dyDescent="0.25">
      <c r="L762202" s="472"/>
      <c r="M762202" s="472"/>
    </row>
    <row r="762203" spans="12:13" x14ac:dyDescent="0.25">
      <c r="L762203" s="472"/>
      <c r="M762203" s="472"/>
    </row>
    <row r="762275" spans="12:13" x14ac:dyDescent="0.25">
      <c r="L762275" s="472"/>
      <c r="M762275" s="472"/>
    </row>
    <row r="762276" spans="12:13" x14ac:dyDescent="0.25">
      <c r="L762276" s="472"/>
      <c r="M762276" s="472"/>
    </row>
    <row r="762277" spans="12:13" x14ac:dyDescent="0.25">
      <c r="L762277" s="472"/>
      <c r="M762277" s="472"/>
    </row>
    <row r="762349" spans="12:13" x14ac:dyDescent="0.25">
      <c r="L762349" s="472"/>
      <c r="M762349" s="472"/>
    </row>
    <row r="762350" spans="12:13" x14ac:dyDescent="0.25">
      <c r="L762350" s="472"/>
      <c r="M762350" s="472"/>
    </row>
    <row r="762351" spans="12:13" x14ac:dyDescent="0.25">
      <c r="L762351" s="472"/>
      <c r="M762351" s="472"/>
    </row>
    <row r="762423" spans="12:13" x14ac:dyDescent="0.25">
      <c r="L762423" s="472"/>
      <c r="M762423" s="472"/>
    </row>
    <row r="762424" spans="12:13" x14ac:dyDescent="0.25">
      <c r="L762424" s="472"/>
      <c r="M762424" s="472"/>
    </row>
    <row r="762425" spans="12:13" x14ac:dyDescent="0.25">
      <c r="L762425" s="472"/>
      <c r="M762425" s="472"/>
    </row>
    <row r="762497" spans="12:13" x14ac:dyDescent="0.25">
      <c r="L762497" s="472"/>
      <c r="M762497" s="472"/>
    </row>
    <row r="762498" spans="12:13" x14ac:dyDescent="0.25">
      <c r="L762498" s="472"/>
      <c r="M762498" s="472"/>
    </row>
    <row r="762499" spans="12:13" x14ac:dyDescent="0.25">
      <c r="L762499" s="472"/>
      <c r="M762499" s="472"/>
    </row>
    <row r="762571" spans="12:13" x14ac:dyDescent="0.25">
      <c r="L762571" s="472"/>
      <c r="M762571" s="472"/>
    </row>
    <row r="762572" spans="12:13" x14ac:dyDescent="0.25">
      <c r="L762572" s="472"/>
      <c r="M762572" s="472"/>
    </row>
    <row r="762573" spans="12:13" x14ac:dyDescent="0.25">
      <c r="L762573" s="472"/>
      <c r="M762573" s="472"/>
    </row>
    <row r="762645" spans="12:13" x14ac:dyDescent="0.25">
      <c r="L762645" s="472"/>
      <c r="M762645" s="472"/>
    </row>
    <row r="762646" spans="12:13" x14ac:dyDescent="0.25">
      <c r="L762646" s="472"/>
      <c r="M762646" s="472"/>
    </row>
    <row r="762647" spans="12:13" x14ac:dyDescent="0.25">
      <c r="L762647" s="472"/>
      <c r="M762647" s="472"/>
    </row>
    <row r="762719" spans="12:13" x14ac:dyDescent="0.25">
      <c r="L762719" s="472"/>
      <c r="M762719" s="472"/>
    </row>
    <row r="762720" spans="12:13" x14ac:dyDescent="0.25">
      <c r="L762720" s="472"/>
      <c r="M762720" s="472"/>
    </row>
    <row r="762721" spans="12:13" x14ac:dyDescent="0.25">
      <c r="L762721" s="472"/>
      <c r="M762721" s="472"/>
    </row>
    <row r="762793" spans="12:13" x14ac:dyDescent="0.25">
      <c r="L762793" s="472"/>
      <c r="M762793" s="472"/>
    </row>
    <row r="762794" spans="12:13" x14ac:dyDescent="0.25">
      <c r="L762794" s="472"/>
      <c r="M762794" s="472"/>
    </row>
    <row r="762795" spans="12:13" x14ac:dyDescent="0.25">
      <c r="L762795" s="472"/>
      <c r="M762795" s="472"/>
    </row>
    <row r="762867" spans="12:13" x14ac:dyDescent="0.25">
      <c r="L762867" s="472"/>
      <c r="M762867" s="472"/>
    </row>
    <row r="762868" spans="12:13" x14ac:dyDescent="0.25">
      <c r="L762868" s="472"/>
      <c r="M762868" s="472"/>
    </row>
    <row r="762869" spans="12:13" x14ac:dyDescent="0.25">
      <c r="L762869" s="472"/>
      <c r="M762869" s="472"/>
    </row>
    <row r="762941" spans="12:13" x14ac:dyDescent="0.25">
      <c r="L762941" s="472"/>
      <c r="M762941" s="472"/>
    </row>
    <row r="762942" spans="12:13" x14ac:dyDescent="0.25">
      <c r="L762942" s="472"/>
      <c r="M762942" s="472"/>
    </row>
    <row r="762943" spans="12:13" x14ac:dyDescent="0.25">
      <c r="L762943" s="472"/>
      <c r="M762943" s="472"/>
    </row>
    <row r="763015" spans="12:13" x14ac:dyDescent="0.25">
      <c r="L763015" s="472"/>
      <c r="M763015" s="472"/>
    </row>
    <row r="763016" spans="12:13" x14ac:dyDescent="0.25">
      <c r="L763016" s="472"/>
      <c r="M763016" s="472"/>
    </row>
    <row r="763017" spans="12:13" x14ac:dyDescent="0.25">
      <c r="L763017" s="472"/>
      <c r="M763017" s="472"/>
    </row>
    <row r="763089" spans="12:13" x14ac:dyDescent="0.25">
      <c r="L763089" s="472"/>
      <c r="M763089" s="472"/>
    </row>
    <row r="763090" spans="12:13" x14ac:dyDescent="0.25">
      <c r="L763090" s="472"/>
      <c r="M763090" s="472"/>
    </row>
    <row r="763091" spans="12:13" x14ac:dyDescent="0.25">
      <c r="L763091" s="472"/>
      <c r="M763091" s="472"/>
    </row>
    <row r="763163" spans="12:13" x14ac:dyDescent="0.25">
      <c r="L763163" s="472"/>
      <c r="M763163" s="472"/>
    </row>
    <row r="763164" spans="12:13" x14ac:dyDescent="0.25">
      <c r="L763164" s="472"/>
      <c r="M763164" s="472"/>
    </row>
    <row r="763165" spans="12:13" x14ac:dyDescent="0.25">
      <c r="L763165" s="472"/>
      <c r="M763165" s="472"/>
    </row>
    <row r="763237" spans="12:13" x14ac:dyDescent="0.25">
      <c r="L763237" s="472"/>
      <c r="M763237" s="472"/>
    </row>
    <row r="763238" spans="12:13" x14ac:dyDescent="0.25">
      <c r="L763238" s="472"/>
      <c r="M763238" s="472"/>
    </row>
    <row r="763239" spans="12:13" x14ac:dyDescent="0.25">
      <c r="L763239" s="472"/>
      <c r="M763239" s="472"/>
    </row>
    <row r="763311" spans="12:13" x14ac:dyDescent="0.25">
      <c r="L763311" s="472"/>
      <c r="M763311" s="472"/>
    </row>
    <row r="763312" spans="12:13" x14ac:dyDescent="0.25">
      <c r="L763312" s="472"/>
      <c r="M763312" s="472"/>
    </row>
    <row r="763313" spans="12:13" x14ac:dyDescent="0.25">
      <c r="L763313" s="472"/>
      <c r="M763313" s="472"/>
    </row>
    <row r="763385" spans="12:13" x14ac:dyDescent="0.25">
      <c r="L763385" s="472"/>
      <c r="M763385" s="472"/>
    </row>
    <row r="763386" spans="12:13" x14ac:dyDescent="0.25">
      <c r="L763386" s="472"/>
      <c r="M763386" s="472"/>
    </row>
    <row r="763387" spans="12:13" x14ac:dyDescent="0.25">
      <c r="L763387" s="472"/>
      <c r="M763387" s="472"/>
    </row>
    <row r="763459" spans="12:13" x14ac:dyDescent="0.25">
      <c r="L763459" s="472"/>
      <c r="M763459" s="472"/>
    </row>
    <row r="763460" spans="12:13" x14ac:dyDescent="0.25">
      <c r="L763460" s="472"/>
      <c r="M763460" s="472"/>
    </row>
    <row r="763461" spans="12:13" x14ac:dyDescent="0.25">
      <c r="L763461" s="472"/>
      <c r="M763461" s="472"/>
    </row>
    <row r="763533" spans="12:13" x14ac:dyDescent="0.25">
      <c r="L763533" s="472"/>
      <c r="M763533" s="472"/>
    </row>
    <row r="763534" spans="12:13" x14ac:dyDescent="0.25">
      <c r="L763534" s="472"/>
      <c r="M763534" s="472"/>
    </row>
    <row r="763535" spans="12:13" x14ac:dyDescent="0.25">
      <c r="L763535" s="472"/>
      <c r="M763535" s="472"/>
    </row>
    <row r="763607" spans="12:13" x14ac:dyDescent="0.25">
      <c r="L763607" s="472"/>
      <c r="M763607" s="472"/>
    </row>
    <row r="763608" spans="12:13" x14ac:dyDescent="0.25">
      <c r="L763608" s="472"/>
      <c r="M763608" s="472"/>
    </row>
    <row r="763609" spans="12:13" x14ac:dyDescent="0.25">
      <c r="L763609" s="472"/>
      <c r="M763609" s="472"/>
    </row>
    <row r="763681" spans="12:13" x14ac:dyDescent="0.25">
      <c r="L763681" s="472"/>
      <c r="M763681" s="472"/>
    </row>
    <row r="763682" spans="12:13" x14ac:dyDescent="0.25">
      <c r="L763682" s="472"/>
      <c r="M763682" s="472"/>
    </row>
    <row r="763683" spans="12:13" x14ac:dyDescent="0.25">
      <c r="L763683" s="472"/>
      <c r="M763683" s="472"/>
    </row>
    <row r="763755" spans="12:13" x14ac:dyDescent="0.25">
      <c r="L763755" s="472"/>
      <c r="M763755" s="472"/>
    </row>
    <row r="763756" spans="12:13" x14ac:dyDescent="0.25">
      <c r="L763756" s="472"/>
      <c r="M763756" s="472"/>
    </row>
    <row r="763757" spans="12:13" x14ac:dyDescent="0.25">
      <c r="L763757" s="472"/>
      <c r="M763757" s="472"/>
    </row>
    <row r="763829" spans="12:13" x14ac:dyDescent="0.25">
      <c r="L763829" s="472"/>
      <c r="M763829" s="472"/>
    </row>
    <row r="763830" spans="12:13" x14ac:dyDescent="0.25">
      <c r="L763830" s="472"/>
      <c r="M763830" s="472"/>
    </row>
    <row r="763831" spans="12:13" x14ac:dyDescent="0.25">
      <c r="L763831" s="472"/>
      <c r="M763831" s="472"/>
    </row>
    <row r="763903" spans="12:13" x14ac:dyDescent="0.25">
      <c r="L763903" s="472"/>
      <c r="M763903" s="472"/>
    </row>
    <row r="763904" spans="12:13" x14ac:dyDescent="0.25">
      <c r="L763904" s="472"/>
      <c r="M763904" s="472"/>
    </row>
    <row r="763905" spans="12:13" x14ac:dyDescent="0.25">
      <c r="L763905" s="472"/>
      <c r="M763905" s="472"/>
    </row>
    <row r="763977" spans="12:13" x14ac:dyDescent="0.25">
      <c r="L763977" s="472"/>
      <c r="M763977" s="472"/>
    </row>
    <row r="763978" spans="12:13" x14ac:dyDescent="0.25">
      <c r="L763978" s="472"/>
      <c r="M763978" s="472"/>
    </row>
    <row r="763979" spans="12:13" x14ac:dyDescent="0.25">
      <c r="L763979" s="472"/>
      <c r="M763979" s="472"/>
    </row>
    <row r="764051" spans="12:13" x14ac:dyDescent="0.25">
      <c r="L764051" s="472"/>
      <c r="M764051" s="472"/>
    </row>
    <row r="764052" spans="12:13" x14ac:dyDescent="0.25">
      <c r="L764052" s="472"/>
      <c r="M764052" s="472"/>
    </row>
    <row r="764053" spans="12:13" x14ac:dyDescent="0.25">
      <c r="L764053" s="472"/>
      <c r="M764053" s="472"/>
    </row>
    <row r="764125" spans="12:13" x14ac:dyDescent="0.25">
      <c r="L764125" s="472"/>
      <c r="M764125" s="472"/>
    </row>
    <row r="764126" spans="12:13" x14ac:dyDescent="0.25">
      <c r="L764126" s="472"/>
      <c r="M764126" s="472"/>
    </row>
    <row r="764127" spans="12:13" x14ac:dyDescent="0.25">
      <c r="L764127" s="472"/>
      <c r="M764127" s="472"/>
    </row>
    <row r="764199" spans="12:13" x14ac:dyDescent="0.25">
      <c r="L764199" s="472"/>
      <c r="M764199" s="472"/>
    </row>
    <row r="764200" spans="12:13" x14ac:dyDescent="0.25">
      <c r="L764200" s="472"/>
      <c r="M764200" s="472"/>
    </row>
    <row r="764201" spans="12:13" x14ac:dyDescent="0.25">
      <c r="L764201" s="472"/>
      <c r="M764201" s="472"/>
    </row>
    <row r="764273" spans="12:13" x14ac:dyDescent="0.25">
      <c r="L764273" s="472"/>
      <c r="M764273" s="472"/>
    </row>
    <row r="764274" spans="12:13" x14ac:dyDescent="0.25">
      <c r="L764274" s="472"/>
      <c r="M764274" s="472"/>
    </row>
    <row r="764275" spans="12:13" x14ac:dyDescent="0.25">
      <c r="L764275" s="472"/>
      <c r="M764275" s="472"/>
    </row>
    <row r="764347" spans="12:13" x14ac:dyDescent="0.25">
      <c r="L764347" s="472"/>
      <c r="M764347" s="472"/>
    </row>
    <row r="764348" spans="12:13" x14ac:dyDescent="0.25">
      <c r="L764348" s="472"/>
      <c r="M764348" s="472"/>
    </row>
    <row r="764349" spans="12:13" x14ac:dyDescent="0.25">
      <c r="L764349" s="472"/>
      <c r="M764349" s="472"/>
    </row>
    <row r="764421" spans="12:13" x14ac:dyDescent="0.25">
      <c r="L764421" s="472"/>
      <c r="M764421" s="472"/>
    </row>
    <row r="764422" spans="12:13" x14ac:dyDescent="0.25">
      <c r="L764422" s="472"/>
      <c r="M764422" s="472"/>
    </row>
    <row r="764423" spans="12:13" x14ac:dyDescent="0.25">
      <c r="L764423" s="472"/>
      <c r="M764423" s="472"/>
    </row>
    <row r="764495" spans="12:13" x14ac:dyDescent="0.25">
      <c r="L764495" s="472"/>
      <c r="M764495" s="472"/>
    </row>
    <row r="764496" spans="12:13" x14ac:dyDescent="0.25">
      <c r="L764496" s="472"/>
      <c r="M764496" s="472"/>
    </row>
    <row r="764497" spans="12:13" x14ac:dyDescent="0.25">
      <c r="L764497" s="472"/>
      <c r="M764497" s="472"/>
    </row>
    <row r="764569" spans="12:13" x14ac:dyDescent="0.25">
      <c r="L764569" s="472"/>
      <c r="M764569" s="472"/>
    </row>
    <row r="764570" spans="12:13" x14ac:dyDescent="0.25">
      <c r="L764570" s="472"/>
      <c r="M764570" s="472"/>
    </row>
    <row r="764571" spans="12:13" x14ac:dyDescent="0.25">
      <c r="L764571" s="472"/>
      <c r="M764571" s="472"/>
    </row>
    <row r="764643" spans="12:13" x14ac:dyDescent="0.25">
      <c r="L764643" s="472"/>
      <c r="M764643" s="472"/>
    </row>
    <row r="764644" spans="12:13" x14ac:dyDescent="0.25">
      <c r="L764644" s="472"/>
      <c r="M764644" s="472"/>
    </row>
    <row r="764645" spans="12:13" x14ac:dyDescent="0.25">
      <c r="L764645" s="472"/>
      <c r="M764645" s="472"/>
    </row>
    <row r="764717" spans="12:13" x14ac:dyDescent="0.25">
      <c r="L764717" s="472"/>
      <c r="M764717" s="472"/>
    </row>
    <row r="764718" spans="12:13" x14ac:dyDescent="0.25">
      <c r="L764718" s="472"/>
      <c r="M764718" s="472"/>
    </row>
    <row r="764719" spans="12:13" x14ac:dyDescent="0.25">
      <c r="L764719" s="472"/>
      <c r="M764719" s="472"/>
    </row>
    <row r="764791" spans="12:13" x14ac:dyDescent="0.25">
      <c r="L764791" s="472"/>
      <c r="M764791" s="472"/>
    </row>
    <row r="764792" spans="12:13" x14ac:dyDescent="0.25">
      <c r="L764792" s="472"/>
      <c r="M764792" s="472"/>
    </row>
    <row r="764793" spans="12:13" x14ac:dyDescent="0.25">
      <c r="L764793" s="472"/>
      <c r="M764793" s="472"/>
    </row>
    <row r="764865" spans="12:13" x14ac:dyDescent="0.25">
      <c r="L764865" s="472"/>
      <c r="M764865" s="472"/>
    </row>
    <row r="764866" spans="12:13" x14ac:dyDescent="0.25">
      <c r="L764866" s="472"/>
      <c r="M764866" s="472"/>
    </row>
    <row r="764867" spans="12:13" x14ac:dyDescent="0.25">
      <c r="L764867" s="472"/>
      <c r="M764867" s="472"/>
    </row>
    <row r="764939" spans="12:13" x14ac:dyDescent="0.25">
      <c r="L764939" s="472"/>
      <c r="M764939" s="472"/>
    </row>
    <row r="764940" spans="12:13" x14ac:dyDescent="0.25">
      <c r="L764940" s="472"/>
      <c r="M764940" s="472"/>
    </row>
    <row r="764941" spans="12:13" x14ac:dyDescent="0.25">
      <c r="L764941" s="472"/>
      <c r="M764941" s="472"/>
    </row>
    <row r="765013" spans="12:13" x14ac:dyDescent="0.25">
      <c r="L765013" s="472"/>
      <c r="M765013" s="472"/>
    </row>
    <row r="765014" spans="12:13" x14ac:dyDescent="0.25">
      <c r="L765014" s="472"/>
      <c r="M765014" s="472"/>
    </row>
    <row r="765015" spans="12:13" x14ac:dyDescent="0.25">
      <c r="L765015" s="472"/>
      <c r="M765015" s="472"/>
    </row>
    <row r="765087" spans="12:13" x14ac:dyDescent="0.25">
      <c r="L765087" s="472"/>
      <c r="M765087" s="472"/>
    </row>
    <row r="765088" spans="12:13" x14ac:dyDescent="0.25">
      <c r="L765088" s="472"/>
      <c r="M765088" s="472"/>
    </row>
    <row r="765089" spans="12:13" x14ac:dyDescent="0.25">
      <c r="L765089" s="472"/>
      <c r="M765089" s="472"/>
    </row>
    <row r="765161" spans="12:13" x14ac:dyDescent="0.25">
      <c r="L765161" s="472"/>
      <c r="M765161" s="472"/>
    </row>
    <row r="765162" spans="12:13" x14ac:dyDescent="0.25">
      <c r="L765162" s="472"/>
      <c r="M765162" s="472"/>
    </row>
    <row r="765163" spans="12:13" x14ac:dyDescent="0.25">
      <c r="L765163" s="472"/>
      <c r="M765163" s="472"/>
    </row>
    <row r="765235" spans="12:13" x14ac:dyDescent="0.25">
      <c r="L765235" s="472"/>
      <c r="M765235" s="472"/>
    </row>
    <row r="765236" spans="12:13" x14ac:dyDescent="0.25">
      <c r="L765236" s="472"/>
      <c r="M765236" s="472"/>
    </row>
    <row r="765237" spans="12:13" x14ac:dyDescent="0.25">
      <c r="L765237" s="472"/>
      <c r="M765237" s="472"/>
    </row>
    <row r="765309" spans="12:13" x14ac:dyDescent="0.25">
      <c r="L765309" s="472"/>
      <c r="M765309" s="472"/>
    </row>
    <row r="765310" spans="12:13" x14ac:dyDescent="0.25">
      <c r="L765310" s="472"/>
      <c r="M765310" s="472"/>
    </row>
    <row r="765311" spans="12:13" x14ac:dyDescent="0.25">
      <c r="L765311" s="472"/>
      <c r="M765311" s="472"/>
    </row>
    <row r="765383" spans="12:13" x14ac:dyDescent="0.25">
      <c r="L765383" s="472"/>
      <c r="M765383" s="472"/>
    </row>
    <row r="765384" spans="12:13" x14ac:dyDescent="0.25">
      <c r="L765384" s="472"/>
      <c r="M765384" s="472"/>
    </row>
    <row r="765385" spans="12:13" x14ac:dyDescent="0.25">
      <c r="L765385" s="472"/>
      <c r="M765385" s="472"/>
    </row>
    <row r="765457" spans="12:13" x14ac:dyDescent="0.25">
      <c r="L765457" s="472"/>
      <c r="M765457" s="472"/>
    </row>
    <row r="765458" spans="12:13" x14ac:dyDescent="0.25">
      <c r="L765458" s="472"/>
      <c r="M765458" s="472"/>
    </row>
    <row r="765459" spans="12:13" x14ac:dyDescent="0.25">
      <c r="L765459" s="472"/>
      <c r="M765459" s="472"/>
    </row>
    <row r="765531" spans="12:13" x14ac:dyDescent="0.25">
      <c r="L765531" s="472"/>
      <c r="M765531" s="472"/>
    </row>
    <row r="765532" spans="12:13" x14ac:dyDescent="0.25">
      <c r="L765532" s="472"/>
      <c r="M765532" s="472"/>
    </row>
    <row r="765533" spans="12:13" x14ac:dyDescent="0.25">
      <c r="L765533" s="472"/>
      <c r="M765533" s="472"/>
    </row>
    <row r="765605" spans="12:13" x14ac:dyDescent="0.25">
      <c r="L765605" s="472"/>
      <c r="M765605" s="472"/>
    </row>
    <row r="765606" spans="12:13" x14ac:dyDescent="0.25">
      <c r="L765606" s="472"/>
      <c r="M765606" s="472"/>
    </row>
    <row r="765607" spans="12:13" x14ac:dyDescent="0.25">
      <c r="L765607" s="472"/>
      <c r="M765607" s="472"/>
    </row>
    <row r="765679" spans="12:13" x14ac:dyDescent="0.25">
      <c r="L765679" s="472"/>
      <c r="M765679" s="472"/>
    </row>
    <row r="765680" spans="12:13" x14ac:dyDescent="0.25">
      <c r="L765680" s="472"/>
      <c r="M765680" s="472"/>
    </row>
    <row r="765681" spans="12:13" x14ac:dyDescent="0.25">
      <c r="L765681" s="472"/>
      <c r="M765681" s="472"/>
    </row>
    <row r="765753" spans="12:13" x14ac:dyDescent="0.25">
      <c r="L765753" s="472"/>
      <c r="M765753" s="472"/>
    </row>
    <row r="765754" spans="12:13" x14ac:dyDescent="0.25">
      <c r="L765754" s="472"/>
      <c r="M765754" s="472"/>
    </row>
    <row r="765755" spans="12:13" x14ac:dyDescent="0.25">
      <c r="L765755" s="472"/>
      <c r="M765755" s="472"/>
    </row>
    <row r="765827" spans="12:13" x14ac:dyDescent="0.25">
      <c r="L765827" s="472"/>
      <c r="M765827" s="472"/>
    </row>
    <row r="765828" spans="12:13" x14ac:dyDescent="0.25">
      <c r="L765828" s="472"/>
      <c r="M765828" s="472"/>
    </row>
    <row r="765829" spans="12:13" x14ac:dyDescent="0.25">
      <c r="L765829" s="472"/>
      <c r="M765829" s="472"/>
    </row>
    <row r="765901" spans="12:13" x14ac:dyDescent="0.25">
      <c r="L765901" s="472"/>
      <c r="M765901" s="472"/>
    </row>
    <row r="765902" spans="12:13" x14ac:dyDescent="0.25">
      <c r="L765902" s="472"/>
      <c r="M765902" s="472"/>
    </row>
    <row r="765903" spans="12:13" x14ac:dyDescent="0.25">
      <c r="L765903" s="472"/>
      <c r="M765903" s="472"/>
    </row>
    <row r="765975" spans="12:13" x14ac:dyDescent="0.25">
      <c r="L765975" s="472"/>
      <c r="M765975" s="472"/>
    </row>
    <row r="765976" spans="12:13" x14ac:dyDescent="0.25">
      <c r="L765976" s="472"/>
      <c r="M765976" s="472"/>
    </row>
    <row r="765977" spans="12:13" x14ac:dyDescent="0.25">
      <c r="L765977" s="472"/>
      <c r="M765977" s="472"/>
    </row>
    <row r="766049" spans="12:13" x14ac:dyDescent="0.25">
      <c r="L766049" s="472"/>
      <c r="M766049" s="472"/>
    </row>
    <row r="766050" spans="12:13" x14ac:dyDescent="0.25">
      <c r="L766050" s="472"/>
      <c r="M766050" s="472"/>
    </row>
    <row r="766051" spans="12:13" x14ac:dyDescent="0.25">
      <c r="L766051" s="472"/>
      <c r="M766051" s="472"/>
    </row>
    <row r="766123" spans="12:13" x14ac:dyDescent="0.25">
      <c r="L766123" s="472"/>
      <c r="M766123" s="472"/>
    </row>
    <row r="766124" spans="12:13" x14ac:dyDescent="0.25">
      <c r="L766124" s="472"/>
      <c r="M766124" s="472"/>
    </row>
    <row r="766125" spans="12:13" x14ac:dyDescent="0.25">
      <c r="L766125" s="472"/>
      <c r="M766125" s="472"/>
    </row>
    <row r="766197" spans="12:13" x14ac:dyDescent="0.25">
      <c r="L766197" s="472"/>
      <c r="M766197" s="472"/>
    </row>
    <row r="766198" spans="12:13" x14ac:dyDescent="0.25">
      <c r="L766198" s="472"/>
      <c r="M766198" s="472"/>
    </row>
    <row r="766199" spans="12:13" x14ac:dyDescent="0.25">
      <c r="L766199" s="472"/>
      <c r="M766199" s="472"/>
    </row>
    <row r="766271" spans="12:13" x14ac:dyDescent="0.25">
      <c r="L766271" s="472"/>
      <c r="M766271" s="472"/>
    </row>
    <row r="766272" spans="12:13" x14ac:dyDescent="0.25">
      <c r="L766272" s="472"/>
      <c r="M766272" s="472"/>
    </row>
    <row r="766273" spans="12:13" x14ac:dyDescent="0.25">
      <c r="L766273" s="472"/>
      <c r="M766273" s="472"/>
    </row>
    <row r="766345" spans="12:13" x14ac:dyDescent="0.25">
      <c r="L766345" s="472"/>
      <c r="M766345" s="472"/>
    </row>
    <row r="766346" spans="12:13" x14ac:dyDescent="0.25">
      <c r="L766346" s="472"/>
      <c r="M766346" s="472"/>
    </row>
    <row r="766347" spans="12:13" x14ac:dyDescent="0.25">
      <c r="L766347" s="472"/>
      <c r="M766347" s="472"/>
    </row>
    <row r="766419" spans="12:13" x14ac:dyDescent="0.25">
      <c r="L766419" s="472"/>
      <c r="M766419" s="472"/>
    </row>
    <row r="766420" spans="12:13" x14ac:dyDescent="0.25">
      <c r="L766420" s="472"/>
      <c r="M766420" s="472"/>
    </row>
    <row r="766421" spans="12:13" x14ac:dyDescent="0.25">
      <c r="L766421" s="472"/>
      <c r="M766421" s="472"/>
    </row>
    <row r="766493" spans="12:13" x14ac:dyDescent="0.25">
      <c r="L766493" s="472"/>
      <c r="M766493" s="472"/>
    </row>
    <row r="766494" spans="12:13" x14ac:dyDescent="0.25">
      <c r="L766494" s="472"/>
      <c r="M766494" s="472"/>
    </row>
    <row r="766495" spans="12:13" x14ac:dyDescent="0.25">
      <c r="L766495" s="472"/>
      <c r="M766495" s="472"/>
    </row>
    <row r="766567" spans="12:13" x14ac:dyDescent="0.25">
      <c r="L766567" s="472"/>
      <c r="M766567" s="472"/>
    </row>
    <row r="766568" spans="12:13" x14ac:dyDescent="0.25">
      <c r="L766568" s="472"/>
      <c r="M766568" s="472"/>
    </row>
    <row r="766569" spans="12:13" x14ac:dyDescent="0.25">
      <c r="L766569" s="472"/>
      <c r="M766569" s="472"/>
    </row>
    <row r="766641" spans="12:13" x14ac:dyDescent="0.25">
      <c r="L766641" s="472"/>
      <c r="M766641" s="472"/>
    </row>
    <row r="766642" spans="12:13" x14ac:dyDescent="0.25">
      <c r="L766642" s="472"/>
      <c r="M766642" s="472"/>
    </row>
    <row r="766643" spans="12:13" x14ac:dyDescent="0.25">
      <c r="L766643" s="472"/>
      <c r="M766643" s="472"/>
    </row>
    <row r="766715" spans="12:13" x14ac:dyDescent="0.25">
      <c r="L766715" s="472"/>
      <c r="M766715" s="472"/>
    </row>
    <row r="766716" spans="12:13" x14ac:dyDescent="0.25">
      <c r="L766716" s="472"/>
      <c r="M766716" s="472"/>
    </row>
    <row r="766717" spans="12:13" x14ac:dyDescent="0.25">
      <c r="L766717" s="472"/>
      <c r="M766717" s="472"/>
    </row>
    <row r="766789" spans="12:13" x14ac:dyDescent="0.25">
      <c r="L766789" s="472"/>
      <c r="M766789" s="472"/>
    </row>
    <row r="766790" spans="12:13" x14ac:dyDescent="0.25">
      <c r="L766790" s="472"/>
      <c r="M766790" s="472"/>
    </row>
    <row r="766791" spans="12:13" x14ac:dyDescent="0.25">
      <c r="L766791" s="472"/>
      <c r="M766791" s="472"/>
    </row>
    <row r="766863" spans="12:13" x14ac:dyDescent="0.25">
      <c r="L766863" s="472"/>
      <c r="M766863" s="472"/>
    </row>
    <row r="766864" spans="12:13" x14ac:dyDescent="0.25">
      <c r="L766864" s="472"/>
      <c r="M766864" s="472"/>
    </row>
    <row r="766865" spans="12:13" x14ac:dyDescent="0.25">
      <c r="L766865" s="472"/>
      <c r="M766865" s="472"/>
    </row>
    <row r="766937" spans="12:13" x14ac:dyDescent="0.25">
      <c r="L766937" s="472"/>
      <c r="M766937" s="472"/>
    </row>
    <row r="766938" spans="12:13" x14ac:dyDescent="0.25">
      <c r="L766938" s="472"/>
      <c r="M766938" s="472"/>
    </row>
    <row r="766939" spans="12:13" x14ac:dyDescent="0.25">
      <c r="L766939" s="472"/>
      <c r="M766939" s="472"/>
    </row>
    <row r="767011" spans="12:13" x14ac:dyDescent="0.25">
      <c r="L767011" s="472"/>
      <c r="M767011" s="472"/>
    </row>
    <row r="767012" spans="12:13" x14ac:dyDescent="0.25">
      <c r="L767012" s="472"/>
      <c r="M767012" s="472"/>
    </row>
    <row r="767013" spans="12:13" x14ac:dyDescent="0.25">
      <c r="L767013" s="472"/>
      <c r="M767013" s="472"/>
    </row>
    <row r="767085" spans="12:13" x14ac:dyDescent="0.25">
      <c r="L767085" s="472"/>
      <c r="M767085" s="472"/>
    </row>
    <row r="767086" spans="12:13" x14ac:dyDescent="0.25">
      <c r="L767086" s="472"/>
      <c r="M767086" s="472"/>
    </row>
    <row r="767087" spans="12:13" x14ac:dyDescent="0.25">
      <c r="L767087" s="472"/>
      <c r="M767087" s="472"/>
    </row>
    <row r="767159" spans="12:13" x14ac:dyDescent="0.25">
      <c r="L767159" s="472"/>
      <c r="M767159" s="472"/>
    </row>
    <row r="767160" spans="12:13" x14ac:dyDescent="0.25">
      <c r="L767160" s="472"/>
      <c r="M767160" s="472"/>
    </row>
    <row r="767161" spans="12:13" x14ac:dyDescent="0.25">
      <c r="L767161" s="472"/>
      <c r="M767161" s="472"/>
    </row>
    <row r="767233" spans="12:13" x14ac:dyDescent="0.25">
      <c r="L767233" s="472"/>
      <c r="M767233" s="472"/>
    </row>
    <row r="767234" spans="12:13" x14ac:dyDescent="0.25">
      <c r="L767234" s="472"/>
      <c r="M767234" s="472"/>
    </row>
    <row r="767235" spans="12:13" x14ac:dyDescent="0.25">
      <c r="L767235" s="472"/>
      <c r="M767235" s="472"/>
    </row>
    <row r="767307" spans="12:13" x14ac:dyDescent="0.25">
      <c r="L767307" s="472"/>
      <c r="M767307" s="472"/>
    </row>
    <row r="767308" spans="12:13" x14ac:dyDescent="0.25">
      <c r="L767308" s="472"/>
      <c r="M767308" s="472"/>
    </row>
    <row r="767309" spans="12:13" x14ac:dyDescent="0.25">
      <c r="L767309" s="472"/>
      <c r="M767309" s="472"/>
    </row>
    <row r="767381" spans="12:13" x14ac:dyDescent="0.25">
      <c r="L767381" s="472"/>
      <c r="M767381" s="472"/>
    </row>
    <row r="767382" spans="12:13" x14ac:dyDescent="0.25">
      <c r="L767382" s="472"/>
      <c r="M767382" s="472"/>
    </row>
    <row r="767383" spans="12:13" x14ac:dyDescent="0.25">
      <c r="L767383" s="472"/>
      <c r="M767383" s="472"/>
    </row>
    <row r="767455" spans="12:13" x14ac:dyDescent="0.25">
      <c r="L767455" s="472"/>
      <c r="M767455" s="472"/>
    </row>
    <row r="767456" spans="12:13" x14ac:dyDescent="0.25">
      <c r="L767456" s="472"/>
      <c r="M767456" s="472"/>
    </row>
    <row r="767457" spans="12:13" x14ac:dyDescent="0.25">
      <c r="L767457" s="472"/>
      <c r="M767457" s="472"/>
    </row>
    <row r="767529" spans="12:13" x14ac:dyDescent="0.25">
      <c r="L767529" s="472"/>
      <c r="M767529" s="472"/>
    </row>
    <row r="767530" spans="12:13" x14ac:dyDescent="0.25">
      <c r="L767530" s="472"/>
      <c r="M767530" s="472"/>
    </row>
    <row r="767531" spans="12:13" x14ac:dyDescent="0.25">
      <c r="L767531" s="472"/>
      <c r="M767531" s="472"/>
    </row>
    <row r="767603" spans="12:13" x14ac:dyDescent="0.25">
      <c r="L767603" s="472"/>
      <c r="M767603" s="472"/>
    </row>
    <row r="767604" spans="12:13" x14ac:dyDescent="0.25">
      <c r="L767604" s="472"/>
      <c r="M767604" s="472"/>
    </row>
    <row r="767605" spans="12:13" x14ac:dyDescent="0.25">
      <c r="L767605" s="472"/>
      <c r="M767605" s="472"/>
    </row>
    <row r="767677" spans="12:13" x14ac:dyDescent="0.25">
      <c r="L767677" s="472"/>
      <c r="M767677" s="472"/>
    </row>
    <row r="767678" spans="12:13" x14ac:dyDescent="0.25">
      <c r="L767678" s="472"/>
      <c r="M767678" s="472"/>
    </row>
    <row r="767679" spans="12:13" x14ac:dyDescent="0.25">
      <c r="L767679" s="472"/>
      <c r="M767679" s="472"/>
    </row>
    <row r="767751" spans="12:13" x14ac:dyDescent="0.25">
      <c r="L767751" s="472"/>
      <c r="M767751" s="472"/>
    </row>
    <row r="767752" spans="12:13" x14ac:dyDescent="0.25">
      <c r="L767752" s="472"/>
      <c r="M767752" s="472"/>
    </row>
    <row r="767753" spans="12:13" x14ac:dyDescent="0.25">
      <c r="L767753" s="472"/>
      <c r="M767753" s="472"/>
    </row>
    <row r="767825" spans="12:13" x14ac:dyDescent="0.25">
      <c r="L767825" s="472"/>
      <c r="M767825" s="472"/>
    </row>
    <row r="767826" spans="12:13" x14ac:dyDescent="0.25">
      <c r="L767826" s="472"/>
      <c r="M767826" s="472"/>
    </row>
    <row r="767827" spans="12:13" x14ac:dyDescent="0.25">
      <c r="L767827" s="472"/>
      <c r="M767827" s="472"/>
    </row>
    <row r="767899" spans="12:13" x14ac:dyDescent="0.25">
      <c r="L767899" s="472"/>
      <c r="M767899" s="472"/>
    </row>
    <row r="767900" spans="12:13" x14ac:dyDescent="0.25">
      <c r="L767900" s="472"/>
      <c r="M767900" s="472"/>
    </row>
    <row r="767901" spans="12:13" x14ac:dyDescent="0.25">
      <c r="L767901" s="472"/>
      <c r="M767901" s="472"/>
    </row>
    <row r="767973" spans="12:13" x14ac:dyDescent="0.25">
      <c r="L767973" s="472"/>
      <c r="M767973" s="472"/>
    </row>
    <row r="767974" spans="12:13" x14ac:dyDescent="0.25">
      <c r="L767974" s="472"/>
      <c r="M767974" s="472"/>
    </row>
    <row r="767975" spans="12:13" x14ac:dyDescent="0.25">
      <c r="L767975" s="472"/>
      <c r="M767975" s="472"/>
    </row>
    <row r="768047" spans="12:13" x14ac:dyDescent="0.25">
      <c r="L768047" s="472"/>
      <c r="M768047" s="472"/>
    </row>
    <row r="768048" spans="12:13" x14ac:dyDescent="0.25">
      <c r="L768048" s="472"/>
      <c r="M768048" s="472"/>
    </row>
    <row r="768049" spans="12:13" x14ac:dyDescent="0.25">
      <c r="L768049" s="472"/>
      <c r="M768049" s="472"/>
    </row>
    <row r="768121" spans="12:13" x14ac:dyDescent="0.25">
      <c r="L768121" s="472"/>
      <c r="M768121" s="472"/>
    </row>
    <row r="768122" spans="12:13" x14ac:dyDescent="0.25">
      <c r="L768122" s="472"/>
      <c r="M768122" s="472"/>
    </row>
    <row r="768123" spans="12:13" x14ac:dyDescent="0.25">
      <c r="L768123" s="472"/>
      <c r="M768123" s="472"/>
    </row>
    <row r="768195" spans="12:13" x14ac:dyDescent="0.25">
      <c r="L768195" s="472"/>
      <c r="M768195" s="472"/>
    </row>
    <row r="768196" spans="12:13" x14ac:dyDescent="0.25">
      <c r="L768196" s="472"/>
      <c r="M768196" s="472"/>
    </row>
    <row r="768197" spans="12:13" x14ac:dyDescent="0.25">
      <c r="L768197" s="472"/>
      <c r="M768197" s="472"/>
    </row>
    <row r="768269" spans="12:13" x14ac:dyDescent="0.25">
      <c r="L768269" s="472"/>
      <c r="M768269" s="472"/>
    </row>
    <row r="768270" spans="12:13" x14ac:dyDescent="0.25">
      <c r="L768270" s="472"/>
      <c r="M768270" s="472"/>
    </row>
    <row r="768271" spans="12:13" x14ac:dyDescent="0.25">
      <c r="L768271" s="472"/>
      <c r="M768271" s="472"/>
    </row>
    <row r="768343" spans="12:13" x14ac:dyDescent="0.25">
      <c r="L768343" s="472"/>
      <c r="M768343" s="472"/>
    </row>
    <row r="768344" spans="12:13" x14ac:dyDescent="0.25">
      <c r="L768344" s="472"/>
      <c r="M768344" s="472"/>
    </row>
    <row r="768345" spans="12:13" x14ac:dyDescent="0.25">
      <c r="L768345" s="472"/>
      <c r="M768345" s="472"/>
    </row>
    <row r="768417" spans="12:13" x14ac:dyDescent="0.25">
      <c r="L768417" s="472"/>
      <c r="M768417" s="472"/>
    </row>
    <row r="768418" spans="12:13" x14ac:dyDescent="0.25">
      <c r="L768418" s="472"/>
      <c r="M768418" s="472"/>
    </row>
    <row r="768419" spans="12:13" x14ac:dyDescent="0.25">
      <c r="L768419" s="472"/>
      <c r="M768419" s="472"/>
    </row>
    <row r="768491" spans="12:13" x14ac:dyDescent="0.25">
      <c r="L768491" s="472"/>
      <c r="M768491" s="472"/>
    </row>
    <row r="768492" spans="12:13" x14ac:dyDescent="0.25">
      <c r="L768492" s="472"/>
      <c r="M768492" s="472"/>
    </row>
    <row r="768493" spans="12:13" x14ac:dyDescent="0.25">
      <c r="L768493" s="472"/>
      <c r="M768493" s="472"/>
    </row>
    <row r="768565" spans="12:13" x14ac:dyDescent="0.25">
      <c r="L768565" s="472"/>
      <c r="M768565" s="472"/>
    </row>
    <row r="768566" spans="12:13" x14ac:dyDescent="0.25">
      <c r="L768566" s="472"/>
      <c r="M768566" s="472"/>
    </row>
    <row r="768567" spans="12:13" x14ac:dyDescent="0.25">
      <c r="L768567" s="472"/>
      <c r="M768567" s="472"/>
    </row>
    <row r="768639" spans="12:13" x14ac:dyDescent="0.25">
      <c r="L768639" s="472"/>
      <c r="M768639" s="472"/>
    </row>
    <row r="768640" spans="12:13" x14ac:dyDescent="0.25">
      <c r="L768640" s="472"/>
      <c r="M768640" s="472"/>
    </row>
    <row r="768641" spans="12:13" x14ac:dyDescent="0.25">
      <c r="L768641" s="472"/>
      <c r="M768641" s="472"/>
    </row>
    <row r="768713" spans="12:13" x14ac:dyDescent="0.25">
      <c r="L768713" s="472"/>
      <c r="M768713" s="472"/>
    </row>
    <row r="768714" spans="12:13" x14ac:dyDescent="0.25">
      <c r="L768714" s="472"/>
      <c r="M768714" s="472"/>
    </row>
    <row r="768715" spans="12:13" x14ac:dyDescent="0.25">
      <c r="L768715" s="472"/>
      <c r="M768715" s="472"/>
    </row>
    <row r="768787" spans="12:13" x14ac:dyDescent="0.25">
      <c r="L768787" s="472"/>
      <c r="M768787" s="472"/>
    </row>
    <row r="768788" spans="12:13" x14ac:dyDescent="0.25">
      <c r="L768788" s="472"/>
      <c r="M768788" s="472"/>
    </row>
    <row r="768789" spans="12:13" x14ac:dyDescent="0.25">
      <c r="L768789" s="472"/>
      <c r="M768789" s="472"/>
    </row>
    <row r="768861" spans="12:13" x14ac:dyDescent="0.25">
      <c r="L768861" s="472"/>
      <c r="M768861" s="472"/>
    </row>
    <row r="768862" spans="12:13" x14ac:dyDescent="0.25">
      <c r="L768862" s="472"/>
      <c r="M768862" s="472"/>
    </row>
    <row r="768863" spans="12:13" x14ac:dyDescent="0.25">
      <c r="L768863" s="472"/>
      <c r="M768863" s="472"/>
    </row>
    <row r="768935" spans="12:13" x14ac:dyDescent="0.25">
      <c r="L768935" s="472"/>
      <c r="M768935" s="472"/>
    </row>
    <row r="768936" spans="12:13" x14ac:dyDescent="0.25">
      <c r="L768936" s="472"/>
      <c r="M768936" s="472"/>
    </row>
    <row r="768937" spans="12:13" x14ac:dyDescent="0.25">
      <c r="L768937" s="472"/>
      <c r="M768937" s="472"/>
    </row>
    <row r="769009" spans="12:13" x14ac:dyDescent="0.25">
      <c r="L769009" s="472"/>
      <c r="M769009" s="472"/>
    </row>
    <row r="769010" spans="12:13" x14ac:dyDescent="0.25">
      <c r="L769010" s="472"/>
      <c r="M769010" s="472"/>
    </row>
    <row r="769011" spans="12:13" x14ac:dyDescent="0.25">
      <c r="L769011" s="472"/>
      <c r="M769011" s="472"/>
    </row>
    <row r="769083" spans="12:13" x14ac:dyDescent="0.25">
      <c r="L769083" s="472"/>
      <c r="M769083" s="472"/>
    </row>
    <row r="769084" spans="12:13" x14ac:dyDescent="0.25">
      <c r="L769084" s="472"/>
      <c r="M769084" s="472"/>
    </row>
    <row r="769085" spans="12:13" x14ac:dyDescent="0.25">
      <c r="L769085" s="472"/>
      <c r="M769085" s="472"/>
    </row>
    <row r="769157" spans="12:13" x14ac:dyDescent="0.25">
      <c r="L769157" s="472"/>
      <c r="M769157" s="472"/>
    </row>
    <row r="769158" spans="12:13" x14ac:dyDescent="0.25">
      <c r="L769158" s="472"/>
      <c r="M769158" s="472"/>
    </row>
    <row r="769159" spans="12:13" x14ac:dyDescent="0.25">
      <c r="L769159" s="472"/>
      <c r="M769159" s="472"/>
    </row>
    <row r="769231" spans="12:13" x14ac:dyDescent="0.25">
      <c r="L769231" s="472"/>
      <c r="M769231" s="472"/>
    </row>
    <row r="769232" spans="12:13" x14ac:dyDescent="0.25">
      <c r="L769232" s="472"/>
      <c r="M769232" s="472"/>
    </row>
    <row r="769233" spans="12:13" x14ac:dyDescent="0.25">
      <c r="L769233" s="472"/>
      <c r="M769233" s="472"/>
    </row>
    <row r="769305" spans="12:13" x14ac:dyDescent="0.25">
      <c r="L769305" s="472"/>
      <c r="M769305" s="472"/>
    </row>
    <row r="769306" spans="12:13" x14ac:dyDescent="0.25">
      <c r="L769306" s="472"/>
      <c r="M769306" s="472"/>
    </row>
    <row r="769307" spans="12:13" x14ac:dyDescent="0.25">
      <c r="L769307" s="472"/>
      <c r="M769307" s="472"/>
    </row>
    <row r="769379" spans="12:13" x14ac:dyDescent="0.25">
      <c r="L769379" s="472"/>
      <c r="M769379" s="472"/>
    </row>
    <row r="769380" spans="12:13" x14ac:dyDescent="0.25">
      <c r="L769380" s="472"/>
      <c r="M769380" s="472"/>
    </row>
    <row r="769381" spans="12:13" x14ac:dyDescent="0.25">
      <c r="L769381" s="472"/>
      <c r="M769381" s="472"/>
    </row>
    <row r="769453" spans="12:13" x14ac:dyDescent="0.25">
      <c r="L769453" s="472"/>
      <c r="M769453" s="472"/>
    </row>
    <row r="769454" spans="12:13" x14ac:dyDescent="0.25">
      <c r="L769454" s="472"/>
      <c r="M769454" s="472"/>
    </row>
    <row r="769455" spans="12:13" x14ac:dyDescent="0.25">
      <c r="L769455" s="472"/>
      <c r="M769455" s="472"/>
    </row>
    <row r="769527" spans="12:13" x14ac:dyDescent="0.25">
      <c r="L769527" s="472"/>
      <c r="M769527" s="472"/>
    </row>
    <row r="769528" spans="12:13" x14ac:dyDescent="0.25">
      <c r="L769528" s="472"/>
      <c r="M769528" s="472"/>
    </row>
    <row r="769529" spans="12:13" x14ac:dyDescent="0.25">
      <c r="L769529" s="472"/>
      <c r="M769529" s="472"/>
    </row>
    <row r="769601" spans="12:13" x14ac:dyDescent="0.25">
      <c r="L769601" s="472"/>
      <c r="M769601" s="472"/>
    </row>
    <row r="769602" spans="12:13" x14ac:dyDescent="0.25">
      <c r="L769602" s="472"/>
      <c r="M769602" s="472"/>
    </row>
    <row r="769603" spans="12:13" x14ac:dyDescent="0.25">
      <c r="L769603" s="472"/>
      <c r="M769603" s="472"/>
    </row>
    <row r="769675" spans="12:13" x14ac:dyDescent="0.25">
      <c r="L769675" s="472"/>
      <c r="M769675" s="472"/>
    </row>
    <row r="769676" spans="12:13" x14ac:dyDescent="0.25">
      <c r="L769676" s="472"/>
      <c r="M769676" s="472"/>
    </row>
    <row r="769677" spans="12:13" x14ac:dyDescent="0.25">
      <c r="L769677" s="472"/>
      <c r="M769677" s="472"/>
    </row>
    <row r="769749" spans="12:13" x14ac:dyDescent="0.25">
      <c r="L769749" s="472"/>
      <c r="M769749" s="472"/>
    </row>
    <row r="769750" spans="12:13" x14ac:dyDescent="0.25">
      <c r="L769750" s="472"/>
      <c r="M769750" s="472"/>
    </row>
    <row r="769751" spans="12:13" x14ac:dyDescent="0.25">
      <c r="L769751" s="472"/>
      <c r="M769751" s="472"/>
    </row>
    <row r="769823" spans="12:13" x14ac:dyDescent="0.25">
      <c r="L769823" s="472"/>
      <c r="M769823" s="472"/>
    </row>
    <row r="769824" spans="12:13" x14ac:dyDescent="0.25">
      <c r="L769824" s="472"/>
      <c r="M769824" s="472"/>
    </row>
    <row r="769825" spans="12:13" x14ac:dyDescent="0.25">
      <c r="L769825" s="472"/>
      <c r="M769825" s="472"/>
    </row>
    <row r="769897" spans="12:13" x14ac:dyDescent="0.25">
      <c r="L769897" s="472"/>
      <c r="M769897" s="472"/>
    </row>
    <row r="769898" spans="12:13" x14ac:dyDescent="0.25">
      <c r="L769898" s="472"/>
      <c r="M769898" s="472"/>
    </row>
    <row r="769899" spans="12:13" x14ac:dyDescent="0.25">
      <c r="L769899" s="472"/>
      <c r="M769899" s="472"/>
    </row>
    <row r="769971" spans="12:13" x14ac:dyDescent="0.25">
      <c r="L769971" s="472"/>
      <c r="M769971" s="472"/>
    </row>
    <row r="769972" spans="12:13" x14ac:dyDescent="0.25">
      <c r="L769972" s="472"/>
      <c r="M769972" s="472"/>
    </row>
    <row r="769973" spans="12:13" x14ac:dyDescent="0.25">
      <c r="L769973" s="472"/>
      <c r="M769973" s="472"/>
    </row>
    <row r="770045" spans="12:13" x14ac:dyDescent="0.25">
      <c r="L770045" s="472"/>
      <c r="M770045" s="472"/>
    </row>
    <row r="770046" spans="12:13" x14ac:dyDescent="0.25">
      <c r="L770046" s="472"/>
      <c r="M770046" s="472"/>
    </row>
    <row r="770047" spans="12:13" x14ac:dyDescent="0.25">
      <c r="L770047" s="472"/>
      <c r="M770047" s="472"/>
    </row>
    <row r="770119" spans="12:13" x14ac:dyDescent="0.25">
      <c r="L770119" s="472"/>
      <c r="M770119" s="472"/>
    </row>
    <row r="770120" spans="12:13" x14ac:dyDescent="0.25">
      <c r="L770120" s="472"/>
      <c r="M770120" s="472"/>
    </row>
    <row r="770121" spans="12:13" x14ac:dyDescent="0.25">
      <c r="L770121" s="472"/>
      <c r="M770121" s="472"/>
    </row>
    <row r="770193" spans="12:13" x14ac:dyDescent="0.25">
      <c r="L770193" s="472"/>
      <c r="M770193" s="472"/>
    </row>
    <row r="770194" spans="12:13" x14ac:dyDescent="0.25">
      <c r="L770194" s="472"/>
      <c r="M770194" s="472"/>
    </row>
    <row r="770195" spans="12:13" x14ac:dyDescent="0.25">
      <c r="L770195" s="472"/>
      <c r="M770195" s="472"/>
    </row>
    <row r="770267" spans="12:13" x14ac:dyDescent="0.25">
      <c r="L770267" s="472"/>
      <c r="M770267" s="472"/>
    </row>
    <row r="770268" spans="12:13" x14ac:dyDescent="0.25">
      <c r="L770268" s="472"/>
      <c r="M770268" s="472"/>
    </row>
    <row r="770269" spans="12:13" x14ac:dyDescent="0.25">
      <c r="L770269" s="472"/>
      <c r="M770269" s="472"/>
    </row>
    <row r="770341" spans="12:13" x14ac:dyDescent="0.25">
      <c r="L770341" s="472"/>
      <c r="M770341" s="472"/>
    </row>
    <row r="770342" spans="12:13" x14ac:dyDescent="0.25">
      <c r="L770342" s="472"/>
      <c r="M770342" s="472"/>
    </row>
    <row r="770343" spans="12:13" x14ac:dyDescent="0.25">
      <c r="L770343" s="472"/>
      <c r="M770343" s="472"/>
    </row>
    <row r="770415" spans="12:13" x14ac:dyDescent="0.25">
      <c r="L770415" s="472"/>
      <c r="M770415" s="472"/>
    </row>
    <row r="770416" spans="12:13" x14ac:dyDescent="0.25">
      <c r="L770416" s="472"/>
      <c r="M770416" s="472"/>
    </row>
    <row r="770417" spans="12:13" x14ac:dyDescent="0.25">
      <c r="L770417" s="472"/>
      <c r="M770417" s="472"/>
    </row>
    <row r="770489" spans="12:13" x14ac:dyDescent="0.25">
      <c r="L770489" s="472"/>
      <c r="M770489" s="472"/>
    </row>
    <row r="770490" spans="12:13" x14ac:dyDescent="0.25">
      <c r="L770490" s="472"/>
      <c r="M770490" s="472"/>
    </row>
    <row r="770491" spans="12:13" x14ac:dyDescent="0.25">
      <c r="L770491" s="472"/>
      <c r="M770491" s="472"/>
    </row>
    <row r="770563" spans="12:13" x14ac:dyDescent="0.25">
      <c r="L770563" s="472"/>
      <c r="M770563" s="472"/>
    </row>
    <row r="770564" spans="12:13" x14ac:dyDescent="0.25">
      <c r="L770564" s="472"/>
      <c r="M770564" s="472"/>
    </row>
    <row r="770565" spans="12:13" x14ac:dyDescent="0.25">
      <c r="L770565" s="472"/>
      <c r="M770565" s="472"/>
    </row>
    <row r="770637" spans="12:13" x14ac:dyDescent="0.25">
      <c r="L770637" s="472"/>
      <c r="M770637" s="472"/>
    </row>
    <row r="770638" spans="12:13" x14ac:dyDescent="0.25">
      <c r="L770638" s="472"/>
      <c r="M770638" s="472"/>
    </row>
    <row r="770639" spans="12:13" x14ac:dyDescent="0.25">
      <c r="L770639" s="472"/>
      <c r="M770639" s="472"/>
    </row>
    <row r="770711" spans="12:13" x14ac:dyDescent="0.25">
      <c r="L770711" s="472"/>
      <c r="M770711" s="472"/>
    </row>
    <row r="770712" spans="12:13" x14ac:dyDescent="0.25">
      <c r="L770712" s="472"/>
      <c r="M770712" s="472"/>
    </row>
    <row r="770713" spans="12:13" x14ac:dyDescent="0.25">
      <c r="L770713" s="472"/>
      <c r="M770713" s="472"/>
    </row>
    <row r="770785" spans="12:13" x14ac:dyDescent="0.25">
      <c r="L770785" s="472"/>
      <c r="M770785" s="472"/>
    </row>
    <row r="770786" spans="12:13" x14ac:dyDescent="0.25">
      <c r="L770786" s="472"/>
      <c r="M770786" s="472"/>
    </row>
    <row r="770787" spans="12:13" x14ac:dyDescent="0.25">
      <c r="L770787" s="472"/>
      <c r="M770787" s="472"/>
    </row>
    <row r="770859" spans="12:13" x14ac:dyDescent="0.25">
      <c r="L770859" s="472"/>
      <c r="M770859" s="472"/>
    </row>
    <row r="770860" spans="12:13" x14ac:dyDescent="0.25">
      <c r="L770860" s="472"/>
      <c r="M770860" s="472"/>
    </row>
    <row r="770861" spans="12:13" x14ac:dyDescent="0.25">
      <c r="L770861" s="472"/>
      <c r="M770861" s="472"/>
    </row>
    <row r="770933" spans="12:13" x14ac:dyDescent="0.25">
      <c r="L770933" s="472"/>
      <c r="M770933" s="472"/>
    </row>
    <row r="770934" spans="12:13" x14ac:dyDescent="0.25">
      <c r="L770934" s="472"/>
      <c r="M770934" s="472"/>
    </row>
    <row r="770935" spans="12:13" x14ac:dyDescent="0.25">
      <c r="L770935" s="472"/>
      <c r="M770935" s="472"/>
    </row>
    <row r="771007" spans="12:13" x14ac:dyDescent="0.25">
      <c r="L771007" s="472"/>
      <c r="M771007" s="472"/>
    </row>
    <row r="771008" spans="12:13" x14ac:dyDescent="0.25">
      <c r="L771008" s="472"/>
      <c r="M771008" s="472"/>
    </row>
    <row r="771009" spans="12:13" x14ac:dyDescent="0.25">
      <c r="L771009" s="472"/>
      <c r="M771009" s="472"/>
    </row>
    <row r="771081" spans="12:13" x14ac:dyDescent="0.25">
      <c r="L771081" s="472"/>
      <c r="M771081" s="472"/>
    </row>
    <row r="771082" spans="12:13" x14ac:dyDescent="0.25">
      <c r="L771082" s="472"/>
      <c r="M771082" s="472"/>
    </row>
    <row r="771083" spans="12:13" x14ac:dyDescent="0.25">
      <c r="L771083" s="472"/>
      <c r="M771083" s="472"/>
    </row>
    <row r="771155" spans="12:13" x14ac:dyDescent="0.25">
      <c r="L771155" s="472"/>
      <c r="M771155" s="472"/>
    </row>
    <row r="771156" spans="12:13" x14ac:dyDescent="0.25">
      <c r="L771156" s="472"/>
      <c r="M771156" s="472"/>
    </row>
    <row r="771157" spans="12:13" x14ac:dyDescent="0.25">
      <c r="L771157" s="472"/>
      <c r="M771157" s="472"/>
    </row>
    <row r="771229" spans="12:13" x14ac:dyDescent="0.25">
      <c r="L771229" s="472"/>
      <c r="M771229" s="472"/>
    </row>
    <row r="771230" spans="12:13" x14ac:dyDescent="0.25">
      <c r="L771230" s="472"/>
      <c r="M771230" s="472"/>
    </row>
    <row r="771231" spans="12:13" x14ac:dyDescent="0.25">
      <c r="L771231" s="472"/>
      <c r="M771231" s="472"/>
    </row>
    <row r="771303" spans="12:13" x14ac:dyDescent="0.25">
      <c r="L771303" s="472"/>
      <c r="M771303" s="472"/>
    </row>
    <row r="771304" spans="12:13" x14ac:dyDescent="0.25">
      <c r="L771304" s="472"/>
      <c r="M771304" s="472"/>
    </row>
    <row r="771305" spans="12:13" x14ac:dyDescent="0.25">
      <c r="L771305" s="472"/>
      <c r="M771305" s="472"/>
    </row>
    <row r="771377" spans="12:13" x14ac:dyDescent="0.25">
      <c r="L771377" s="472"/>
      <c r="M771377" s="472"/>
    </row>
    <row r="771378" spans="12:13" x14ac:dyDescent="0.25">
      <c r="L771378" s="472"/>
      <c r="M771378" s="472"/>
    </row>
    <row r="771379" spans="12:13" x14ac:dyDescent="0.25">
      <c r="L771379" s="472"/>
      <c r="M771379" s="472"/>
    </row>
    <row r="771451" spans="12:13" x14ac:dyDescent="0.25">
      <c r="L771451" s="472"/>
      <c r="M771451" s="472"/>
    </row>
    <row r="771452" spans="12:13" x14ac:dyDescent="0.25">
      <c r="L771452" s="472"/>
      <c r="M771452" s="472"/>
    </row>
    <row r="771453" spans="12:13" x14ac:dyDescent="0.25">
      <c r="L771453" s="472"/>
      <c r="M771453" s="472"/>
    </row>
    <row r="771525" spans="12:13" x14ac:dyDescent="0.25">
      <c r="L771525" s="472"/>
      <c r="M771525" s="472"/>
    </row>
    <row r="771526" spans="12:13" x14ac:dyDescent="0.25">
      <c r="L771526" s="472"/>
      <c r="M771526" s="472"/>
    </row>
    <row r="771527" spans="12:13" x14ac:dyDescent="0.25">
      <c r="L771527" s="472"/>
      <c r="M771527" s="472"/>
    </row>
    <row r="771599" spans="12:13" x14ac:dyDescent="0.25">
      <c r="L771599" s="472"/>
      <c r="M771599" s="472"/>
    </row>
    <row r="771600" spans="12:13" x14ac:dyDescent="0.25">
      <c r="L771600" s="472"/>
      <c r="M771600" s="472"/>
    </row>
    <row r="771601" spans="12:13" x14ac:dyDescent="0.25">
      <c r="L771601" s="472"/>
      <c r="M771601" s="472"/>
    </row>
    <row r="771673" spans="12:13" x14ac:dyDescent="0.25">
      <c r="L771673" s="472"/>
      <c r="M771673" s="472"/>
    </row>
    <row r="771674" spans="12:13" x14ac:dyDescent="0.25">
      <c r="L771674" s="472"/>
      <c r="M771674" s="472"/>
    </row>
    <row r="771675" spans="12:13" x14ac:dyDescent="0.25">
      <c r="L771675" s="472"/>
      <c r="M771675" s="472"/>
    </row>
    <row r="771747" spans="12:13" x14ac:dyDescent="0.25">
      <c r="L771747" s="472"/>
      <c r="M771747" s="472"/>
    </row>
    <row r="771748" spans="12:13" x14ac:dyDescent="0.25">
      <c r="L771748" s="472"/>
      <c r="M771748" s="472"/>
    </row>
    <row r="771749" spans="12:13" x14ac:dyDescent="0.25">
      <c r="L771749" s="472"/>
      <c r="M771749" s="472"/>
    </row>
    <row r="771821" spans="12:13" x14ac:dyDescent="0.25">
      <c r="L771821" s="472"/>
      <c r="M771821" s="472"/>
    </row>
    <row r="771822" spans="12:13" x14ac:dyDescent="0.25">
      <c r="L771822" s="472"/>
      <c r="M771822" s="472"/>
    </row>
    <row r="771823" spans="12:13" x14ac:dyDescent="0.25">
      <c r="L771823" s="472"/>
      <c r="M771823" s="472"/>
    </row>
    <row r="771895" spans="12:13" x14ac:dyDescent="0.25">
      <c r="L771895" s="472"/>
      <c r="M771895" s="472"/>
    </row>
    <row r="771896" spans="12:13" x14ac:dyDescent="0.25">
      <c r="L771896" s="472"/>
      <c r="M771896" s="472"/>
    </row>
    <row r="771897" spans="12:13" x14ac:dyDescent="0.25">
      <c r="L771897" s="472"/>
      <c r="M771897" s="472"/>
    </row>
    <row r="771969" spans="12:13" x14ac:dyDescent="0.25">
      <c r="L771969" s="472"/>
      <c r="M771969" s="472"/>
    </row>
    <row r="771970" spans="12:13" x14ac:dyDescent="0.25">
      <c r="L771970" s="472"/>
      <c r="M771970" s="472"/>
    </row>
    <row r="771971" spans="12:13" x14ac:dyDescent="0.25">
      <c r="L771971" s="472"/>
      <c r="M771971" s="472"/>
    </row>
    <row r="772043" spans="12:13" x14ac:dyDescent="0.25">
      <c r="L772043" s="472"/>
      <c r="M772043" s="472"/>
    </row>
    <row r="772044" spans="12:13" x14ac:dyDescent="0.25">
      <c r="L772044" s="472"/>
      <c r="M772044" s="472"/>
    </row>
    <row r="772045" spans="12:13" x14ac:dyDescent="0.25">
      <c r="L772045" s="472"/>
      <c r="M772045" s="472"/>
    </row>
    <row r="772117" spans="12:13" x14ac:dyDescent="0.25">
      <c r="L772117" s="472"/>
      <c r="M772117" s="472"/>
    </row>
    <row r="772118" spans="12:13" x14ac:dyDescent="0.25">
      <c r="L772118" s="472"/>
      <c r="M772118" s="472"/>
    </row>
    <row r="772119" spans="12:13" x14ac:dyDescent="0.25">
      <c r="L772119" s="472"/>
      <c r="M772119" s="472"/>
    </row>
    <row r="772191" spans="12:13" x14ac:dyDescent="0.25">
      <c r="L772191" s="472"/>
      <c r="M772191" s="472"/>
    </row>
    <row r="772192" spans="12:13" x14ac:dyDescent="0.25">
      <c r="L772192" s="472"/>
      <c r="M772192" s="472"/>
    </row>
    <row r="772193" spans="12:13" x14ac:dyDescent="0.25">
      <c r="L772193" s="472"/>
      <c r="M772193" s="472"/>
    </row>
    <row r="772265" spans="12:13" x14ac:dyDescent="0.25">
      <c r="L772265" s="472"/>
      <c r="M772265" s="472"/>
    </row>
    <row r="772266" spans="12:13" x14ac:dyDescent="0.25">
      <c r="L772266" s="472"/>
      <c r="M772266" s="472"/>
    </row>
    <row r="772267" spans="12:13" x14ac:dyDescent="0.25">
      <c r="L772267" s="472"/>
      <c r="M772267" s="472"/>
    </row>
    <row r="772339" spans="12:13" x14ac:dyDescent="0.25">
      <c r="L772339" s="472"/>
      <c r="M772339" s="472"/>
    </row>
    <row r="772340" spans="12:13" x14ac:dyDescent="0.25">
      <c r="L772340" s="472"/>
      <c r="M772340" s="472"/>
    </row>
    <row r="772341" spans="12:13" x14ac:dyDescent="0.25">
      <c r="L772341" s="472"/>
      <c r="M772341" s="472"/>
    </row>
    <row r="772413" spans="12:13" x14ac:dyDescent="0.25">
      <c r="L772413" s="472"/>
      <c r="M772413" s="472"/>
    </row>
    <row r="772414" spans="12:13" x14ac:dyDescent="0.25">
      <c r="L772414" s="472"/>
      <c r="M772414" s="472"/>
    </row>
    <row r="772415" spans="12:13" x14ac:dyDescent="0.25">
      <c r="L772415" s="472"/>
      <c r="M772415" s="472"/>
    </row>
    <row r="772487" spans="12:13" x14ac:dyDescent="0.25">
      <c r="L772487" s="472"/>
      <c r="M772487" s="472"/>
    </row>
    <row r="772488" spans="12:13" x14ac:dyDescent="0.25">
      <c r="L772488" s="472"/>
      <c r="M772488" s="472"/>
    </row>
    <row r="772489" spans="12:13" x14ac:dyDescent="0.25">
      <c r="L772489" s="472"/>
      <c r="M772489" s="472"/>
    </row>
    <row r="772561" spans="12:13" x14ac:dyDescent="0.25">
      <c r="L772561" s="472"/>
      <c r="M772561" s="472"/>
    </row>
    <row r="772562" spans="12:13" x14ac:dyDescent="0.25">
      <c r="L772562" s="472"/>
      <c r="M772562" s="472"/>
    </row>
    <row r="772563" spans="12:13" x14ac:dyDescent="0.25">
      <c r="L772563" s="472"/>
      <c r="M772563" s="472"/>
    </row>
    <row r="772635" spans="12:13" x14ac:dyDescent="0.25">
      <c r="L772635" s="472"/>
      <c r="M772635" s="472"/>
    </row>
    <row r="772636" spans="12:13" x14ac:dyDescent="0.25">
      <c r="L772636" s="472"/>
      <c r="M772636" s="472"/>
    </row>
    <row r="772637" spans="12:13" x14ac:dyDescent="0.25">
      <c r="L772637" s="472"/>
      <c r="M772637" s="472"/>
    </row>
    <row r="772709" spans="12:13" x14ac:dyDescent="0.25">
      <c r="L772709" s="472"/>
      <c r="M772709" s="472"/>
    </row>
    <row r="772710" spans="12:13" x14ac:dyDescent="0.25">
      <c r="L772710" s="472"/>
      <c r="M772710" s="472"/>
    </row>
    <row r="772711" spans="12:13" x14ac:dyDescent="0.25">
      <c r="L772711" s="472"/>
      <c r="M772711" s="472"/>
    </row>
    <row r="772783" spans="12:13" x14ac:dyDescent="0.25">
      <c r="L772783" s="472"/>
      <c r="M772783" s="472"/>
    </row>
    <row r="772784" spans="12:13" x14ac:dyDescent="0.25">
      <c r="L772784" s="472"/>
      <c r="M772784" s="472"/>
    </row>
    <row r="772785" spans="12:13" x14ac:dyDescent="0.25">
      <c r="L772785" s="472"/>
      <c r="M772785" s="472"/>
    </row>
    <row r="772857" spans="12:13" x14ac:dyDescent="0.25">
      <c r="L772857" s="472"/>
      <c r="M772857" s="472"/>
    </row>
    <row r="772858" spans="12:13" x14ac:dyDescent="0.25">
      <c r="L772858" s="472"/>
      <c r="M772858" s="472"/>
    </row>
    <row r="772859" spans="12:13" x14ac:dyDescent="0.25">
      <c r="L772859" s="472"/>
      <c r="M772859" s="472"/>
    </row>
    <row r="772931" spans="12:13" x14ac:dyDescent="0.25">
      <c r="L772931" s="472"/>
      <c r="M772931" s="472"/>
    </row>
    <row r="772932" spans="12:13" x14ac:dyDescent="0.25">
      <c r="L772932" s="472"/>
      <c r="M772932" s="472"/>
    </row>
    <row r="772933" spans="12:13" x14ac:dyDescent="0.25">
      <c r="L772933" s="472"/>
      <c r="M772933" s="472"/>
    </row>
    <row r="773005" spans="12:13" x14ac:dyDescent="0.25">
      <c r="L773005" s="472"/>
      <c r="M773005" s="472"/>
    </row>
    <row r="773006" spans="12:13" x14ac:dyDescent="0.25">
      <c r="L773006" s="472"/>
      <c r="M773006" s="472"/>
    </row>
    <row r="773007" spans="12:13" x14ac:dyDescent="0.25">
      <c r="L773007" s="472"/>
      <c r="M773007" s="472"/>
    </row>
    <row r="773079" spans="12:13" x14ac:dyDescent="0.25">
      <c r="L773079" s="472"/>
      <c r="M773079" s="472"/>
    </row>
    <row r="773080" spans="12:13" x14ac:dyDescent="0.25">
      <c r="L773080" s="472"/>
      <c r="M773080" s="472"/>
    </row>
    <row r="773081" spans="12:13" x14ac:dyDescent="0.25">
      <c r="L773081" s="472"/>
      <c r="M773081" s="472"/>
    </row>
    <row r="773153" spans="12:13" x14ac:dyDescent="0.25">
      <c r="L773153" s="472"/>
      <c r="M773153" s="472"/>
    </row>
    <row r="773154" spans="12:13" x14ac:dyDescent="0.25">
      <c r="L773154" s="472"/>
      <c r="M773154" s="472"/>
    </row>
    <row r="773155" spans="12:13" x14ac:dyDescent="0.25">
      <c r="L773155" s="472"/>
      <c r="M773155" s="472"/>
    </row>
    <row r="773227" spans="12:13" x14ac:dyDescent="0.25">
      <c r="L773227" s="472"/>
      <c r="M773227" s="472"/>
    </row>
    <row r="773228" spans="12:13" x14ac:dyDescent="0.25">
      <c r="L773228" s="472"/>
      <c r="M773228" s="472"/>
    </row>
    <row r="773229" spans="12:13" x14ac:dyDescent="0.25">
      <c r="L773229" s="472"/>
      <c r="M773229" s="472"/>
    </row>
    <row r="773301" spans="12:13" x14ac:dyDescent="0.25">
      <c r="L773301" s="472"/>
      <c r="M773301" s="472"/>
    </row>
    <row r="773302" spans="12:13" x14ac:dyDescent="0.25">
      <c r="L773302" s="472"/>
      <c r="M773302" s="472"/>
    </row>
    <row r="773303" spans="12:13" x14ac:dyDescent="0.25">
      <c r="L773303" s="472"/>
      <c r="M773303" s="472"/>
    </row>
    <row r="773375" spans="12:13" x14ac:dyDescent="0.25">
      <c r="L773375" s="472"/>
      <c r="M773375" s="472"/>
    </row>
    <row r="773376" spans="12:13" x14ac:dyDescent="0.25">
      <c r="L773376" s="472"/>
      <c r="M773376" s="472"/>
    </row>
    <row r="773377" spans="12:13" x14ac:dyDescent="0.25">
      <c r="L773377" s="472"/>
      <c r="M773377" s="472"/>
    </row>
    <row r="773449" spans="12:13" x14ac:dyDescent="0.25">
      <c r="L773449" s="472"/>
      <c r="M773449" s="472"/>
    </row>
    <row r="773450" spans="12:13" x14ac:dyDescent="0.25">
      <c r="L773450" s="472"/>
      <c r="M773450" s="472"/>
    </row>
    <row r="773451" spans="12:13" x14ac:dyDescent="0.25">
      <c r="L773451" s="472"/>
      <c r="M773451" s="472"/>
    </row>
    <row r="773523" spans="12:13" x14ac:dyDescent="0.25">
      <c r="L773523" s="472"/>
      <c r="M773523" s="472"/>
    </row>
    <row r="773524" spans="12:13" x14ac:dyDescent="0.25">
      <c r="L773524" s="472"/>
      <c r="M773524" s="472"/>
    </row>
    <row r="773525" spans="12:13" x14ac:dyDescent="0.25">
      <c r="L773525" s="472"/>
      <c r="M773525" s="472"/>
    </row>
    <row r="773597" spans="12:13" x14ac:dyDescent="0.25">
      <c r="L773597" s="472"/>
      <c r="M773597" s="472"/>
    </row>
    <row r="773598" spans="12:13" x14ac:dyDescent="0.25">
      <c r="L773598" s="472"/>
      <c r="M773598" s="472"/>
    </row>
    <row r="773599" spans="12:13" x14ac:dyDescent="0.25">
      <c r="L773599" s="472"/>
      <c r="M773599" s="472"/>
    </row>
    <row r="773671" spans="12:13" x14ac:dyDescent="0.25">
      <c r="L773671" s="472"/>
      <c r="M773671" s="472"/>
    </row>
    <row r="773672" spans="12:13" x14ac:dyDescent="0.25">
      <c r="L773672" s="472"/>
      <c r="M773672" s="472"/>
    </row>
    <row r="773673" spans="12:13" x14ac:dyDescent="0.25">
      <c r="L773673" s="472"/>
      <c r="M773673" s="472"/>
    </row>
    <row r="773745" spans="12:13" x14ac:dyDescent="0.25">
      <c r="L773745" s="472"/>
      <c r="M773745" s="472"/>
    </row>
    <row r="773746" spans="12:13" x14ac:dyDescent="0.25">
      <c r="L773746" s="472"/>
      <c r="M773746" s="472"/>
    </row>
    <row r="773747" spans="12:13" x14ac:dyDescent="0.25">
      <c r="L773747" s="472"/>
      <c r="M773747" s="472"/>
    </row>
    <row r="773819" spans="12:13" x14ac:dyDescent="0.25">
      <c r="L773819" s="472"/>
      <c r="M773819" s="472"/>
    </row>
    <row r="773820" spans="12:13" x14ac:dyDescent="0.25">
      <c r="L773820" s="472"/>
      <c r="M773820" s="472"/>
    </row>
    <row r="773821" spans="12:13" x14ac:dyDescent="0.25">
      <c r="L773821" s="472"/>
      <c r="M773821" s="472"/>
    </row>
    <row r="773893" spans="12:13" x14ac:dyDescent="0.25">
      <c r="L773893" s="472"/>
      <c r="M773893" s="472"/>
    </row>
    <row r="773894" spans="12:13" x14ac:dyDescent="0.25">
      <c r="L773894" s="472"/>
      <c r="M773894" s="472"/>
    </row>
    <row r="773895" spans="12:13" x14ac:dyDescent="0.25">
      <c r="L773895" s="472"/>
      <c r="M773895" s="472"/>
    </row>
    <row r="773967" spans="12:13" x14ac:dyDescent="0.25">
      <c r="L773967" s="472"/>
      <c r="M773967" s="472"/>
    </row>
    <row r="773968" spans="12:13" x14ac:dyDescent="0.25">
      <c r="L773968" s="472"/>
      <c r="M773968" s="472"/>
    </row>
    <row r="773969" spans="12:13" x14ac:dyDescent="0.25">
      <c r="L773969" s="472"/>
      <c r="M773969" s="472"/>
    </row>
    <row r="774041" spans="12:13" x14ac:dyDescent="0.25">
      <c r="L774041" s="472"/>
      <c r="M774041" s="472"/>
    </row>
    <row r="774042" spans="12:13" x14ac:dyDescent="0.25">
      <c r="L774042" s="472"/>
      <c r="M774042" s="472"/>
    </row>
    <row r="774043" spans="12:13" x14ac:dyDescent="0.25">
      <c r="L774043" s="472"/>
      <c r="M774043" s="472"/>
    </row>
    <row r="774115" spans="12:13" x14ac:dyDescent="0.25">
      <c r="L774115" s="472"/>
      <c r="M774115" s="472"/>
    </row>
    <row r="774116" spans="12:13" x14ac:dyDescent="0.25">
      <c r="L774116" s="472"/>
      <c r="M774116" s="472"/>
    </row>
    <row r="774117" spans="12:13" x14ac:dyDescent="0.25">
      <c r="L774117" s="472"/>
      <c r="M774117" s="472"/>
    </row>
    <row r="774189" spans="12:13" x14ac:dyDescent="0.25">
      <c r="L774189" s="472"/>
      <c r="M774189" s="472"/>
    </row>
    <row r="774190" spans="12:13" x14ac:dyDescent="0.25">
      <c r="L774190" s="472"/>
      <c r="M774190" s="472"/>
    </row>
    <row r="774191" spans="12:13" x14ac:dyDescent="0.25">
      <c r="L774191" s="472"/>
      <c r="M774191" s="472"/>
    </row>
    <row r="774263" spans="12:13" x14ac:dyDescent="0.25">
      <c r="L774263" s="472"/>
      <c r="M774263" s="472"/>
    </row>
    <row r="774264" spans="12:13" x14ac:dyDescent="0.25">
      <c r="L774264" s="472"/>
      <c r="M774264" s="472"/>
    </row>
    <row r="774265" spans="12:13" x14ac:dyDescent="0.25">
      <c r="L774265" s="472"/>
      <c r="M774265" s="472"/>
    </row>
    <row r="774337" spans="12:13" x14ac:dyDescent="0.25">
      <c r="L774337" s="472"/>
      <c r="M774337" s="472"/>
    </row>
    <row r="774338" spans="12:13" x14ac:dyDescent="0.25">
      <c r="L774338" s="472"/>
      <c r="M774338" s="472"/>
    </row>
    <row r="774339" spans="12:13" x14ac:dyDescent="0.25">
      <c r="L774339" s="472"/>
      <c r="M774339" s="472"/>
    </row>
    <row r="774411" spans="12:13" x14ac:dyDescent="0.25">
      <c r="L774411" s="472"/>
      <c r="M774411" s="472"/>
    </row>
    <row r="774412" spans="12:13" x14ac:dyDescent="0.25">
      <c r="L774412" s="472"/>
      <c r="M774412" s="472"/>
    </row>
    <row r="774413" spans="12:13" x14ac:dyDescent="0.25">
      <c r="L774413" s="472"/>
      <c r="M774413" s="472"/>
    </row>
    <row r="774485" spans="12:13" x14ac:dyDescent="0.25">
      <c r="L774485" s="472"/>
      <c r="M774485" s="472"/>
    </row>
    <row r="774486" spans="12:13" x14ac:dyDescent="0.25">
      <c r="L774486" s="472"/>
      <c r="M774486" s="472"/>
    </row>
    <row r="774487" spans="12:13" x14ac:dyDescent="0.25">
      <c r="L774487" s="472"/>
      <c r="M774487" s="472"/>
    </row>
    <row r="774559" spans="12:13" x14ac:dyDescent="0.25">
      <c r="L774559" s="472"/>
      <c r="M774559" s="472"/>
    </row>
    <row r="774560" spans="12:13" x14ac:dyDescent="0.25">
      <c r="L774560" s="472"/>
      <c r="M774560" s="472"/>
    </row>
    <row r="774561" spans="12:13" x14ac:dyDescent="0.25">
      <c r="L774561" s="472"/>
      <c r="M774561" s="472"/>
    </row>
    <row r="774633" spans="12:13" x14ac:dyDescent="0.25">
      <c r="L774633" s="472"/>
      <c r="M774633" s="472"/>
    </row>
    <row r="774634" spans="12:13" x14ac:dyDescent="0.25">
      <c r="L774634" s="472"/>
      <c r="M774634" s="472"/>
    </row>
    <row r="774635" spans="12:13" x14ac:dyDescent="0.25">
      <c r="L774635" s="472"/>
      <c r="M774635" s="472"/>
    </row>
    <row r="774707" spans="12:13" x14ac:dyDescent="0.25">
      <c r="L774707" s="472"/>
      <c r="M774707" s="472"/>
    </row>
    <row r="774708" spans="12:13" x14ac:dyDescent="0.25">
      <c r="L774708" s="472"/>
      <c r="M774708" s="472"/>
    </row>
    <row r="774709" spans="12:13" x14ac:dyDescent="0.25">
      <c r="L774709" s="472"/>
      <c r="M774709" s="472"/>
    </row>
    <row r="774781" spans="12:13" x14ac:dyDescent="0.25">
      <c r="L774781" s="472"/>
      <c r="M774781" s="472"/>
    </row>
    <row r="774782" spans="12:13" x14ac:dyDescent="0.25">
      <c r="L774782" s="472"/>
      <c r="M774782" s="472"/>
    </row>
    <row r="774783" spans="12:13" x14ac:dyDescent="0.25">
      <c r="L774783" s="472"/>
      <c r="M774783" s="472"/>
    </row>
    <row r="774855" spans="12:13" x14ac:dyDescent="0.25">
      <c r="L774855" s="472"/>
      <c r="M774855" s="472"/>
    </row>
    <row r="774856" spans="12:13" x14ac:dyDescent="0.25">
      <c r="L774856" s="472"/>
      <c r="M774856" s="472"/>
    </row>
    <row r="774857" spans="12:13" x14ac:dyDescent="0.25">
      <c r="L774857" s="472"/>
      <c r="M774857" s="472"/>
    </row>
    <row r="774929" spans="12:13" x14ac:dyDescent="0.25">
      <c r="L774929" s="472"/>
      <c r="M774929" s="472"/>
    </row>
    <row r="774930" spans="12:13" x14ac:dyDescent="0.25">
      <c r="L774930" s="472"/>
      <c r="M774930" s="472"/>
    </row>
    <row r="774931" spans="12:13" x14ac:dyDescent="0.25">
      <c r="L774931" s="472"/>
      <c r="M774931" s="472"/>
    </row>
    <row r="775003" spans="12:13" x14ac:dyDescent="0.25">
      <c r="L775003" s="472"/>
      <c r="M775003" s="472"/>
    </row>
    <row r="775004" spans="12:13" x14ac:dyDescent="0.25">
      <c r="L775004" s="472"/>
      <c r="M775004" s="472"/>
    </row>
    <row r="775005" spans="12:13" x14ac:dyDescent="0.25">
      <c r="L775005" s="472"/>
      <c r="M775005" s="472"/>
    </row>
    <row r="775077" spans="12:13" x14ac:dyDescent="0.25">
      <c r="L775077" s="472"/>
      <c r="M775077" s="472"/>
    </row>
    <row r="775078" spans="12:13" x14ac:dyDescent="0.25">
      <c r="L775078" s="472"/>
      <c r="M775078" s="472"/>
    </row>
    <row r="775079" spans="12:13" x14ac:dyDescent="0.25">
      <c r="L775079" s="472"/>
      <c r="M775079" s="472"/>
    </row>
    <row r="775151" spans="12:13" x14ac:dyDescent="0.25">
      <c r="L775151" s="472"/>
      <c r="M775151" s="472"/>
    </row>
    <row r="775152" spans="12:13" x14ac:dyDescent="0.25">
      <c r="L775152" s="472"/>
      <c r="M775152" s="472"/>
    </row>
    <row r="775153" spans="12:13" x14ac:dyDescent="0.25">
      <c r="L775153" s="472"/>
      <c r="M775153" s="472"/>
    </row>
    <row r="775225" spans="12:13" x14ac:dyDescent="0.25">
      <c r="L775225" s="472"/>
      <c r="M775225" s="472"/>
    </row>
    <row r="775226" spans="12:13" x14ac:dyDescent="0.25">
      <c r="L775226" s="472"/>
      <c r="M775226" s="472"/>
    </row>
    <row r="775227" spans="12:13" x14ac:dyDescent="0.25">
      <c r="L775227" s="472"/>
      <c r="M775227" s="472"/>
    </row>
    <row r="775299" spans="12:13" x14ac:dyDescent="0.25">
      <c r="L775299" s="472"/>
      <c r="M775299" s="472"/>
    </row>
    <row r="775300" spans="12:13" x14ac:dyDescent="0.25">
      <c r="L775300" s="472"/>
      <c r="M775300" s="472"/>
    </row>
    <row r="775301" spans="12:13" x14ac:dyDescent="0.25">
      <c r="L775301" s="472"/>
      <c r="M775301" s="472"/>
    </row>
    <row r="775373" spans="12:13" x14ac:dyDescent="0.25">
      <c r="L775373" s="472"/>
      <c r="M775373" s="472"/>
    </row>
    <row r="775374" spans="12:13" x14ac:dyDescent="0.25">
      <c r="L775374" s="472"/>
      <c r="M775374" s="472"/>
    </row>
    <row r="775375" spans="12:13" x14ac:dyDescent="0.25">
      <c r="L775375" s="472"/>
      <c r="M775375" s="472"/>
    </row>
    <row r="775447" spans="12:13" x14ac:dyDescent="0.25">
      <c r="L775447" s="472"/>
      <c r="M775447" s="472"/>
    </row>
    <row r="775448" spans="12:13" x14ac:dyDescent="0.25">
      <c r="L775448" s="472"/>
      <c r="M775448" s="472"/>
    </row>
    <row r="775449" spans="12:13" x14ac:dyDescent="0.25">
      <c r="L775449" s="472"/>
      <c r="M775449" s="472"/>
    </row>
    <row r="775521" spans="12:13" x14ac:dyDescent="0.25">
      <c r="L775521" s="472"/>
      <c r="M775521" s="472"/>
    </row>
    <row r="775522" spans="12:13" x14ac:dyDescent="0.25">
      <c r="L775522" s="472"/>
      <c r="M775522" s="472"/>
    </row>
    <row r="775523" spans="12:13" x14ac:dyDescent="0.25">
      <c r="L775523" s="472"/>
      <c r="M775523" s="472"/>
    </row>
    <row r="775595" spans="12:13" x14ac:dyDescent="0.25">
      <c r="L775595" s="472"/>
      <c r="M775595" s="472"/>
    </row>
    <row r="775596" spans="12:13" x14ac:dyDescent="0.25">
      <c r="L775596" s="472"/>
      <c r="M775596" s="472"/>
    </row>
    <row r="775597" spans="12:13" x14ac:dyDescent="0.25">
      <c r="L775597" s="472"/>
      <c r="M775597" s="472"/>
    </row>
    <row r="775669" spans="12:13" x14ac:dyDescent="0.25">
      <c r="L775669" s="472"/>
      <c r="M775669" s="472"/>
    </row>
    <row r="775670" spans="12:13" x14ac:dyDescent="0.25">
      <c r="L775670" s="472"/>
      <c r="M775670" s="472"/>
    </row>
    <row r="775671" spans="12:13" x14ac:dyDescent="0.25">
      <c r="L775671" s="472"/>
      <c r="M775671" s="472"/>
    </row>
    <row r="775743" spans="12:13" x14ac:dyDescent="0.25">
      <c r="L775743" s="472"/>
      <c r="M775743" s="472"/>
    </row>
    <row r="775744" spans="12:13" x14ac:dyDescent="0.25">
      <c r="L775744" s="472"/>
      <c r="M775744" s="472"/>
    </row>
    <row r="775745" spans="12:13" x14ac:dyDescent="0.25">
      <c r="L775745" s="472"/>
      <c r="M775745" s="472"/>
    </row>
    <row r="775817" spans="12:13" x14ac:dyDescent="0.25">
      <c r="L775817" s="472"/>
      <c r="M775817" s="472"/>
    </row>
    <row r="775818" spans="12:13" x14ac:dyDescent="0.25">
      <c r="L775818" s="472"/>
      <c r="M775818" s="472"/>
    </row>
    <row r="775819" spans="12:13" x14ac:dyDescent="0.25">
      <c r="L775819" s="472"/>
      <c r="M775819" s="472"/>
    </row>
    <row r="775891" spans="12:13" x14ac:dyDescent="0.25">
      <c r="L775891" s="472"/>
      <c r="M775891" s="472"/>
    </row>
    <row r="775892" spans="12:13" x14ac:dyDescent="0.25">
      <c r="L775892" s="472"/>
      <c r="M775892" s="472"/>
    </row>
    <row r="775893" spans="12:13" x14ac:dyDescent="0.25">
      <c r="L775893" s="472"/>
      <c r="M775893" s="472"/>
    </row>
    <row r="775965" spans="12:13" x14ac:dyDescent="0.25">
      <c r="L775965" s="472"/>
      <c r="M775965" s="472"/>
    </row>
    <row r="775966" spans="12:13" x14ac:dyDescent="0.25">
      <c r="L775966" s="472"/>
      <c r="M775966" s="472"/>
    </row>
    <row r="775967" spans="12:13" x14ac:dyDescent="0.25">
      <c r="L775967" s="472"/>
      <c r="M775967" s="472"/>
    </row>
    <row r="776039" spans="12:13" x14ac:dyDescent="0.25">
      <c r="L776039" s="472"/>
      <c r="M776039" s="472"/>
    </row>
    <row r="776040" spans="12:13" x14ac:dyDescent="0.25">
      <c r="L776040" s="472"/>
      <c r="M776040" s="472"/>
    </row>
    <row r="776041" spans="12:13" x14ac:dyDescent="0.25">
      <c r="L776041" s="472"/>
      <c r="M776041" s="472"/>
    </row>
    <row r="776113" spans="12:13" x14ac:dyDescent="0.25">
      <c r="L776113" s="472"/>
      <c r="M776113" s="472"/>
    </row>
    <row r="776114" spans="12:13" x14ac:dyDescent="0.25">
      <c r="L776114" s="472"/>
      <c r="M776114" s="472"/>
    </row>
    <row r="776115" spans="12:13" x14ac:dyDescent="0.25">
      <c r="L776115" s="472"/>
      <c r="M776115" s="472"/>
    </row>
    <row r="776187" spans="12:13" x14ac:dyDescent="0.25">
      <c r="L776187" s="472"/>
      <c r="M776187" s="472"/>
    </row>
    <row r="776188" spans="12:13" x14ac:dyDescent="0.25">
      <c r="L776188" s="472"/>
      <c r="M776188" s="472"/>
    </row>
    <row r="776189" spans="12:13" x14ac:dyDescent="0.25">
      <c r="L776189" s="472"/>
      <c r="M776189" s="472"/>
    </row>
    <row r="776261" spans="12:13" x14ac:dyDescent="0.25">
      <c r="L776261" s="472"/>
      <c r="M776261" s="472"/>
    </row>
    <row r="776262" spans="12:13" x14ac:dyDescent="0.25">
      <c r="L776262" s="472"/>
      <c r="M776262" s="472"/>
    </row>
    <row r="776263" spans="12:13" x14ac:dyDescent="0.25">
      <c r="L776263" s="472"/>
      <c r="M776263" s="472"/>
    </row>
    <row r="776335" spans="12:13" x14ac:dyDescent="0.25">
      <c r="L776335" s="472"/>
      <c r="M776335" s="472"/>
    </row>
    <row r="776336" spans="12:13" x14ac:dyDescent="0.25">
      <c r="L776336" s="472"/>
      <c r="M776336" s="472"/>
    </row>
    <row r="776337" spans="12:13" x14ac:dyDescent="0.25">
      <c r="L776337" s="472"/>
      <c r="M776337" s="472"/>
    </row>
    <row r="776409" spans="12:13" x14ac:dyDescent="0.25">
      <c r="L776409" s="472"/>
      <c r="M776409" s="472"/>
    </row>
    <row r="776410" spans="12:13" x14ac:dyDescent="0.25">
      <c r="L776410" s="472"/>
      <c r="M776410" s="472"/>
    </row>
    <row r="776411" spans="12:13" x14ac:dyDescent="0.25">
      <c r="L776411" s="472"/>
      <c r="M776411" s="472"/>
    </row>
    <row r="776483" spans="12:13" x14ac:dyDescent="0.25">
      <c r="L776483" s="472"/>
      <c r="M776483" s="472"/>
    </row>
    <row r="776484" spans="12:13" x14ac:dyDescent="0.25">
      <c r="L776484" s="472"/>
      <c r="M776484" s="472"/>
    </row>
    <row r="776485" spans="12:13" x14ac:dyDescent="0.25">
      <c r="L776485" s="472"/>
      <c r="M776485" s="472"/>
    </row>
    <row r="776557" spans="12:13" x14ac:dyDescent="0.25">
      <c r="L776557" s="472"/>
      <c r="M776557" s="472"/>
    </row>
    <row r="776558" spans="12:13" x14ac:dyDescent="0.25">
      <c r="L776558" s="472"/>
      <c r="M776558" s="472"/>
    </row>
    <row r="776559" spans="12:13" x14ac:dyDescent="0.25">
      <c r="L776559" s="472"/>
      <c r="M776559" s="472"/>
    </row>
    <row r="776631" spans="12:13" x14ac:dyDescent="0.25">
      <c r="L776631" s="472"/>
      <c r="M776631" s="472"/>
    </row>
    <row r="776632" spans="12:13" x14ac:dyDescent="0.25">
      <c r="L776632" s="472"/>
      <c r="M776632" s="472"/>
    </row>
    <row r="776633" spans="12:13" x14ac:dyDescent="0.25">
      <c r="L776633" s="472"/>
      <c r="M776633" s="472"/>
    </row>
    <row r="776705" spans="12:13" x14ac:dyDescent="0.25">
      <c r="L776705" s="472"/>
      <c r="M776705" s="472"/>
    </row>
    <row r="776706" spans="12:13" x14ac:dyDescent="0.25">
      <c r="L776706" s="472"/>
      <c r="M776706" s="472"/>
    </row>
    <row r="776707" spans="12:13" x14ac:dyDescent="0.25">
      <c r="L776707" s="472"/>
      <c r="M776707" s="472"/>
    </row>
    <row r="776779" spans="12:13" x14ac:dyDescent="0.25">
      <c r="L776779" s="472"/>
      <c r="M776779" s="472"/>
    </row>
    <row r="776780" spans="12:13" x14ac:dyDescent="0.25">
      <c r="L776780" s="472"/>
      <c r="M776780" s="472"/>
    </row>
    <row r="776781" spans="12:13" x14ac:dyDescent="0.25">
      <c r="L776781" s="472"/>
      <c r="M776781" s="472"/>
    </row>
    <row r="776853" spans="12:13" x14ac:dyDescent="0.25">
      <c r="L776853" s="472"/>
      <c r="M776853" s="472"/>
    </row>
    <row r="776854" spans="12:13" x14ac:dyDescent="0.25">
      <c r="L776854" s="472"/>
      <c r="M776854" s="472"/>
    </row>
    <row r="776855" spans="12:13" x14ac:dyDescent="0.25">
      <c r="L776855" s="472"/>
      <c r="M776855" s="472"/>
    </row>
    <row r="776927" spans="12:13" x14ac:dyDescent="0.25">
      <c r="L776927" s="472"/>
      <c r="M776927" s="472"/>
    </row>
    <row r="776928" spans="12:13" x14ac:dyDescent="0.25">
      <c r="L776928" s="472"/>
      <c r="M776928" s="472"/>
    </row>
    <row r="776929" spans="12:13" x14ac:dyDescent="0.25">
      <c r="L776929" s="472"/>
      <c r="M776929" s="472"/>
    </row>
    <row r="777001" spans="12:13" x14ac:dyDescent="0.25">
      <c r="L777001" s="472"/>
      <c r="M777001" s="472"/>
    </row>
    <row r="777002" spans="12:13" x14ac:dyDescent="0.25">
      <c r="L777002" s="472"/>
      <c r="M777002" s="472"/>
    </row>
    <row r="777003" spans="12:13" x14ac:dyDescent="0.25">
      <c r="L777003" s="472"/>
      <c r="M777003" s="472"/>
    </row>
    <row r="777075" spans="12:13" x14ac:dyDescent="0.25">
      <c r="L777075" s="472"/>
      <c r="M777075" s="472"/>
    </row>
    <row r="777076" spans="12:13" x14ac:dyDescent="0.25">
      <c r="L777076" s="472"/>
      <c r="M777076" s="472"/>
    </row>
    <row r="777077" spans="12:13" x14ac:dyDescent="0.25">
      <c r="L777077" s="472"/>
      <c r="M777077" s="472"/>
    </row>
    <row r="777149" spans="12:13" x14ac:dyDescent="0.25">
      <c r="L777149" s="472"/>
      <c r="M777149" s="472"/>
    </row>
    <row r="777150" spans="12:13" x14ac:dyDescent="0.25">
      <c r="L777150" s="472"/>
      <c r="M777150" s="472"/>
    </row>
    <row r="777151" spans="12:13" x14ac:dyDescent="0.25">
      <c r="L777151" s="472"/>
      <c r="M777151" s="472"/>
    </row>
    <row r="777223" spans="12:13" x14ac:dyDescent="0.25">
      <c r="L777223" s="472"/>
      <c r="M777223" s="472"/>
    </row>
    <row r="777224" spans="12:13" x14ac:dyDescent="0.25">
      <c r="L777224" s="472"/>
      <c r="M777224" s="472"/>
    </row>
    <row r="777225" spans="12:13" x14ac:dyDescent="0.25">
      <c r="L777225" s="472"/>
      <c r="M777225" s="472"/>
    </row>
    <row r="777297" spans="12:13" x14ac:dyDescent="0.25">
      <c r="L777297" s="472"/>
      <c r="M777297" s="472"/>
    </row>
    <row r="777298" spans="12:13" x14ac:dyDescent="0.25">
      <c r="L777298" s="472"/>
      <c r="M777298" s="472"/>
    </row>
    <row r="777299" spans="12:13" x14ac:dyDescent="0.25">
      <c r="L777299" s="472"/>
      <c r="M777299" s="472"/>
    </row>
    <row r="777371" spans="12:13" x14ac:dyDescent="0.25">
      <c r="L777371" s="472"/>
      <c r="M777371" s="472"/>
    </row>
    <row r="777372" spans="12:13" x14ac:dyDescent="0.25">
      <c r="L777372" s="472"/>
      <c r="M777372" s="472"/>
    </row>
    <row r="777373" spans="12:13" x14ac:dyDescent="0.25">
      <c r="L777373" s="472"/>
      <c r="M777373" s="472"/>
    </row>
    <row r="777445" spans="12:13" x14ac:dyDescent="0.25">
      <c r="L777445" s="472"/>
      <c r="M777445" s="472"/>
    </row>
    <row r="777446" spans="12:13" x14ac:dyDescent="0.25">
      <c r="L777446" s="472"/>
      <c r="M777446" s="472"/>
    </row>
    <row r="777447" spans="12:13" x14ac:dyDescent="0.25">
      <c r="L777447" s="472"/>
      <c r="M777447" s="472"/>
    </row>
    <row r="777519" spans="12:13" x14ac:dyDescent="0.25">
      <c r="L777519" s="472"/>
      <c r="M777519" s="472"/>
    </row>
    <row r="777520" spans="12:13" x14ac:dyDescent="0.25">
      <c r="L777520" s="472"/>
      <c r="M777520" s="472"/>
    </row>
    <row r="777521" spans="12:13" x14ac:dyDescent="0.25">
      <c r="L777521" s="472"/>
      <c r="M777521" s="472"/>
    </row>
    <row r="777593" spans="12:13" x14ac:dyDescent="0.25">
      <c r="L777593" s="472"/>
      <c r="M777593" s="472"/>
    </row>
    <row r="777594" spans="12:13" x14ac:dyDescent="0.25">
      <c r="L777594" s="472"/>
      <c r="M777594" s="472"/>
    </row>
    <row r="777595" spans="12:13" x14ac:dyDescent="0.25">
      <c r="L777595" s="472"/>
      <c r="M777595" s="472"/>
    </row>
    <row r="777667" spans="12:13" x14ac:dyDescent="0.25">
      <c r="L777667" s="472"/>
      <c r="M777667" s="472"/>
    </row>
    <row r="777668" spans="12:13" x14ac:dyDescent="0.25">
      <c r="L777668" s="472"/>
      <c r="M777668" s="472"/>
    </row>
    <row r="777669" spans="12:13" x14ac:dyDescent="0.25">
      <c r="L777669" s="472"/>
      <c r="M777669" s="472"/>
    </row>
    <row r="777741" spans="12:13" x14ac:dyDescent="0.25">
      <c r="L777741" s="472"/>
      <c r="M777741" s="472"/>
    </row>
    <row r="777742" spans="12:13" x14ac:dyDescent="0.25">
      <c r="L777742" s="472"/>
      <c r="M777742" s="472"/>
    </row>
    <row r="777743" spans="12:13" x14ac:dyDescent="0.25">
      <c r="L777743" s="472"/>
      <c r="M777743" s="472"/>
    </row>
    <row r="777815" spans="12:13" x14ac:dyDescent="0.25">
      <c r="L777815" s="472"/>
      <c r="M777815" s="472"/>
    </row>
    <row r="777816" spans="12:13" x14ac:dyDescent="0.25">
      <c r="L777816" s="472"/>
      <c r="M777816" s="472"/>
    </row>
    <row r="777817" spans="12:13" x14ac:dyDescent="0.25">
      <c r="L777817" s="472"/>
      <c r="M777817" s="472"/>
    </row>
    <row r="777889" spans="12:13" x14ac:dyDescent="0.25">
      <c r="L777889" s="472"/>
      <c r="M777889" s="472"/>
    </row>
    <row r="777890" spans="12:13" x14ac:dyDescent="0.25">
      <c r="L777890" s="472"/>
      <c r="M777890" s="472"/>
    </row>
    <row r="777891" spans="12:13" x14ac:dyDescent="0.25">
      <c r="L777891" s="472"/>
      <c r="M777891" s="472"/>
    </row>
    <row r="777963" spans="12:13" x14ac:dyDescent="0.25">
      <c r="L777963" s="472"/>
      <c r="M777963" s="472"/>
    </row>
    <row r="777964" spans="12:13" x14ac:dyDescent="0.25">
      <c r="L777964" s="472"/>
      <c r="M777964" s="472"/>
    </row>
    <row r="777965" spans="12:13" x14ac:dyDescent="0.25">
      <c r="L777965" s="472"/>
      <c r="M777965" s="472"/>
    </row>
    <row r="778037" spans="12:13" x14ac:dyDescent="0.25">
      <c r="L778037" s="472"/>
      <c r="M778037" s="472"/>
    </row>
    <row r="778038" spans="12:13" x14ac:dyDescent="0.25">
      <c r="L778038" s="472"/>
      <c r="M778038" s="472"/>
    </row>
    <row r="778039" spans="12:13" x14ac:dyDescent="0.25">
      <c r="L778039" s="472"/>
      <c r="M778039" s="472"/>
    </row>
    <row r="778111" spans="12:13" x14ac:dyDescent="0.25">
      <c r="L778111" s="472"/>
      <c r="M778111" s="472"/>
    </row>
    <row r="778112" spans="12:13" x14ac:dyDescent="0.25">
      <c r="L778112" s="472"/>
      <c r="M778112" s="472"/>
    </row>
    <row r="778113" spans="12:13" x14ac:dyDescent="0.25">
      <c r="L778113" s="472"/>
      <c r="M778113" s="472"/>
    </row>
    <row r="778185" spans="12:13" x14ac:dyDescent="0.25">
      <c r="L778185" s="472"/>
      <c r="M778185" s="472"/>
    </row>
    <row r="778186" spans="12:13" x14ac:dyDescent="0.25">
      <c r="L778186" s="472"/>
      <c r="M778186" s="472"/>
    </row>
    <row r="778187" spans="12:13" x14ac:dyDescent="0.25">
      <c r="L778187" s="472"/>
      <c r="M778187" s="472"/>
    </row>
    <row r="778259" spans="12:13" x14ac:dyDescent="0.25">
      <c r="L778259" s="472"/>
      <c r="M778259" s="472"/>
    </row>
    <row r="778260" spans="12:13" x14ac:dyDescent="0.25">
      <c r="L778260" s="472"/>
      <c r="M778260" s="472"/>
    </row>
    <row r="778261" spans="12:13" x14ac:dyDescent="0.25">
      <c r="L778261" s="472"/>
      <c r="M778261" s="472"/>
    </row>
    <row r="778333" spans="12:13" x14ac:dyDescent="0.25">
      <c r="L778333" s="472"/>
      <c r="M778333" s="472"/>
    </row>
    <row r="778334" spans="12:13" x14ac:dyDescent="0.25">
      <c r="L778334" s="472"/>
      <c r="M778334" s="472"/>
    </row>
    <row r="778335" spans="12:13" x14ac:dyDescent="0.25">
      <c r="L778335" s="472"/>
      <c r="M778335" s="472"/>
    </row>
    <row r="778407" spans="12:13" x14ac:dyDescent="0.25">
      <c r="L778407" s="472"/>
      <c r="M778407" s="472"/>
    </row>
    <row r="778408" spans="12:13" x14ac:dyDescent="0.25">
      <c r="L778408" s="472"/>
      <c r="M778408" s="472"/>
    </row>
    <row r="778409" spans="12:13" x14ac:dyDescent="0.25">
      <c r="L778409" s="472"/>
      <c r="M778409" s="472"/>
    </row>
    <row r="778481" spans="12:13" x14ac:dyDescent="0.25">
      <c r="L778481" s="472"/>
      <c r="M778481" s="472"/>
    </row>
    <row r="778482" spans="12:13" x14ac:dyDescent="0.25">
      <c r="L778482" s="472"/>
      <c r="M778482" s="472"/>
    </row>
    <row r="778483" spans="12:13" x14ac:dyDescent="0.25">
      <c r="L778483" s="472"/>
      <c r="M778483" s="472"/>
    </row>
    <row r="778555" spans="12:13" x14ac:dyDescent="0.25">
      <c r="L778555" s="472"/>
      <c r="M778555" s="472"/>
    </row>
    <row r="778556" spans="12:13" x14ac:dyDescent="0.25">
      <c r="L778556" s="472"/>
      <c r="M778556" s="472"/>
    </row>
    <row r="778557" spans="12:13" x14ac:dyDescent="0.25">
      <c r="L778557" s="472"/>
      <c r="M778557" s="472"/>
    </row>
    <row r="778629" spans="12:13" x14ac:dyDescent="0.25">
      <c r="L778629" s="472"/>
      <c r="M778629" s="472"/>
    </row>
    <row r="778630" spans="12:13" x14ac:dyDescent="0.25">
      <c r="L778630" s="472"/>
      <c r="M778630" s="472"/>
    </row>
    <row r="778631" spans="12:13" x14ac:dyDescent="0.25">
      <c r="L778631" s="472"/>
      <c r="M778631" s="472"/>
    </row>
    <row r="778703" spans="12:13" x14ac:dyDescent="0.25">
      <c r="L778703" s="472"/>
      <c r="M778703" s="472"/>
    </row>
    <row r="778704" spans="12:13" x14ac:dyDescent="0.25">
      <c r="L778704" s="472"/>
      <c r="M778704" s="472"/>
    </row>
    <row r="778705" spans="12:13" x14ac:dyDescent="0.25">
      <c r="L778705" s="472"/>
      <c r="M778705" s="472"/>
    </row>
    <row r="778777" spans="12:13" x14ac:dyDescent="0.25">
      <c r="L778777" s="472"/>
      <c r="M778777" s="472"/>
    </row>
    <row r="778778" spans="12:13" x14ac:dyDescent="0.25">
      <c r="L778778" s="472"/>
      <c r="M778778" s="472"/>
    </row>
    <row r="778779" spans="12:13" x14ac:dyDescent="0.25">
      <c r="L778779" s="472"/>
      <c r="M778779" s="472"/>
    </row>
    <row r="778851" spans="12:13" x14ac:dyDescent="0.25">
      <c r="L778851" s="472"/>
      <c r="M778851" s="472"/>
    </row>
    <row r="778852" spans="12:13" x14ac:dyDescent="0.25">
      <c r="L778852" s="472"/>
      <c r="M778852" s="472"/>
    </row>
    <row r="778853" spans="12:13" x14ac:dyDescent="0.25">
      <c r="L778853" s="472"/>
      <c r="M778853" s="472"/>
    </row>
    <row r="778925" spans="12:13" x14ac:dyDescent="0.25">
      <c r="L778925" s="472"/>
      <c r="M778925" s="472"/>
    </row>
    <row r="778926" spans="12:13" x14ac:dyDescent="0.25">
      <c r="L778926" s="472"/>
      <c r="M778926" s="472"/>
    </row>
    <row r="778927" spans="12:13" x14ac:dyDescent="0.25">
      <c r="L778927" s="472"/>
      <c r="M778927" s="472"/>
    </row>
    <row r="778999" spans="12:13" x14ac:dyDescent="0.25">
      <c r="L778999" s="472"/>
      <c r="M778999" s="472"/>
    </row>
    <row r="779000" spans="12:13" x14ac:dyDescent="0.25">
      <c r="L779000" s="472"/>
      <c r="M779000" s="472"/>
    </row>
    <row r="779001" spans="12:13" x14ac:dyDescent="0.25">
      <c r="L779001" s="472"/>
      <c r="M779001" s="472"/>
    </row>
    <row r="779073" spans="12:13" x14ac:dyDescent="0.25">
      <c r="L779073" s="472"/>
      <c r="M779073" s="472"/>
    </row>
    <row r="779074" spans="12:13" x14ac:dyDescent="0.25">
      <c r="L779074" s="472"/>
      <c r="M779074" s="472"/>
    </row>
    <row r="779075" spans="12:13" x14ac:dyDescent="0.25">
      <c r="L779075" s="472"/>
      <c r="M779075" s="472"/>
    </row>
    <row r="779147" spans="12:13" x14ac:dyDescent="0.25">
      <c r="L779147" s="472"/>
      <c r="M779147" s="472"/>
    </row>
    <row r="779148" spans="12:13" x14ac:dyDescent="0.25">
      <c r="L779148" s="472"/>
      <c r="M779148" s="472"/>
    </row>
    <row r="779149" spans="12:13" x14ac:dyDescent="0.25">
      <c r="L779149" s="472"/>
      <c r="M779149" s="472"/>
    </row>
    <row r="779221" spans="12:13" x14ac:dyDescent="0.25">
      <c r="L779221" s="472"/>
      <c r="M779221" s="472"/>
    </row>
    <row r="779222" spans="12:13" x14ac:dyDescent="0.25">
      <c r="L779222" s="472"/>
      <c r="M779222" s="472"/>
    </row>
    <row r="779223" spans="12:13" x14ac:dyDescent="0.25">
      <c r="L779223" s="472"/>
      <c r="M779223" s="472"/>
    </row>
    <row r="779295" spans="12:13" x14ac:dyDescent="0.25">
      <c r="L779295" s="472"/>
      <c r="M779295" s="472"/>
    </row>
    <row r="779296" spans="12:13" x14ac:dyDescent="0.25">
      <c r="L779296" s="472"/>
      <c r="M779296" s="472"/>
    </row>
    <row r="779297" spans="12:13" x14ac:dyDescent="0.25">
      <c r="L779297" s="472"/>
      <c r="M779297" s="472"/>
    </row>
    <row r="779369" spans="12:13" x14ac:dyDescent="0.25">
      <c r="L779369" s="472"/>
      <c r="M779369" s="472"/>
    </row>
    <row r="779370" spans="12:13" x14ac:dyDescent="0.25">
      <c r="L779370" s="472"/>
      <c r="M779370" s="472"/>
    </row>
    <row r="779371" spans="12:13" x14ac:dyDescent="0.25">
      <c r="L779371" s="472"/>
      <c r="M779371" s="472"/>
    </row>
    <row r="779443" spans="12:13" x14ac:dyDescent="0.25">
      <c r="L779443" s="472"/>
      <c r="M779443" s="472"/>
    </row>
    <row r="779444" spans="12:13" x14ac:dyDescent="0.25">
      <c r="L779444" s="472"/>
      <c r="M779444" s="472"/>
    </row>
    <row r="779445" spans="12:13" x14ac:dyDescent="0.25">
      <c r="L779445" s="472"/>
      <c r="M779445" s="472"/>
    </row>
    <row r="779517" spans="12:13" x14ac:dyDescent="0.25">
      <c r="L779517" s="472"/>
      <c r="M779517" s="472"/>
    </row>
    <row r="779518" spans="12:13" x14ac:dyDescent="0.25">
      <c r="L779518" s="472"/>
      <c r="M779518" s="472"/>
    </row>
    <row r="779519" spans="12:13" x14ac:dyDescent="0.25">
      <c r="L779519" s="472"/>
      <c r="M779519" s="472"/>
    </row>
    <row r="779591" spans="12:13" x14ac:dyDescent="0.25">
      <c r="L779591" s="472"/>
      <c r="M779591" s="472"/>
    </row>
    <row r="779592" spans="12:13" x14ac:dyDescent="0.25">
      <c r="L779592" s="472"/>
      <c r="M779592" s="472"/>
    </row>
    <row r="779593" spans="12:13" x14ac:dyDescent="0.25">
      <c r="L779593" s="472"/>
      <c r="M779593" s="472"/>
    </row>
    <row r="779665" spans="12:13" x14ac:dyDescent="0.25">
      <c r="L779665" s="472"/>
      <c r="M779665" s="472"/>
    </row>
    <row r="779666" spans="12:13" x14ac:dyDescent="0.25">
      <c r="L779666" s="472"/>
      <c r="M779666" s="472"/>
    </row>
    <row r="779667" spans="12:13" x14ac:dyDescent="0.25">
      <c r="L779667" s="472"/>
      <c r="M779667" s="472"/>
    </row>
    <row r="779739" spans="12:13" x14ac:dyDescent="0.25">
      <c r="L779739" s="472"/>
      <c r="M779739" s="472"/>
    </row>
    <row r="779740" spans="12:13" x14ac:dyDescent="0.25">
      <c r="L779740" s="472"/>
      <c r="M779740" s="472"/>
    </row>
    <row r="779741" spans="12:13" x14ac:dyDescent="0.25">
      <c r="L779741" s="472"/>
      <c r="M779741" s="472"/>
    </row>
    <row r="779813" spans="12:13" x14ac:dyDescent="0.25">
      <c r="L779813" s="472"/>
      <c r="M779813" s="472"/>
    </row>
    <row r="779814" spans="12:13" x14ac:dyDescent="0.25">
      <c r="L779814" s="472"/>
      <c r="M779814" s="472"/>
    </row>
    <row r="779815" spans="12:13" x14ac:dyDescent="0.25">
      <c r="L779815" s="472"/>
      <c r="M779815" s="472"/>
    </row>
    <row r="779887" spans="12:13" x14ac:dyDescent="0.25">
      <c r="L779887" s="472"/>
      <c r="M779887" s="472"/>
    </row>
    <row r="779888" spans="12:13" x14ac:dyDescent="0.25">
      <c r="L779888" s="472"/>
      <c r="M779888" s="472"/>
    </row>
    <row r="779889" spans="12:13" x14ac:dyDescent="0.25">
      <c r="L779889" s="472"/>
      <c r="M779889" s="472"/>
    </row>
    <row r="779961" spans="12:13" x14ac:dyDescent="0.25">
      <c r="L779961" s="472"/>
      <c r="M779961" s="472"/>
    </row>
    <row r="779962" spans="12:13" x14ac:dyDescent="0.25">
      <c r="L779962" s="472"/>
      <c r="M779962" s="472"/>
    </row>
    <row r="779963" spans="12:13" x14ac:dyDescent="0.25">
      <c r="L779963" s="472"/>
      <c r="M779963" s="472"/>
    </row>
    <row r="780035" spans="12:13" x14ac:dyDescent="0.25">
      <c r="L780035" s="472"/>
      <c r="M780035" s="472"/>
    </row>
    <row r="780036" spans="12:13" x14ac:dyDescent="0.25">
      <c r="L780036" s="472"/>
      <c r="M780036" s="472"/>
    </row>
    <row r="780037" spans="12:13" x14ac:dyDescent="0.25">
      <c r="L780037" s="472"/>
      <c r="M780037" s="472"/>
    </row>
    <row r="780109" spans="12:13" x14ac:dyDescent="0.25">
      <c r="L780109" s="472"/>
      <c r="M780109" s="472"/>
    </row>
    <row r="780110" spans="12:13" x14ac:dyDescent="0.25">
      <c r="L780110" s="472"/>
      <c r="M780110" s="472"/>
    </row>
    <row r="780111" spans="12:13" x14ac:dyDescent="0.25">
      <c r="L780111" s="472"/>
      <c r="M780111" s="472"/>
    </row>
    <row r="780183" spans="12:13" x14ac:dyDescent="0.25">
      <c r="L780183" s="472"/>
      <c r="M780183" s="472"/>
    </row>
    <row r="780184" spans="12:13" x14ac:dyDescent="0.25">
      <c r="L780184" s="472"/>
      <c r="M780184" s="472"/>
    </row>
    <row r="780185" spans="12:13" x14ac:dyDescent="0.25">
      <c r="L780185" s="472"/>
      <c r="M780185" s="472"/>
    </row>
    <row r="780257" spans="12:13" x14ac:dyDescent="0.25">
      <c r="L780257" s="472"/>
      <c r="M780257" s="472"/>
    </row>
    <row r="780258" spans="12:13" x14ac:dyDescent="0.25">
      <c r="L780258" s="472"/>
      <c r="M780258" s="472"/>
    </row>
    <row r="780259" spans="12:13" x14ac:dyDescent="0.25">
      <c r="L780259" s="472"/>
      <c r="M780259" s="472"/>
    </row>
    <row r="780331" spans="12:13" x14ac:dyDescent="0.25">
      <c r="L780331" s="472"/>
      <c r="M780331" s="472"/>
    </row>
    <row r="780332" spans="12:13" x14ac:dyDescent="0.25">
      <c r="L780332" s="472"/>
      <c r="M780332" s="472"/>
    </row>
    <row r="780333" spans="12:13" x14ac:dyDescent="0.25">
      <c r="L780333" s="472"/>
      <c r="M780333" s="472"/>
    </row>
    <row r="780405" spans="12:13" x14ac:dyDescent="0.25">
      <c r="L780405" s="472"/>
      <c r="M780405" s="472"/>
    </row>
    <row r="780406" spans="12:13" x14ac:dyDescent="0.25">
      <c r="L780406" s="472"/>
      <c r="M780406" s="472"/>
    </row>
    <row r="780407" spans="12:13" x14ac:dyDescent="0.25">
      <c r="L780407" s="472"/>
      <c r="M780407" s="472"/>
    </row>
    <row r="780479" spans="12:13" x14ac:dyDescent="0.25">
      <c r="L780479" s="472"/>
      <c r="M780479" s="472"/>
    </row>
    <row r="780480" spans="12:13" x14ac:dyDescent="0.25">
      <c r="L780480" s="472"/>
      <c r="M780480" s="472"/>
    </row>
    <row r="780481" spans="12:13" x14ac:dyDescent="0.25">
      <c r="L780481" s="472"/>
      <c r="M780481" s="472"/>
    </row>
    <row r="780553" spans="12:13" x14ac:dyDescent="0.25">
      <c r="L780553" s="472"/>
      <c r="M780553" s="472"/>
    </row>
    <row r="780554" spans="12:13" x14ac:dyDescent="0.25">
      <c r="L780554" s="472"/>
      <c r="M780554" s="472"/>
    </row>
    <row r="780555" spans="12:13" x14ac:dyDescent="0.25">
      <c r="L780555" s="472"/>
      <c r="M780555" s="472"/>
    </row>
    <row r="780627" spans="12:13" x14ac:dyDescent="0.25">
      <c r="L780627" s="472"/>
      <c r="M780627" s="472"/>
    </row>
    <row r="780628" spans="12:13" x14ac:dyDescent="0.25">
      <c r="L780628" s="472"/>
      <c r="M780628" s="472"/>
    </row>
    <row r="780629" spans="12:13" x14ac:dyDescent="0.25">
      <c r="L780629" s="472"/>
      <c r="M780629" s="472"/>
    </row>
    <row r="780701" spans="12:13" x14ac:dyDescent="0.25">
      <c r="L780701" s="472"/>
      <c r="M780701" s="472"/>
    </row>
    <row r="780702" spans="12:13" x14ac:dyDescent="0.25">
      <c r="L780702" s="472"/>
      <c r="M780702" s="472"/>
    </row>
    <row r="780703" spans="12:13" x14ac:dyDescent="0.25">
      <c r="L780703" s="472"/>
      <c r="M780703" s="472"/>
    </row>
    <row r="780775" spans="12:13" x14ac:dyDescent="0.25">
      <c r="L780775" s="472"/>
      <c r="M780775" s="472"/>
    </row>
    <row r="780776" spans="12:13" x14ac:dyDescent="0.25">
      <c r="L780776" s="472"/>
      <c r="M780776" s="472"/>
    </row>
    <row r="780777" spans="12:13" x14ac:dyDescent="0.25">
      <c r="L780777" s="472"/>
      <c r="M780777" s="472"/>
    </row>
    <row r="780849" spans="12:13" x14ac:dyDescent="0.25">
      <c r="L780849" s="472"/>
      <c r="M780849" s="472"/>
    </row>
    <row r="780850" spans="12:13" x14ac:dyDescent="0.25">
      <c r="L780850" s="472"/>
      <c r="M780850" s="472"/>
    </row>
    <row r="780851" spans="12:13" x14ac:dyDescent="0.25">
      <c r="L780851" s="472"/>
      <c r="M780851" s="472"/>
    </row>
    <row r="780923" spans="12:13" x14ac:dyDescent="0.25">
      <c r="L780923" s="472"/>
      <c r="M780923" s="472"/>
    </row>
    <row r="780924" spans="12:13" x14ac:dyDescent="0.25">
      <c r="L780924" s="472"/>
      <c r="M780924" s="472"/>
    </row>
    <row r="780925" spans="12:13" x14ac:dyDescent="0.25">
      <c r="L780925" s="472"/>
      <c r="M780925" s="472"/>
    </row>
    <row r="780997" spans="12:13" x14ac:dyDescent="0.25">
      <c r="L780997" s="472"/>
      <c r="M780997" s="472"/>
    </row>
    <row r="780998" spans="12:13" x14ac:dyDescent="0.25">
      <c r="L780998" s="472"/>
      <c r="M780998" s="472"/>
    </row>
    <row r="780999" spans="12:13" x14ac:dyDescent="0.25">
      <c r="L780999" s="472"/>
      <c r="M780999" s="472"/>
    </row>
    <row r="781071" spans="12:13" x14ac:dyDescent="0.25">
      <c r="L781071" s="472"/>
      <c r="M781071" s="472"/>
    </row>
    <row r="781072" spans="12:13" x14ac:dyDescent="0.25">
      <c r="L781072" s="472"/>
      <c r="M781072" s="472"/>
    </row>
    <row r="781073" spans="12:13" x14ac:dyDescent="0.25">
      <c r="L781073" s="472"/>
      <c r="M781073" s="472"/>
    </row>
    <row r="781145" spans="12:13" x14ac:dyDescent="0.25">
      <c r="L781145" s="472"/>
      <c r="M781145" s="472"/>
    </row>
    <row r="781146" spans="12:13" x14ac:dyDescent="0.25">
      <c r="L781146" s="472"/>
      <c r="M781146" s="472"/>
    </row>
    <row r="781147" spans="12:13" x14ac:dyDescent="0.25">
      <c r="L781147" s="472"/>
      <c r="M781147" s="472"/>
    </row>
    <row r="781219" spans="12:13" x14ac:dyDescent="0.25">
      <c r="L781219" s="472"/>
      <c r="M781219" s="472"/>
    </row>
    <row r="781220" spans="12:13" x14ac:dyDescent="0.25">
      <c r="L781220" s="472"/>
      <c r="M781220" s="472"/>
    </row>
    <row r="781221" spans="12:13" x14ac:dyDescent="0.25">
      <c r="L781221" s="472"/>
      <c r="M781221" s="472"/>
    </row>
    <row r="781293" spans="12:13" x14ac:dyDescent="0.25">
      <c r="L781293" s="472"/>
      <c r="M781293" s="472"/>
    </row>
    <row r="781294" spans="12:13" x14ac:dyDescent="0.25">
      <c r="L781294" s="472"/>
      <c r="M781294" s="472"/>
    </row>
    <row r="781295" spans="12:13" x14ac:dyDescent="0.25">
      <c r="L781295" s="472"/>
      <c r="M781295" s="472"/>
    </row>
    <row r="781367" spans="12:13" x14ac:dyDescent="0.25">
      <c r="L781367" s="472"/>
      <c r="M781367" s="472"/>
    </row>
    <row r="781368" spans="12:13" x14ac:dyDescent="0.25">
      <c r="L781368" s="472"/>
      <c r="M781368" s="472"/>
    </row>
    <row r="781369" spans="12:13" x14ac:dyDescent="0.25">
      <c r="L781369" s="472"/>
      <c r="M781369" s="472"/>
    </row>
    <row r="781441" spans="12:13" x14ac:dyDescent="0.25">
      <c r="L781441" s="472"/>
      <c r="M781441" s="472"/>
    </row>
    <row r="781442" spans="12:13" x14ac:dyDescent="0.25">
      <c r="L781442" s="472"/>
      <c r="M781442" s="472"/>
    </row>
    <row r="781443" spans="12:13" x14ac:dyDescent="0.25">
      <c r="L781443" s="472"/>
      <c r="M781443" s="472"/>
    </row>
    <row r="781515" spans="12:13" x14ac:dyDescent="0.25">
      <c r="L781515" s="472"/>
      <c r="M781515" s="472"/>
    </row>
    <row r="781516" spans="12:13" x14ac:dyDescent="0.25">
      <c r="L781516" s="472"/>
      <c r="M781516" s="472"/>
    </row>
    <row r="781517" spans="12:13" x14ac:dyDescent="0.25">
      <c r="L781517" s="472"/>
      <c r="M781517" s="472"/>
    </row>
    <row r="781589" spans="12:13" x14ac:dyDescent="0.25">
      <c r="L781589" s="472"/>
      <c r="M781589" s="472"/>
    </row>
    <row r="781590" spans="12:13" x14ac:dyDescent="0.25">
      <c r="L781590" s="472"/>
      <c r="M781590" s="472"/>
    </row>
    <row r="781591" spans="12:13" x14ac:dyDescent="0.25">
      <c r="L781591" s="472"/>
      <c r="M781591" s="472"/>
    </row>
    <row r="781663" spans="12:13" x14ac:dyDescent="0.25">
      <c r="L781663" s="472"/>
      <c r="M781663" s="472"/>
    </row>
    <row r="781664" spans="12:13" x14ac:dyDescent="0.25">
      <c r="L781664" s="472"/>
      <c r="M781664" s="472"/>
    </row>
    <row r="781665" spans="12:13" x14ac:dyDescent="0.25">
      <c r="L781665" s="472"/>
      <c r="M781665" s="472"/>
    </row>
    <row r="781737" spans="12:13" x14ac:dyDescent="0.25">
      <c r="L781737" s="472"/>
      <c r="M781737" s="472"/>
    </row>
    <row r="781738" spans="12:13" x14ac:dyDescent="0.25">
      <c r="L781738" s="472"/>
      <c r="M781738" s="472"/>
    </row>
    <row r="781739" spans="12:13" x14ac:dyDescent="0.25">
      <c r="L781739" s="472"/>
      <c r="M781739" s="472"/>
    </row>
    <row r="781811" spans="12:13" x14ac:dyDescent="0.25">
      <c r="L781811" s="472"/>
      <c r="M781811" s="472"/>
    </row>
    <row r="781812" spans="12:13" x14ac:dyDescent="0.25">
      <c r="L781812" s="472"/>
      <c r="M781812" s="472"/>
    </row>
    <row r="781813" spans="12:13" x14ac:dyDescent="0.25">
      <c r="L781813" s="472"/>
      <c r="M781813" s="472"/>
    </row>
    <row r="781885" spans="12:13" x14ac:dyDescent="0.25">
      <c r="L781885" s="472"/>
      <c r="M781885" s="472"/>
    </row>
    <row r="781886" spans="12:13" x14ac:dyDescent="0.25">
      <c r="L781886" s="472"/>
      <c r="M781886" s="472"/>
    </row>
    <row r="781887" spans="12:13" x14ac:dyDescent="0.25">
      <c r="L781887" s="472"/>
      <c r="M781887" s="472"/>
    </row>
    <row r="781959" spans="12:13" x14ac:dyDescent="0.25">
      <c r="L781959" s="472"/>
      <c r="M781959" s="472"/>
    </row>
    <row r="781960" spans="12:13" x14ac:dyDescent="0.25">
      <c r="L781960" s="472"/>
      <c r="M781960" s="472"/>
    </row>
    <row r="781961" spans="12:13" x14ac:dyDescent="0.25">
      <c r="L781961" s="472"/>
      <c r="M781961" s="472"/>
    </row>
    <row r="782033" spans="12:13" x14ac:dyDescent="0.25">
      <c r="L782033" s="472"/>
      <c r="M782033" s="472"/>
    </row>
    <row r="782034" spans="12:13" x14ac:dyDescent="0.25">
      <c r="L782034" s="472"/>
      <c r="M782034" s="472"/>
    </row>
    <row r="782035" spans="12:13" x14ac:dyDescent="0.25">
      <c r="L782035" s="472"/>
      <c r="M782035" s="472"/>
    </row>
    <row r="782107" spans="12:13" x14ac:dyDescent="0.25">
      <c r="L782107" s="472"/>
      <c r="M782107" s="472"/>
    </row>
    <row r="782108" spans="12:13" x14ac:dyDescent="0.25">
      <c r="L782108" s="472"/>
      <c r="M782108" s="472"/>
    </row>
    <row r="782109" spans="12:13" x14ac:dyDescent="0.25">
      <c r="L782109" s="472"/>
      <c r="M782109" s="472"/>
    </row>
    <row r="782181" spans="12:13" x14ac:dyDescent="0.25">
      <c r="L782181" s="472"/>
      <c r="M782181" s="472"/>
    </row>
    <row r="782182" spans="12:13" x14ac:dyDescent="0.25">
      <c r="L782182" s="472"/>
      <c r="M782182" s="472"/>
    </row>
    <row r="782183" spans="12:13" x14ac:dyDescent="0.25">
      <c r="L782183" s="472"/>
      <c r="M782183" s="472"/>
    </row>
    <row r="782255" spans="12:13" x14ac:dyDescent="0.25">
      <c r="L782255" s="472"/>
      <c r="M782255" s="472"/>
    </row>
    <row r="782256" spans="12:13" x14ac:dyDescent="0.25">
      <c r="L782256" s="472"/>
      <c r="M782256" s="472"/>
    </row>
    <row r="782257" spans="12:13" x14ac:dyDescent="0.25">
      <c r="L782257" s="472"/>
      <c r="M782257" s="472"/>
    </row>
    <row r="782329" spans="12:13" x14ac:dyDescent="0.25">
      <c r="L782329" s="472"/>
      <c r="M782329" s="472"/>
    </row>
    <row r="782330" spans="12:13" x14ac:dyDescent="0.25">
      <c r="L782330" s="472"/>
      <c r="M782330" s="472"/>
    </row>
    <row r="782331" spans="12:13" x14ac:dyDescent="0.25">
      <c r="L782331" s="472"/>
      <c r="M782331" s="472"/>
    </row>
    <row r="782403" spans="12:13" x14ac:dyDescent="0.25">
      <c r="L782403" s="472"/>
      <c r="M782403" s="472"/>
    </row>
    <row r="782404" spans="12:13" x14ac:dyDescent="0.25">
      <c r="L782404" s="472"/>
      <c r="M782404" s="472"/>
    </row>
    <row r="782405" spans="12:13" x14ac:dyDescent="0.25">
      <c r="L782405" s="472"/>
      <c r="M782405" s="472"/>
    </row>
    <row r="782477" spans="12:13" x14ac:dyDescent="0.25">
      <c r="L782477" s="472"/>
      <c r="M782477" s="472"/>
    </row>
    <row r="782478" spans="12:13" x14ac:dyDescent="0.25">
      <c r="L782478" s="472"/>
      <c r="M782478" s="472"/>
    </row>
    <row r="782479" spans="12:13" x14ac:dyDescent="0.25">
      <c r="L782479" s="472"/>
      <c r="M782479" s="472"/>
    </row>
    <row r="782551" spans="12:13" x14ac:dyDescent="0.25">
      <c r="L782551" s="472"/>
      <c r="M782551" s="472"/>
    </row>
    <row r="782552" spans="12:13" x14ac:dyDescent="0.25">
      <c r="L782552" s="472"/>
      <c r="M782552" s="472"/>
    </row>
    <row r="782553" spans="12:13" x14ac:dyDescent="0.25">
      <c r="L782553" s="472"/>
      <c r="M782553" s="472"/>
    </row>
    <row r="782625" spans="12:13" x14ac:dyDescent="0.25">
      <c r="L782625" s="472"/>
      <c r="M782625" s="472"/>
    </row>
    <row r="782626" spans="12:13" x14ac:dyDescent="0.25">
      <c r="L782626" s="472"/>
      <c r="M782626" s="472"/>
    </row>
    <row r="782627" spans="12:13" x14ac:dyDescent="0.25">
      <c r="L782627" s="472"/>
      <c r="M782627" s="472"/>
    </row>
    <row r="782699" spans="12:13" x14ac:dyDescent="0.25">
      <c r="L782699" s="472"/>
      <c r="M782699" s="472"/>
    </row>
    <row r="782700" spans="12:13" x14ac:dyDescent="0.25">
      <c r="L782700" s="472"/>
      <c r="M782700" s="472"/>
    </row>
    <row r="782701" spans="12:13" x14ac:dyDescent="0.25">
      <c r="L782701" s="472"/>
      <c r="M782701" s="472"/>
    </row>
    <row r="782773" spans="12:13" x14ac:dyDescent="0.25">
      <c r="L782773" s="472"/>
      <c r="M782773" s="472"/>
    </row>
    <row r="782774" spans="12:13" x14ac:dyDescent="0.25">
      <c r="L782774" s="472"/>
      <c r="M782774" s="472"/>
    </row>
    <row r="782775" spans="12:13" x14ac:dyDescent="0.25">
      <c r="L782775" s="472"/>
      <c r="M782775" s="472"/>
    </row>
    <row r="782847" spans="12:13" x14ac:dyDescent="0.25">
      <c r="L782847" s="472"/>
      <c r="M782847" s="472"/>
    </row>
    <row r="782848" spans="12:13" x14ac:dyDescent="0.25">
      <c r="L782848" s="472"/>
      <c r="M782848" s="472"/>
    </row>
    <row r="782849" spans="12:13" x14ac:dyDescent="0.25">
      <c r="L782849" s="472"/>
      <c r="M782849" s="472"/>
    </row>
    <row r="782921" spans="12:13" x14ac:dyDescent="0.25">
      <c r="L782921" s="472"/>
      <c r="M782921" s="472"/>
    </row>
    <row r="782922" spans="12:13" x14ac:dyDescent="0.25">
      <c r="L782922" s="472"/>
      <c r="M782922" s="472"/>
    </row>
    <row r="782923" spans="12:13" x14ac:dyDescent="0.25">
      <c r="L782923" s="472"/>
      <c r="M782923" s="472"/>
    </row>
    <row r="782995" spans="12:13" x14ac:dyDescent="0.25">
      <c r="L782995" s="472"/>
      <c r="M782995" s="472"/>
    </row>
    <row r="782996" spans="12:13" x14ac:dyDescent="0.25">
      <c r="L782996" s="472"/>
      <c r="M782996" s="472"/>
    </row>
    <row r="782997" spans="12:13" x14ac:dyDescent="0.25">
      <c r="L782997" s="472"/>
      <c r="M782997" s="472"/>
    </row>
    <row r="783069" spans="12:13" x14ac:dyDescent="0.25">
      <c r="L783069" s="472"/>
      <c r="M783069" s="472"/>
    </row>
    <row r="783070" spans="12:13" x14ac:dyDescent="0.25">
      <c r="L783070" s="472"/>
      <c r="M783070" s="472"/>
    </row>
    <row r="783071" spans="12:13" x14ac:dyDescent="0.25">
      <c r="L783071" s="472"/>
      <c r="M783071" s="472"/>
    </row>
    <row r="783143" spans="12:13" x14ac:dyDescent="0.25">
      <c r="L783143" s="472"/>
      <c r="M783143" s="472"/>
    </row>
    <row r="783144" spans="12:13" x14ac:dyDescent="0.25">
      <c r="L783144" s="472"/>
      <c r="M783144" s="472"/>
    </row>
    <row r="783145" spans="12:13" x14ac:dyDescent="0.25">
      <c r="L783145" s="472"/>
      <c r="M783145" s="472"/>
    </row>
    <row r="783217" spans="12:13" x14ac:dyDescent="0.25">
      <c r="L783217" s="472"/>
      <c r="M783217" s="472"/>
    </row>
    <row r="783218" spans="12:13" x14ac:dyDescent="0.25">
      <c r="L783218" s="472"/>
      <c r="M783218" s="472"/>
    </row>
    <row r="783219" spans="12:13" x14ac:dyDescent="0.25">
      <c r="L783219" s="472"/>
      <c r="M783219" s="472"/>
    </row>
    <row r="783291" spans="12:13" x14ac:dyDescent="0.25">
      <c r="L783291" s="472"/>
      <c r="M783291" s="472"/>
    </row>
    <row r="783292" spans="12:13" x14ac:dyDescent="0.25">
      <c r="L783292" s="472"/>
      <c r="M783292" s="472"/>
    </row>
    <row r="783293" spans="12:13" x14ac:dyDescent="0.25">
      <c r="L783293" s="472"/>
      <c r="M783293" s="472"/>
    </row>
    <row r="783365" spans="12:13" x14ac:dyDescent="0.25">
      <c r="L783365" s="472"/>
      <c r="M783365" s="472"/>
    </row>
    <row r="783366" spans="12:13" x14ac:dyDescent="0.25">
      <c r="L783366" s="472"/>
      <c r="M783366" s="472"/>
    </row>
    <row r="783367" spans="12:13" x14ac:dyDescent="0.25">
      <c r="L783367" s="472"/>
      <c r="M783367" s="472"/>
    </row>
    <row r="783439" spans="12:13" x14ac:dyDescent="0.25">
      <c r="L783439" s="472"/>
      <c r="M783439" s="472"/>
    </row>
    <row r="783440" spans="12:13" x14ac:dyDescent="0.25">
      <c r="L783440" s="472"/>
      <c r="M783440" s="472"/>
    </row>
    <row r="783441" spans="12:13" x14ac:dyDescent="0.25">
      <c r="L783441" s="472"/>
      <c r="M783441" s="472"/>
    </row>
    <row r="783513" spans="12:13" x14ac:dyDescent="0.25">
      <c r="L783513" s="472"/>
      <c r="M783513" s="472"/>
    </row>
    <row r="783514" spans="12:13" x14ac:dyDescent="0.25">
      <c r="L783514" s="472"/>
      <c r="M783514" s="472"/>
    </row>
    <row r="783515" spans="12:13" x14ac:dyDescent="0.25">
      <c r="L783515" s="472"/>
      <c r="M783515" s="472"/>
    </row>
    <row r="783587" spans="12:13" x14ac:dyDescent="0.25">
      <c r="L783587" s="472"/>
      <c r="M783587" s="472"/>
    </row>
    <row r="783588" spans="12:13" x14ac:dyDescent="0.25">
      <c r="L783588" s="472"/>
      <c r="M783588" s="472"/>
    </row>
    <row r="783589" spans="12:13" x14ac:dyDescent="0.25">
      <c r="L783589" s="472"/>
      <c r="M783589" s="472"/>
    </row>
    <row r="783661" spans="12:13" x14ac:dyDescent="0.25">
      <c r="L783661" s="472"/>
      <c r="M783661" s="472"/>
    </row>
    <row r="783662" spans="12:13" x14ac:dyDescent="0.25">
      <c r="L783662" s="472"/>
      <c r="M783662" s="472"/>
    </row>
    <row r="783663" spans="12:13" x14ac:dyDescent="0.25">
      <c r="L783663" s="472"/>
      <c r="M783663" s="472"/>
    </row>
    <row r="783735" spans="12:13" x14ac:dyDescent="0.25">
      <c r="L783735" s="472"/>
      <c r="M783735" s="472"/>
    </row>
    <row r="783736" spans="12:13" x14ac:dyDescent="0.25">
      <c r="L783736" s="472"/>
      <c r="M783736" s="472"/>
    </row>
    <row r="783737" spans="12:13" x14ac:dyDescent="0.25">
      <c r="L783737" s="472"/>
      <c r="M783737" s="472"/>
    </row>
    <row r="783809" spans="12:13" x14ac:dyDescent="0.25">
      <c r="L783809" s="472"/>
      <c r="M783809" s="472"/>
    </row>
    <row r="783810" spans="12:13" x14ac:dyDescent="0.25">
      <c r="L783810" s="472"/>
      <c r="M783810" s="472"/>
    </row>
    <row r="783811" spans="12:13" x14ac:dyDescent="0.25">
      <c r="L783811" s="472"/>
      <c r="M783811" s="472"/>
    </row>
    <row r="783883" spans="12:13" x14ac:dyDescent="0.25">
      <c r="L783883" s="472"/>
      <c r="M783883" s="472"/>
    </row>
    <row r="783884" spans="12:13" x14ac:dyDescent="0.25">
      <c r="L783884" s="472"/>
      <c r="M783884" s="472"/>
    </row>
    <row r="783885" spans="12:13" x14ac:dyDescent="0.25">
      <c r="L783885" s="472"/>
      <c r="M783885" s="472"/>
    </row>
    <row r="783957" spans="12:13" x14ac:dyDescent="0.25">
      <c r="L783957" s="472"/>
      <c r="M783957" s="472"/>
    </row>
    <row r="783958" spans="12:13" x14ac:dyDescent="0.25">
      <c r="L783958" s="472"/>
      <c r="M783958" s="472"/>
    </row>
    <row r="783959" spans="12:13" x14ac:dyDescent="0.25">
      <c r="L783959" s="472"/>
      <c r="M783959" s="472"/>
    </row>
    <row r="784031" spans="12:13" x14ac:dyDescent="0.25">
      <c r="L784031" s="472"/>
      <c r="M784031" s="472"/>
    </row>
    <row r="784032" spans="12:13" x14ac:dyDescent="0.25">
      <c r="L784032" s="472"/>
      <c r="M784032" s="472"/>
    </row>
    <row r="784033" spans="12:13" x14ac:dyDescent="0.25">
      <c r="L784033" s="472"/>
      <c r="M784033" s="472"/>
    </row>
    <row r="784105" spans="12:13" x14ac:dyDescent="0.25">
      <c r="L784105" s="472"/>
      <c r="M784105" s="472"/>
    </row>
    <row r="784106" spans="12:13" x14ac:dyDescent="0.25">
      <c r="L784106" s="472"/>
      <c r="M784106" s="472"/>
    </row>
    <row r="784107" spans="12:13" x14ac:dyDescent="0.25">
      <c r="L784107" s="472"/>
      <c r="M784107" s="472"/>
    </row>
    <row r="784179" spans="12:13" x14ac:dyDescent="0.25">
      <c r="L784179" s="472"/>
      <c r="M784179" s="472"/>
    </row>
    <row r="784180" spans="12:13" x14ac:dyDescent="0.25">
      <c r="L784180" s="472"/>
      <c r="M784180" s="472"/>
    </row>
    <row r="784181" spans="12:13" x14ac:dyDescent="0.25">
      <c r="L784181" s="472"/>
      <c r="M784181" s="472"/>
    </row>
    <row r="784253" spans="12:13" x14ac:dyDescent="0.25">
      <c r="L784253" s="472"/>
      <c r="M784253" s="472"/>
    </row>
    <row r="784254" spans="12:13" x14ac:dyDescent="0.25">
      <c r="L784254" s="472"/>
      <c r="M784254" s="472"/>
    </row>
    <row r="784255" spans="12:13" x14ac:dyDescent="0.25">
      <c r="L784255" s="472"/>
      <c r="M784255" s="472"/>
    </row>
    <row r="784327" spans="12:13" x14ac:dyDescent="0.25">
      <c r="L784327" s="472"/>
      <c r="M784327" s="472"/>
    </row>
    <row r="784328" spans="12:13" x14ac:dyDescent="0.25">
      <c r="L784328" s="472"/>
      <c r="M784328" s="472"/>
    </row>
    <row r="784329" spans="12:13" x14ac:dyDescent="0.25">
      <c r="L784329" s="472"/>
      <c r="M784329" s="472"/>
    </row>
    <row r="784401" spans="12:13" x14ac:dyDescent="0.25">
      <c r="L784401" s="472"/>
      <c r="M784401" s="472"/>
    </row>
    <row r="784402" spans="12:13" x14ac:dyDescent="0.25">
      <c r="L784402" s="472"/>
      <c r="M784402" s="472"/>
    </row>
    <row r="784403" spans="12:13" x14ac:dyDescent="0.25">
      <c r="L784403" s="472"/>
      <c r="M784403" s="472"/>
    </row>
    <row r="784475" spans="12:13" x14ac:dyDescent="0.25">
      <c r="L784475" s="472"/>
      <c r="M784475" s="472"/>
    </row>
    <row r="784476" spans="12:13" x14ac:dyDescent="0.25">
      <c r="L784476" s="472"/>
      <c r="M784476" s="472"/>
    </row>
    <row r="784477" spans="12:13" x14ac:dyDescent="0.25">
      <c r="L784477" s="472"/>
      <c r="M784477" s="472"/>
    </row>
    <row r="784549" spans="12:13" x14ac:dyDescent="0.25">
      <c r="L784549" s="472"/>
      <c r="M784549" s="472"/>
    </row>
    <row r="784550" spans="12:13" x14ac:dyDescent="0.25">
      <c r="L784550" s="472"/>
      <c r="M784550" s="472"/>
    </row>
    <row r="784551" spans="12:13" x14ac:dyDescent="0.25">
      <c r="L784551" s="472"/>
      <c r="M784551" s="472"/>
    </row>
    <row r="784623" spans="12:13" x14ac:dyDescent="0.25">
      <c r="L784623" s="472"/>
      <c r="M784623" s="472"/>
    </row>
    <row r="784624" spans="12:13" x14ac:dyDescent="0.25">
      <c r="L784624" s="472"/>
      <c r="M784624" s="472"/>
    </row>
    <row r="784625" spans="12:13" x14ac:dyDescent="0.25">
      <c r="L784625" s="472"/>
      <c r="M784625" s="472"/>
    </row>
    <row r="784697" spans="12:13" x14ac:dyDescent="0.25">
      <c r="L784697" s="472"/>
      <c r="M784697" s="472"/>
    </row>
    <row r="784698" spans="12:13" x14ac:dyDescent="0.25">
      <c r="L784698" s="472"/>
      <c r="M784698" s="472"/>
    </row>
    <row r="784699" spans="12:13" x14ac:dyDescent="0.25">
      <c r="L784699" s="472"/>
      <c r="M784699" s="472"/>
    </row>
    <row r="784771" spans="12:13" x14ac:dyDescent="0.25">
      <c r="L784771" s="472"/>
      <c r="M784771" s="472"/>
    </row>
    <row r="784772" spans="12:13" x14ac:dyDescent="0.25">
      <c r="L784772" s="472"/>
      <c r="M784772" s="472"/>
    </row>
    <row r="784773" spans="12:13" x14ac:dyDescent="0.25">
      <c r="L784773" s="472"/>
      <c r="M784773" s="472"/>
    </row>
    <row r="784845" spans="12:13" x14ac:dyDescent="0.25">
      <c r="L784845" s="472"/>
      <c r="M784845" s="472"/>
    </row>
    <row r="784846" spans="12:13" x14ac:dyDescent="0.25">
      <c r="L784846" s="472"/>
      <c r="M784846" s="472"/>
    </row>
    <row r="784847" spans="12:13" x14ac:dyDescent="0.25">
      <c r="L784847" s="472"/>
      <c r="M784847" s="472"/>
    </row>
    <row r="784919" spans="12:13" x14ac:dyDescent="0.25">
      <c r="L784919" s="472"/>
      <c r="M784919" s="472"/>
    </row>
    <row r="784920" spans="12:13" x14ac:dyDescent="0.25">
      <c r="L784920" s="472"/>
      <c r="M784920" s="472"/>
    </row>
    <row r="784921" spans="12:13" x14ac:dyDescent="0.25">
      <c r="L784921" s="472"/>
      <c r="M784921" s="472"/>
    </row>
    <row r="784993" spans="12:13" x14ac:dyDescent="0.25">
      <c r="L784993" s="472"/>
      <c r="M784993" s="472"/>
    </row>
    <row r="784994" spans="12:13" x14ac:dyDescent="0.25">
      <c r="L784994" s="472"/>
      <c r="M784994" s="472"/>
    </row>
    <row r="784995" spans="12:13" x14ac:dyDescent="0.25">
      <c r="L784995" s="472"/>
      <c r="M784995" s="472"/>
    </row>
    <row r="785067" spans="12:13" x14ac:dyDescent="0.25">
      <c r="L785067" s="472"/>
      <c r="M785067" s="472"/>
    </row>
    <row r="785068" spans="12:13" x14ac:dyDescent="0.25">
      <c r="L785068" s="472"/>
      <c r="M785068" s="472"/>
    </row>
    <row r="785069" spans="12:13" x14ac:dyDescent="0.25">
      <c r="L785069" s="472"/>
      <c r="M785069" s="472"/>
    </row>
    <row r="785141" spans="12:13" x14ac:dyDescent="0.25">
      <c r="L785141" s="472"/>
      <c r="M785141" s="472"/>
    </row>
    <row r="785142" spans="12:13" x14ac:dyDescent="0.25">
      <c r="L785142" s="472"/>
      <c r="M785142" s="472"/>
    </row>
    <row r="785143" spans="12:13" x14ac:dyDescent="0.25">
      <c r="L785143" s="472"/>
      <c r="M785143" s="472"/>
    </row>
    <row r="785215" spans="12:13" x14ac:dyDescent="0.25">
      <c r="L785215" s="472"/>
      <c r="M785215" s="472"/>
    </row>
    <row r="785216" spans="12:13" x14ac:dyDescent="0.25">
      <c r="L785216" s="472"/>
      <c r="M785216" s="472"/>
    </row>
    <row r="785217" spans="12:13" x14ac:dyDescent="0.25">
      <c r="L785217" s="472"/>
      <c r="M785217" s="472"/>
    </row>
    <row r="785289" spans="12:13" x14ac:dyDescent="0.25">
      <c r="L785289" s="472"/>
      <c r="M785289" s="472"/>
    </row>
    <row r="785290" spans="12:13" x14ac:dyDescent="0.25">
      <c r="L785290" s="472"/>
      <c r="M785290" s="472"/>
    </row>
    <row r="785291" spans="12:13" x14ac:dyDescent="0.25">
      <c r="L785291" s="472"/>
      <c r="M785291" s="472"/>
    </row>
    <row r="785363" spans="12:13" x14ac:dyDescent="0.25">
      <c r="L785363" s="472"/>
      <c r="M785363" s="472"/>
    </row>
    <row r="785364" spans="12:13" x14ac:dyDescent="0.25">
      <c r="L785364" s="472"/>
      <c r="M785364" s="472"/>
    </row>
    <row r="785365" spans="12:13" x14ac:dyDescent="0.25">
      <c r="L785365" s="472"/>
      <c r="M785365" s="472"/>
    </row>
    <row r="785437" spans="12:13" x14ac:dyDescent="0.25">
      <c r="L785437" s="472"/>
      <c r="M785437" s="472"/>
    </row>
    <row r="785438" spans="12:13" x14ac:dyDescent="0.25">
      <c r="L785438" s="472"/>
      <c r="M785438" s="472"/>
    </row>
    <row r="785439" spans="12:13" x14ac:dyDescent="0.25">
      <c r="L785439" s="472"/>
      <c r="M785439" s="472"/>
    </row>
    <row r="785511" spans="12:13" x14ac:dyDescent="0.25">
      <c r="L785511" s="472"/>
      <c r="M785511" s="472"/>
    </row>
    <row r="785512" spans="12:13" x14ac:dyDescent="0.25">
      <c r="L785512" s="472"/>
      <c r="M785512" s="472"/>
    </row>
    <row r="785513" spans="12:13" x14ac:dyDescent="0.25">
      <c r="L785513" s="472"/>
      <c r="M785513" s="472"/>
    </row>
    <row r="785585" spans="12:13" x14ac:dyDescent="0.25">
      <c r="L785585" s="472"/>
      <c r="M785585" s="472"/>
    </row>
    <row r="785586" spans="12:13" x14ac:dyDescent="0.25">
      <c r="L785586" s="472"/>
      <c r="M785586" s="472"/>
    </row>
    <row r="785587" spans="12:13" x14ac:dyDescent="0.25">
      <c r="L785587" s="472"/>
      <c r="M785587" s="472"/>
    </row>
    <row r="785659" spans="12:13" x14ac:dyDescent="0.25">
      <c r="L785659" s="472"/>
      <c r="M785659" s="472"/>
    </row>
    <row r="785660" spans="12:13" x14ac:dyDescent="0.25">
      <c r="L785660" s="472"/>
      <c r="M785660" s="472"/>
    </row>
    <row r="785661" spans="12:13" x14ac:dyDescent="0.25">
      <c r="L785661" s="472"/>
      <c r="M785661" s="472"/>
    </row>
    <row r="785733" spans="12:13" x14ac:dyDescent="0.25">
      <c r="L785733" s="472"/>
      <c r="M785733" s="472"/>
    </row>
    <row r="785734" spans="12:13" x14ac:dyDescent="0.25">
      <c r="L785734" s="472"/>
      <c r="M785734" s="472"/>
    </row>
    <row r="785735" spans="12:13" x14ac:dyDescent="0.25">
      <c r="L785735" s="472"/>
      <c r="M785735" s="472"/>
    </row>
    <row r="785807" spans="12:13" x14ac:dyDescent="0.25">
      <c r="L785807" s="472"/>
      <c r="M785807" s="472"/>
    </row>
    <row r="785808" spans="12:13" x14ac:dyDescent="0.25">
      <c r="L785808" s="472"/>
      <c r="M785808" s="472"/>
    </row>
    <row r="785809" spans="12:13" x14ac:dyDescent="0.25">
      <c r="L785809" s="472"/>
      <c r="M785809" s="472"/>
    </row>
    <row r="785881" spans="12:13" x14ac:dyDescent="0.25">
      <c r="L785881" s="472"/>
      <c r="M785881" s="472"/>
    </row>
    <row r="785882" spans="12:13" x14ac:dyDescent="0.25">
      <c r="L785882" s="472"/>
      <c r="M785882" s="472"/>
    </row>
    <row r="785883" spans="12:13" x14ac:dyDescent="0.25">
      <c r="L785883" s="472"/>
      <c r="M785883" s="472"/>
    </row>
    <row r="785955" spans="12:13" x14ac:dyDescent="0.25">
      <c r="L785955" s="472"/>
      <c r="M785955" s="472"/>
    </row>
    <row r="785956" spans="12:13" x14ac:dyDescent="0.25">
      <c r="L785956" s="472"/>
      <c r="M785956" s="472"/>
    </row>
    <row r="785957" spans="12:13" x14ac:dyDescent="0.25">
      <c r="L785957" s="472"/>
      <c r="M785957" s="472"/>
    </row>
    <row r="786029" spans="12:13" x14ac:dyDescent="0.25">
      <c r="L786029" s="472"/>
      <c r="M786029" s="472"/>
    </row>
    <row r="786030" spans="12:13" x14ac:dyDescent="0.25">
      <c r="L786030" s="472"/>
      <c r="M786030" s="472"/>
    </row>
    <row r="786031" spans="12:13" x14ac:dyDescent="0.25">
      <c r="L786031" s="472"/>
      <c r="M786031" s="472"/>
    </row>
    <row r="786103" spans="12:13" x14ac:dyDescent="0.25">
      <c r="L786103" s="472"/>
      <c r="M786103" s="472"/>
    </row>
    <row r="786104" spans="12:13" x14ac:dyDescent="0.25">
      <c r="L786104" s="472"/>
      <c r="M786104" s="472"/>
    </row>
    <row r="786105" spans="12:13" x14ac:dyDescent="0.25">
      <c r="L786105" s="472"/>
      <c r="M786105" s="472"/>
    </row>
    <row r="786177" spans="12:13" x14ac:dyDescent="0.25">
      <c r="L786177" s="472"/>
      <c r="M786177" s="472"/>
    </row>
    <row r="786178" spans="12:13" x14ac:dyDescent="0.25">
      <c r="L786178" s="472"/>
      <c r="M786178" s="472"/>
    </row>
    <row r="786179" spans="12:13" x14ac:dyDescent="0.25">
      <c r="L786179" s="472"/>
      <c r="M786179" s="472"/>
    </row>
    <row r="786251" spans="12:13" x14ac:dyDescent="0.25">
      <c r="L786251" s="472"/>
      <c r="M786251" s="472"/>
    </row>
    <row r="786252" spans="12:13" x14ac:dyDescent="0.25">
      <c r="L786252" s="472"/>
      <c r="M786252" s="472"/>
    </row>
    <row r="786253" spans="12:13" x14ac:dyDescent="0.25">
      <c r="L786253" s="472"/>
      <c r="M786253" s="472"/>
    </row>
    <row r="786325" spans="12:13" x14ac:dyDescent="0.25">
      <c r="L786325" s="472"/>
      <c r="M786325" s="472"/>
    </row>
    <row r="786326" spans="12:13" x14ac:dyDescent="0.25">
      <c r="L786326" s="472"/>
      <c r="M786326" s="472"/>
    </row>
    <row r="786327" spans="12:13" x14ac:dyDescent="0.25">
      <c r="L786327" s="472"/>
      <c r="M786327" s="472"/>
    </row>
    <row r="786399" spans="12:13" x14ac:dyDescent="0.25">
      <c r="L786399" s="472"/>
      <c r="M786399" s="472"/>
    </row>
    <row r="786400" spans="12:13" x14ac:dyDescent="0.25">
      <c r="L786400" s="472"/>
      <c r="M786400" s="472"/>
    </row>
    <row r="786401" spans="12:13" x14ac:dyDescent="0.25">
      <c r="L786401" s="472"/>
      <c r="M786401" s="472"/>
    </row>
    <row r="786473" spans="12:13" x14ac:dyDescent="0.25">
      <c r="L786473" s="472"/>
      <c r="M786473" s="472"/>
    </row>
    <row r="786474" spans="12:13" x14ac:dyDescent="0.25">
      <c r="L786474" s="472"/>
      <c r="M786474" s="472"/>
    </row>
    <row r="786475" spans="12:13" x14ac:dyDescent="0.25">
      <c r="L786475" s="472"/>
      <c r="M786475" s="472"/>
    </row>
    <row r="786547" spans="12:13" x14ac:dyDescent="0.25">
      <c r="L786547" s="472"/>
      <c r="M786547" s="472"/>
    </row>
    <row r="786548" spans="12:13" x14ac:dyDescent="0.25">
      <c r="L786548" s="472"/>
      <c r="M786548" s="472"/>
    </row>
    <row r="786549" spans="12:13" x14ac:dyDescent="0.25">
      <c r="L786549" s="472"/>
      <c r="M786549" s="472"/>
    </row>
    <row r="786621" spans="12:13" x14ac:dyDescent="0.25">
      <c r="L786621" s="472"/>
      <c r="M786621" s="472"/>
    </row>
    <row r="786622" spans="12:13" x14ac:dyDescent="0.25">
      <c r="L786622" s="472"/>
      <c r="M786622" s="472"/>
    </row>
    <row r="786623" spans="12:13" x14ac:dyDescent="0.25">
      <c r="L786623" s="472"/>
      <c r="M786623" s="472"/>
    </row>
    <row r="786695" spans="12:13" x14ac:dyDescent="0.25">
      <c r="L786695" s="472"/>
      <c r="M786695" s="472"/>
    </row>
    <row r="786696" spans="12:13" x14ac:dyDescent="0.25">
      <c r="L786696" s="472"/>
      <c r="M786696" s="472"/>
    </row>
    <row r="786697" spans="12:13" x14ac:dyDescent="0.25">
      <c r="L786697" s="472"/>
      <c r="M786697" s="472"/>
    </row>
    <row r="786769" spans="12:13" x14ac:dyDescent="0.25">
      <c r="L786769" s="472"/>
      <c r="M786769" s="472"/>
    </row>
    <row r="786770" spans="12:13" x14ac:dyDescent="0.25">
      <c r="L786770" s="472"/>
      <c r="M786770" s="472"/>
    </row>
    <row r="786771" spans="12:13" x14ac:dyDescent="0.25">
      <c r="L786771" s="472"/>
      <c r="M786771" s="472"/>
    </row>
    <row r="786843" spans="12:13" x14ac:dyDescent="0.25">
      <c r="L786843" s="472"/>
      <c r="M786843" s="472"/>
    </row>
    <row r="786844" spans="12:13" x14ac:dyDescent="0.25">
      <c r="L786844" s="472"/>
      <c r="M786844" s="472"/>
    </row>
    <row r="786845" spans="12:13" x14ac:dyDescent="0.25">
      <c r="L786845" s="472"/>
      <c r="M786845" s="472"/>
    </row>
    <row r="786917" spans="12:13" x14ac:dyDescent="0.25">
      <c r="L786917" s="472"/>
      <c r="M786917" s="472"/>
    </row>
    <row r="786918" spans="12:13" x14ac:dyDescent="0.25">
      <c r="L786918" s="472"/>
      <c r="M786918" s="472"/>
    </row>
    <row r="786919" spans="12:13" x14ac:dyDescent="0.25">
      <c r="L786919" s="472"/>
      <c r="M786919" s="472"/>
    </row>
    <row r="786991" spans="12:13" x14ac:dyDescent="0.25">
      <c r="L786991" s="472"/>
      <c r="M786991" s="472"/>
    </row>
    <row r="786992" spans="12:13" x14ac:dyDescent="0.25">
      <c r="L786992" s="472"/>
      <c r="M786992" s="472"/>
    </row>
    <row r="786993" spans="12:13" x14ac:dyDescent="0.25">
      <c r="L786993" s="472"/>
      <c r="M786993" s="472"/>
    </row>
    <row r="787065" spans="12:13" x14ac:dyDescent="0.25">
      <c r="L787065" s="472"/>
      <c r="M787065" s="472"/>
    </row>
    <row r="787066" spans="12:13" x14ac:dyDescent="0.25">
      <c r="L787066" s="472"/>
      <c r="M787066" s="472"/>
    </row>
    <row r="787067" spans="12:13" x14ac:dyDescent="0.25">
      <c r="L787067" s="472"/>
      <c r="M787067" s="472"/>
    </row>
    <row r="787139" spans="12:13" x14ac:dyDescent="0.25">
      <c r="L787139" s="472"/>
      <c r="M787139" s="472"/>
    </row>
    <row r="787140" spans="12:13" x14ac:dyDescent="0.25">
      <c r="L787140" s="472"/>
      <c r="M787140" s="472"/>
    </row>
    <row r="787141" spans="12:13" x14ac:dyDescent="0.25">
      <c r="L787141" s="472"/>
      <c r="M787141" s="472"/>
    </row>
    <row r="787213" spans="12:13" x14ac:dyDescent="0.25">
      <c r="L787213" s="472"/>
      <c r="M787213" s="472"/>
    </row>
    <row r="787214" spans="12:13" x14ac:dyDescent="0.25">
      <c r="L787214" s="472"/>
      <c r="M787214" s="472"/>
    </row>
    <row r="787215" spans="12:13" x14ac:dyDescent="0.25">
      <c r="L787215" s="472"/>
      <c r="M787215" s="472"/>
    </row>
    <row r="787287" spans="12:13" x14ac:dyDescent="0.25">
      <c r="L787287" s="472"/>
      <c r="M787287" s="472"/>
    </row>
    <row r="787288" spans="12:13" x14ac:dyDescent="0.25">
      <c r="L787288" s="472"/>
      <c r="M787288" s="472"/>
    </row>
    <row r="787289" spans="12:13" x14ac:dyDescent="0.25">
      <c r="L787289" s="472"/>
      <c r="M787289" s="472"/>
    </row>
    <row r="787361" spans="12:13" x14ac:dyDescent="0.25">
      <c r="L787361" s="472"/>
      <c r="M787361" s="472"/>
    </row>
    <row r="787362" spans="12:13" x14ac:dyDescent="0.25">
      <c r="L787362" s="472"/>
      <c r="M787362" s="472"/>
    </row>
    <row r="787363" spans="12:13" x14ac:dyDescent="0.25">
      <c r="L787363" s="472"/>
      <c r="M787363" s="472"/>
    </row>
    <row r="787435" spans="12:13" x14ac:dyDescent="0.25">
      <c r="L787435" s="472"/>
      <c r="M787435" s="472"/>
    </row>
    <row r="787436" spans="12:13" x14ac:dyDescent="0.25">
      <c r="L787436" s="472"/>
      <c r="M787436" s="472"/>
    </row>
    <row r="787437" spans="12:13" x14ac:dyDescent="0.25">
      <c r="L787437" s="472"/>
      <c r="M787437" s="472"/>
    </row>
    <row r="787509" spans="12:13" x14ac:dyDescent="0.25">
      <c r="L787509" s="472"/>
      <c r="M787509" s="472"/>
    </row>
    <row r="787510" spans="12:13" x14ac:dyDescent="0.25">
      <c r="L787510" s="472"/>
      <c r="M787510" s="472"/>
    </row>
    <row r="787511" spans="12:13" x14ac:dyDescent="0.25">
      <c r="L787511" s="472"/>
      <c r="M787511" s="472"/>
    </row>
    <row r="787583" spans="12:13" x14ac:dyDescent="0.25">
      <c r="L787583" s="472"/>
      <c r="M787583" s="472"/>
    </row>
    <row r="787584" spans="12:13" x14ac:dyDescent="0.25">
      <c r="L787584" s="472"/>
      <c r="M787584" s="472"/>
    </row>
    <row r="787585" spans="12:13" x14ac:dyDescent="0.25">
      <c r="L787585" s="472"/>
      <c r="M787585" s="472"/>
    </row>
    <row r="787657" spans="12:13" x14ac:dyDescent="0.25">
      <c r="L787657" s="472"/>
      <c r="M787657" s="472"/>
    </row>
    <row r="787658" spans="12:13" x14ac:dyDescent="0.25">
      <c r="L787658" s="472"/>
      <c r="M787658" s="472"/>
    </row>
    <row r="787659" spans="12:13" x14ac:dyDescent="0.25">
      <c r="L787659" s="472"/>
      <c r="M787659" s="472"/>
    </row>
    <row r="787731" spans="12:13" x14ac:dyDescent="0.25">
      <c r="L787731" s="472"/>
      <c r="M787731" s="472"/>
    </row>
    <row r="787732" spans="12:13" x14ac:dyDescent="0.25">
      <c r="L787732" s="472"/>
      <c r="M787732" s="472"/>
    </row>
    <row r="787733" spans="12:13" x14ac:dyDescent="0.25">
      <c r="L787733" s="472"/>
      <c r="M787733" s="472"/>
    </row>
    <row r="787805" spans="12:13" x14ac:dyDescent="0.25">
      <c r="L787805" s="472"/>
      <c r="M787805" s="472"/>
    </row>
    <row r="787806" spans="12:13" x14ac:dyDescent="0.25">
      <c r="L787806" s="472"/>
      <c r="M787806" s="472"/>
    </row>
    <row r="787807" spans="12:13" x14ac:dyDescent="0.25">
      <c r="L787807" s="472"/>
      <c r="M787807" s="472"/>
    </row>
    <row r="787879" spans="12:13" x14ac:dyDescent="0.25">
      <c r="L787879" s="472"/>
      <c r="M787879" s="472"/>
    </row>
    <row r="787880" spans="12:13" x14ac:dyDescent="0.25">
      <c r="L787880" s="472"/>
      <c r="M787880" s="472"/>
    </row>
    <row r="787881" spans="12:13" x14ac:dyDescent="0.25">
      <c r="L787881" s="472"/>
      <c r="M787881" s="472"/>
    </row>
    <row r="787953" spans="12:13" x14ac:dyDescent="0.25">
      <c r="L787953" s="472"/>
      <c r="M787953" s="472"/>
    </row>
    <row r="787954" spans="12:13" x14ac:dyDescent="0.25">
      <c r="L787954" s="472"/>
      <c r="M787954" s="472"/>
    </row>
    <row r="787955" spans="12:13" x14ac:dyDescent="0.25">
      <c r="L787955" s="472"/>
      <c r="M787955" s="472"/>
    </row>
    <row r="788027" spans="12:13" x14ac:dyDescent="0.25">
      <c r="L788027" s="472"/>
      <c r="M788027" s="472"/>
    </row>
    <row r="788028" spans="12:13" x14ac:dyDescent="0.25">
      <c r="L788028" s="472"/>
      <c r="M788028" s="472"/>
    </row>
    <row r="788029" spans="12:13" x14ac:dyDescent="0.25">
      <c r="L788029" s="472"/>
      <c r="M788029" s="472"/>
    </row>
    <row r="788101" spans="12:13" x14ac:dyDescent="0.25">
      <c r="L788101" s="472"/>
      <c r="M788101" s="472"/>
    </row>
    <row r="788102" spans="12:13" x14ac:dyDescent="0.25">
      <c r="L788102" s="472"/>
      <c r="M788102" s="472"/>
    </row>
    <row r="788103" spans="12:13" x14ac:dyDescent="0.25">
      <c r="L788103" s="472"/>
      <c r="M788103" s="472"/>
    </row>
    <row r="788175" spans="12:13" x14ac:dyDescent="0.25">
      <c r="L788175" s="472"/>
      <c r="M788175" s="472"/>
    </row>
    <row r="788176" spans="12:13" x14ac:dyDescent="0.25">
      <c r="L788176" s="472"/>
      <c r="M788176" s="472"/>
    </row>
    <row r="788177" spans="12:13" x14ac:dyDescent="0.25">
      <c r="L788177" s="472"/>
      <c r="M788177" s="472"/>
    </row>
    <row r="788249" spans="12:13" x14ac:dyDescent="0.25">
      <c r="L788249" s="472"/>
      <c r="M788249" s="472"/>
    </row>
    <row r="788250" spans="12:13" x14ac:dyDescent="0.25">
      <c r="L788250" s="472"/>
      <c r="M788250" s="472"/>
    </row>
    <row r="788251" spans="12:13" x14ac:dyDescent="0.25">
      <c r="L788251" s="472"/>
      <c r="M788251" s="472"/>
    </row>
    <row r="788323" spans="12:13" x14ac:dyDescent="0.25">
      <c r="L788323" s="472"/>
      <c r="M788323" s="472"/>
    </row>
    <row r="788324" spans="12:13" x14ac:dyDescent="0.25">
      <c r="L788324" s="472"/>
      <c r="M788324" s="472"/>
    </row>
    <row r="788325" spans="12:13" x14ac:dyDescent="0.25">
      <c r="L788325" s="472"/>
      <c r="M788325" s="472"/>
    </row>
    <row r="788397" spans="12:13" x14ac:dyDescent="0.25">
      <c r="L788397" s="472"/>
      <c r="M788397" s="472"/>
    </row>
    <row r="788398" spans="12:13" x14ac:dyDescent="0.25">
      <c r="L788398" s="472"/>
      <c r="M788398" s="472"/>
    </row>
    <row r="788399" spans="12:13" x14ac:dyDescent="0.25">
      <c r="L788399" s="472"/>
      <c r="M788399" s="472"/>
    </row>
    <row r="788471" spans="12:13" x14ac:dyDescent="0.25">
      <c r="L788471" s="472"/>
      <c r="M788471" s="472"/>
    </row>
    <row r="788472" spans="12:13" x14ac:dyDescent="0.25">
      <c r="L788472" s="472"/>
      <c r="M788472" s="472"/>
    </row>
    <row r="788473" spans="12:13" x14ac:dyDescent="0.25">
      <c r="L788473" s="472"/>
      <c r="M788473" s="472"/>
    </row>
    <row r="788545" spans="12:13" x14ac:dyDescent="0.25">
      <c r="L788545" s="472"/>
      <c r="M788545" s="472"/>
    </row>
    <row r="788546" spans="12:13" x14ac:dyDescent="0.25">
      <c r="L788546" s="472"/>
      <c r="M788546" s="472"/>
    </row>
    <row r="788547" spans="12:13" x14ac:dyDescent="0.25">
      <c r="L788547" s="472"/>
      <c r="M788547" s="472"/>
    </row>
    <row r="788619" spans="12:13" x14ac:dyDescent="0.25">
      <c r="L788619" s="472"/>
      <c r="M788619" s="472"/>
    </row>
    <row r="788620" spans="12:13" x14ac:dyDescent="0.25">
      <c r="L788620" s="472"/>
      <c r="M788620" s="472"/>
    </row>
    <row r="788621" spans="12:13" x14ac:dyDescent="0.25">
      <c r="L788621" s="472"/>
      <c r="M788621" s="472"/>
    </row>
    <row r="788693" spans="12:13" x14ac:dyDescent="0.25">
      <c r="L788693" s="472"/>
      <c r="M788693" s="472"/>
    </row>
    <row r="788694" spans="12:13" x14ac:dyDescent="0.25">
      <c r="L788694" s="472"/>
      <c r="M788694" s="472"/>
    </row>
    <row r="788695" spans="12:13" x14ac:dyDescent="0.25">
      <c r="L788695" s="472"/>
      <c r="M788695" s="472"/>
    </row>
    <row r="788767" spans="12:13" x14ac:dyDescent="0.25">
      <c r="L788767" s="472"/>
      <c r="M788767" s="472"/>
    </row>
    <row r="788768" spans="12:13" x14ac:dyDescent="0.25">
      <c r="L788768" s="472"/>
      <c r="M788768" s="472"/>
    </row>
    <row r="788769" spans="12:13" x14ac:dyDescent="0.25">
      <c r="L788769" s="472"/>
      <c r="M788769" s="472"/>
    </row>
    <row r="788841" spans="12:13" x14ac:dyDescent="0.25">
      <c r="L788841" s="472"/>
      <c r="M788841" s="472"/>
    </row>
    <row r="788842" spans="12:13" x14ac:dyDescent="0.25">
      <c r="L788842" s="472"/>
      <c r="M788842" s="472"/>
    </row>
    <row r="788843" spans="12:13" x14ac:dyDescent="0.25">
      <c r="L788843" s="472"/>
      <c r="M788843" s="472"/>
    </row>
    <row r="788915" spans="12:13" x14ac:dyDescent="0.25">
      <c r="L788915" s="472"/>
      <c r="M788915" s="472"/>
    </row>
    <row r="788916" spans="12:13" x14ac:dyDescent="0.25">
      <c r="L788916" s="472"/>
      <c r="M788916" s="472"/>
    </row>
    <row r="788917" spans="12:13" x14ac:dyDescent="0.25">
      <c r="L788917" s="472"/>
      <c r="M788917" s="472"/>
    </row>
    <row r="788989" spans="12:13" x14ac:dyDescent="0.25">
      <c r="L788989" s="472"/>
      <c r="M788989" s="472"/>
    </row>
    <row r="788990" spans="12:13" x14ac:dyDescent="0.25">
      <c r="L788990" s="472"/>
      <c r="M788990" s="472"/>
    </row>
    <row r="788991" spans="12:13" x14ac:dyDescent="0.25">
      <c r="L788991" s="472"/>
      <c r="M788991" s="472"/>
    </row>
    <row r="789063" spans="12:13" x14ac:dyDescent="0.25">
      <c r="L789063" s="472"/>
      <c r="M789063" s="472"/>
    </row>
    <row r="789064" spans="12:13" x14ac:dyDescent="0.25">
      <c r="L789064" s="472"/>
      <c r="M789064" s="472"/>
    </row>
    <row r="789065" spans="12:13" x14ac:dyDescent="0.25">
      <c r="L789065" s="472"/>
      <c r="M789065" s="472"/>
    </row>
    <row r="789137" spans="12:13" x14ac:dyDescent="0.25">
      <c r="L789137" s="472"/>
      <c r="M789137" s="472"/>
    </row>
    <row r="789138" spans="12:13" x14ac:dyDescent="0.25">
      <c r="L789138" s="472"/>
      <c r="M789138" s="472"/>
    </row>
    <row r="789139" spans="12:13" x14ac:dyDescent="0.25">
      <c r="L789139" s="472"/>
      <c r="M789139" s="472"/>
    </row>
    <row r="789211" spans="12:13" x14ac:dyDescent="0.25">
      <c r="L789211" s="472"/>
      <c r="M789211" s="472"/>
    </row>
    <row r="789212" spans="12:13" x14ac:dyDescent="0.25">
      <c r="L789212" s="472"/>
      <c r="M789212" s="472"/>
    </row>
    <row r="789213" spans="12:13" x14ac:dyDescent="0.25">
      <c r="L789213" s="472"/>
      <c r="M789213" s="472"/>
    </row>
    <row r="789285" spans="12:13" x14ac:dyDescent="0.25">
      <c r="L789285" s="472"/>
      <c r="M789285" s="472"/>
    </row>
    <row r="789286" spans="12:13" x14ac:dyDescent="0.25">
      <c r="L789286" s="472"/>
      <c r="M789286" s="472"/>
    </row>
    <row r="789287" spans="12:13" x14ac:dyDescent="0.25">
      <c r="L789287" s="472"/>
      <c r="M789287" s="472"/>
    </row>
    <row r="789359" spans="12:13" x14ac:dyDescent="0.25">
      <c r="L789359" s="472"/>
      <c r="M789359" s="472"/>
    </row>
    <row r="789360" spans="12:13" x14ac:dyDescent="0.25">
      <c r="L789360" s="472"/>
      <c r="M789360" s="472"/>
    </row>
    <row r="789361" spans="12:13" x14ac:dyDescent="0.25">
      <c r="L789361" s="472"/>
      <c r="M789361" s="472"/>
    </row>
    <row r="789433" spans="12:13" x14ac:dyDescent="0.25">
      <c r="L789433" s="472"/>
      <c r="M789433" s="472"/>
    </row>
    <row r="789434" spans="12:13" x14ac:dyDescent="0.25">
      <c r="L789434" s="472"/>
      <c r="M789434" s="472"/>
    </row>
    <row r="789435" spans="12:13" x14ac:dyDescent="0.25">
      <c r="L789435" s="472"/>
      <c r="M789435" s="472"/>
    </row>
    <row r="789507" spans="12:13" x14ac:dyDescent="0.25">
      <c r="L789507" s="472"/>
      <c r="M789507" s="472"/>
    </row>
    <row r="789508" spans="12:13" x14ac:dyDescent="0.25">
      <c r="L789508" s="472"/>
      <c r="M789508" s="472"/>
    </row>
    <row r="789509" spans="12:13" x14ac:dyDescent="0.25">
      <c r="L789509" s="472"/>
      <c r="M789509" s="472"/>
    </row>
    <row r="789581" spans="12:13" x14ac:dyDescent="0.25">
      <c r="L789581" s="472"/>
      <c r="M789581" s="472"/>
    </row>
    <row r="789582" spans="12:13" x14ac:dyDescent="0.25">
      <c r="L789582" s="472"/>
      <c r="M789582" s="472"/>
    </row>
    <row r="789583" spans="12:13" x14ac:dyDescent="0.25">
      <c r="L789583" s="472"/>
      <c r="M789583" s="472"/>
    </row>
    <row r="789655" spans="12:13" x14ac:dyDescent="0.25">
      <c r="L789655" s="472"/>
      <c r="M789655" s="472"/>
    </row>
    <row r="789656" spans="12:13" x14ac:dyDescent="0.25">
      <c r="L789656" s="472"/>
      <c r="M789656" s="472"/>
    </row>
    <row r="789657" spans="12:13" x14ac:dyDescent="0.25">
      <c r="L789657" s="472"/>
      <c r="M789657" s="472"/>
    </row>
    <row r="789729" spans="12:13" x14ac:dyDescent="0.25">
      <c r="L789729" s="472"/>
      <c r="M789729" s="472"/>
    </row>
    <row r="789730" spans="12:13" x14ac:dyDescent="0.25">
      <c r="L789730" s="472"/>
      <c r="M789730" s="472"/>
    </row>
    <row r="789731" spans="12:13" x14ac:dyDescent="0.25">
      <c r="L789731" s="472"/>
      <c r="M789731" s="472"/>
    </row>
    <row r="789803" spans="12:13" x14ac:dyDescent="0.25">
      <c r="L789803" s="472"/>
      <c r="M789803" s="472"/>
    </row>
    <row r="789804" spans="12:13" x14ac:dyDescent="0.25">
      <c r="L789804" s="472"/>
      <c r="M789804" s="472"/>
    </row>
    <row r="789805" spans="12:13" x14ac:dyDescent="0.25">
      <c r="L789805" s="472"/>
      <c r="M789805" s="472"/>
    </row>
    <row r="789877" spans="12:13" x14ac:dyDescent="0.25">
      <c r="L789877" s="472"/>
      <c r="M789877" s="472"/>
    </row>
    <row r="789878" spans="12:13" x14ac:dyDescent="0.25">
      <c r="L789878" s="472"/>
      <c r="M789878" s="472"/>
    </row>
    <row r="789879" spans="12:13" x14ac:dyDescent="0.25">
      <c r="L789879" s="472"/>
      <c r="M789879" s="472"/>
    </row>
    <row r="789951" spans="12:13" x14ac:dyDescent="0.25">
      <c r="L789951" s="472"/>
      <c r="M789951" s="472"/>
    </row>
    <row r="789952" spans="12:13" x14ac:dyDescent="0.25">
      <c r="L789952" s="472"/>
      <c r="M789952" s="472"/>
    </row>
    <row r="789953" spans="12:13" x14ac:dyDescent="0.25">
      <c r="L789953" s="472"/>
      <c r="M789953" s="472"/>
    </row>
    <row r="790025" spans="12:13" x14ac:dyDescent="0.25">
      <c r="L790025" s="472"/>
      <c r="M790025" s="472"/>
    </row>
    <row r="790026" spans="12:13" x14ac:dyDescent="0.25">
      <c r="L790026" s="472"/>
      <c r="M790026" s="472"/>
    </row>
    <row r="790027" spans="12:13" x14ac:dyDescent="0.25">
      <c r="L790027" s="472"/>
      <c r="M790027" s="472"/>
    </row>
    <row r="790099" spans="12:13" x14ac:dyDescent="0.25">
      <c r="L790099" s="472"/>
      <c r="M790099" s="472"/>
    </row>
    <row r="790100" spans="12:13" x14ac:dyDescent="0.25">
      <c r="L790100" s="472"/>
      <c r="M790100" s="472"/>
    </row>
    <row r="790101" spans="12:13" x14ac:dyDescent="0.25">
      <c r="L790101" s="472"/>
      <c r="M790101" s="472"/>
    </row>
    <row r="790173" spans="12:13" x14ac:dyDescent="0.25">
      <c r="L790173" s="472"/>
      <c r="M790173" s="472"/>
    </row>
    <row r="790174" spans="12:13" x14ac:dyDescent="0.25">
      <c r="L790174" s="472"/>
      <c r="M790174" s="472"/>
    </row>
    <row r="790175" spans="12:13" x14ac:dyDescent="0.25">
      <c r="L790175" s="472"/>
      <c r="M790175" s="472"/>
    </row>
    <row r="790247" spans="12:13" x14ac:dyDescent="0.25">
      <c r="L790247" s="472"/>
      <c r="M790247" s="472"/>
    </row>
    <row r="790248" spans="12:13" x14ac:dyDescent="0.25">
      <c r="L790248" s="472"/>
      <c r="M790248" s="472"/>
    </row>
    <row r="790249" spans="12:13" x14ac:dyDescent="0.25">
      <c r="L790249" s="472"/>
      <c r="M790249" s="472"/>
    </row>
    <row r="790321" spans="12:13" x14ac:dyDescent="0.25">
      <c r="L790321" s="472"/>
      <c r="M790321" s="472"/>
    </row>
    <row r="790322" spans="12:13" x14ac:dyDescent="0.25">
      <c r="L790322" s="472"/>
      <c r="M790322" s="472"/>
    </row>
    <row r="790323" spans="12:13" x14ac:dyDescent="0.25">
      <c r="L790323" s="472"/>
      <c r="M790323" s="472"/>
    </row>
    <row r="790395" spans="12:13" x14ac:dyDescent="0.25">
      <c r="L790395" s="472"/>
      <c r="M790395" s="472"/>
    </row>
    <row r="790396" spans="12:13" x14ac:dyDescent="0.25">
      <c r="L790396" s="472"/>
      <c r="M790396" s="472"/>
    </row>
    <row r="790397" spans="12:13" x14ac:dyDescent="0.25">
      <c r="L790397" s="472"/>
      <c r="M790397" s="472"/>
    </row>
    <row r="790469" spans="12:13" x14ac:dyDescent="0.25">
      <c r="L790469" s="472"/>
      <c r="M790469" s="472"/>
    </row>
    <row r="790470" spans="12:13" x14ac:dyDescent="0.25">
      <c r="L790470" s="472"/>
      <c r="M790470" s="472"/>
    </row>
    <row r="790471" spans="12:13" x14ac:dyDescent="0.25">
      <c r="L790471" s="472"/>
      <c r="M790471" s="472"/>
    </row>
    <row r="790543" spans="12:13" x14ac:dyDescent="0.25">
      <c r="L790543" s="472"/>
      <c r="M790543" s="472"/>
    </row>
    <row r="790544" spans="12:13" x14ac:dyDescent="0.25">
      <c r="L790544" s="472"/>
      <c r="M790544" s="472"/>
    </row>
    <row r="790545" spans="12:13" x14ac:dyDescent="0.25">
      <c r="L790545" s="472"/>
      <c r="M790545" s="472"/>
    </row>
    <row r="790617" spans="12:13" x14ac:dyDescent="0.25">
      <c r="L790617" s="472"/>
      <c r="M790617" s="472"/>
    </row>
    <row r="790618" spans="12:13" x14ac:dyDescent="0.25">
      <c r="L790618" s="472"/>
      <c r="M790618" s="472"/>
    </row>
    <row r="790619" spans="12:13" x14ac:dyDescent="0.25">
      <c r="L790619" s="472"/>
      <c r="M790619" s="472"/>
    </row>
    <row r="790691" spans="12:13" x14ac:dyDescent="0.25">
      <c r="L790691" s="472"/>
      <c r="M790691" s="472"/>
    </row>
    <row r="790692" spans="12:13" x14ac:dyDescent="0.25">
      <c r="L790692" s="472"/>
      <c r="M790692" s="472"/>
    </row>
    <row r="790693" spans="12:13" x14ac:dyDescent="0.25">
      <c r="L790693" s="472"/>
      <c r="M790693" s="472"/>
    </row>
    <row r="790765" spans="12:13" x14ac:dyDescent="0.25">
      <c r="L790765" s="472"/>
      <c r="M790765" s="472"/>
    </row>
    <row r="790766" spans="12:13" x14ac:dyDescent="0.25">
      <c r="L790766" s="472"/>
      <c r="M790766" s="472"/>
    </row>
    <row r="790767" spans="12:13" x14ac:dyDescent="0.25">
      <c r="L790767" s="472"/>
      <c r="M790767" s="472"/>
    </row>
    <row r="790839" spans="12:13" x14ac:dyDescent="0.25">
      <c r="L790839" s="472"/>
      <c r="M790839" s="472"/>
    </row>
    <row r="790840" spans="12:13" x14ac:dyDescent="0.25">
      <c r="L790840" s="472"/>
      <c r="M790840" s="472"/>
    </row>
    <row r="790841" spans="12:13" x14ac:dyDescent="0.25">
      <c r="L790841" s="472"/>
      <c r="M790841" s="472"/>
    </row>
    <row r="790913" spans="12:13" x14ac:dyDescent="0.25">
      <c r="L790913" s="472"/>
      <c r="M790913" s="472"/>
    </row>
    <row r="790914" spans="12:13" x14ac:dyDescent="0.25">
      <c r="L790914" s="472"/>
      <c r="M790914" s="472"/>
    </row>
    <row r="790915" spans="12:13" x14ac:dyDescent="0.25">
      <c r="L790915" s="472"/>
      <c r="M790915" s="472"/>
    </row>
    <row r="790987" spans="12:13" x14ac:dyDescent="0.25">
      <c r="L790987" s="472"/>
      <c r="M790987" s="472"/>
    </row>
    <row r="790988" spans="12:13" x14ac:dyDescent="0.25">
      <c r="L790988" s="472"/>
      <c r="M790988" s="472"/>
    </row>
    <row r="790989" spans="12:13" x14ac:dyDescent="0.25">
      <c r="L790989" s="472"/>
      <c r="M790989" s="472"/>
    </row>
    <row r="791061" spans="12:13" x14ac:dyDescent="0.25">
      <c r="L791061" s="472"/>
      <c r="M791061" s="472"/>
    </row>
    <row r="791062" spans="12:13" x14ac:dyDescent="0.25">
      <c r="L791062" s="472"/>
      <c r="M791062" s="472"/>
    </row>
    <row r="791063" spans="12:13" x14ac:dyDescent="0.25">
      <c r="L791063" s="472"/>
      <c r="M791063" s="472"/>
    </row>
    <row r="791135" spans="12:13" x14ac:dyDescent="0.25">
      <c r="L791135" s="472"/>
      <c r="M791135" s="472"/>
    </row>
    <row r="791136" spans="12:13" x14ac:dyDescent="0.25">
      <c r="L791136" s="472"/>
      <c r="M791136" s="472"/>
    </row>
    <row r="791137" spans="12:13" x14ac:dyDescent="0.25">
      <c r="L791137" s="472"/>
      <c r="M791137" s="472"/>
    </row>
    <row r="791209" spans="12:13" x14ac:dyDescent="0.25">
      <c r="L791209" s="472"/>
      <c r="M791209" s="472"/>
    </row>
    <row r="791210" spans="12:13" x14ac:dyDescent="0.25">
      <c r="L791210" s="472"/>
      <c r="M791210" s="472"/>
    </row>
    <row r="791211" spans="12:13" x14ac:dyDescent="0.25">
      <c r="L791211" s="472"/>
      <c r="M791211" s="472"/>
    </row>
    <row r="791283" spans="12:13" x14ac:dyDescent="0.25">
      <c r="L791283" s="472"/>
      <c r="M791283" s="472"/>
    </row>
    <row r="791284" spans="12:13" x14ac:dyDescent="0.25">
      <c r="L791284" s="472"/>
      <c r="M791284" s="472"/>
    </row>
    <row r="791285" spans="12:13" x14ac:dyDescent="0.25">
      <c r="L791285" s="472"/>
      <c r="M791285" s="472"/>
    </row>
    <row r="791357" spans="12:13" x14ac:dyDescent="0.25">
      <c r="L791357" s="472"/>
      <c r="M791357" s="472"/>
    </row>
    <row r="791358" spans="12:13" x14ac:dyDescent="0.25">
      <c r="L791358" s="472"/>
      <c r="M791358" s="472"/>
    </row>
    <row r="791359" spans="12:13" x14ac:dyDescent="0.25">
      <c r="L791359" s="472"/>
      <c r="M791359" s="472"/>
    </row>
    <row r="791431" spans="12:13" x14ac:dyDescent="0.25">
      <c r="L791431" s="472"/>
      <c r="M791431" s="472"/>
    </row>
    <row r="791432" spans="12:13" x14ac:dyDescent="0.25">
      <c r="L791432" s="472"/>
      <c r="M791432" s="472"/>
    </row>
    <row r="791433" spans="12:13" x14ac:dyDescent="0.25">
      <c r="L791433" s="472"/>
      <c r="M791433" s="472"/>
    </row>
    <row r="791505" spans="12:13" x14ac:dyDescent="0.25">
      <c r="L791505" s="472"/>
      <c r="M791505" s="472"/>
    </row>
    <row r="791506" spans="12:13" x14ac:dyDescent="0.25">
      <c r="L791506" s="472"/>
      <c r="M791506" s="472"/>
    </row>
    <row r="791507" spans="12:13" x14ac:dyDescent="0.25">
      <c r="L791507" s="472"/>
      <c r="M791507" s="472"/>
    </row>
    <row r="791579" spans="12:13" x14ac:dyDescent="0.25">
      <c r="L791579" s="472"/>
      <c r="M791579" s="472"/>
    </row>
    <row r="791580" spans="12:13" x14ac:dyDescent="0.25">
      <c r="L791580" s="472"/>
      <c r="M791580" s="472"/>
    </row>
    <row r="791581" spans="12:13" x14ac:dyDescent="0.25">
      <c r="L791581" s="472"/>
      <c r="M791581" s="472"/>
    </row>
    <row r="791653" spans="12:13" x14ac:dyDescent="0.25">
      <c r="L791653" s="472"/>
      <c r="M791653" s="472"/>
    </row>
    <row r="791654" spans="12:13" x14ac:dyDescent="0.25">
      <c r="L791654" s="472"/>
      <c r="M791654" s="472"/>
    </row>
    <row r="791655" spans="12:13" x14ac:dyDescent="0.25">
      <c r="L791655" s="472"/>
      <c r="M791655" s="472"/>
    </row>
    <row r="791727" spans="12:13" x14ac:dyDescent="0.25">
      <c r="L791727" s="472"/>
      <c r="M791727" s="472"/>
    </row>
    <row r="791728" spans="12:13" x14ac:dyDescent="0.25">
      <c r="L791728" s="472"/>
      <c r="M791728" s="472"/>
    </row>
    <row r="791729" spans="12:13" x14ac:dyDescent="0.25">
      <c r="L791729" s="472"/>
      <c r="M791729" s="472"/>
    </row>
    <row r="791801" spans="12:13" x14ac:dyDescent="0.25">
      <c r="L791801" s="472"/>
      <c r="M791801" s="472"/>
    </row>
    <row r="791802" spans="12:13" x14ac:dyDescent="0.25">
      <c r="L791802" s="472"/>
      <c r="M791802" s="472"/>
    </row>
    <row r="791803" spans="12:13" x14ac:dyDescent="0.25">
      <c r="L791803" s="472"/>
      <c r="M791803" s="472"/>
    </row>
    <row r="791875" spans="12:13" x14ac:dyDescent="0.25">
      <c r="L791875" s="472"/>
      <c r="M791875" s="472"/>
    </row>
    <row r="791876" spans="12:13" x14ac:dyDescent="0.25">
      <c r="L791876" s="472"/>
      <c r="M791876" s="472"/>
    </row>
    <row r="791877" spans="12:13" x14ac:dyDescent="0.25">
      <c r="L791877" s="472"/>
      <c r="M791877" s="472"/>
    </row>
    <row r="791949" spans="12:13" x14ac:dyDescent="0.25">
      <c r="L791949" s="472"/>
      <c r="M791949" s="472"/>
    </row>
    <row r="791950" spans="12:13" x14ac:dyDescent="0.25">
      <c r="L791950" s="472"/>
      <c r="M791950" s="472"/>
    </row>
    <row r="791951" spans="12:13" x14ac:dyDescent="0.25">
      <c r="L791951" s="472"/>
      <c r="M791951" s="472"/>
    </row>
    <row r="792023" spans="12:13" x14ac:dyDescent="0.25">
      <c r="L792023" s="472"/>
      <c r="M792023" s="472"/>
    </row>
    <row r="792024" spans="12:13" x14ac:dyDescent="0.25">
      <c r="L792024" s="472"/>
      <c r="M792024" s="472"/>
    </row>
    <row r="792025" spans="12:13" x14ac:dyDescent="0.25">
      <c r="L792025" s="472"/>
      <c r="M792025" s="472"/>
    </row>
    <row r="792097" spans="12:13" x14ac:dyDescent="0.25">
      <c r="L792097" s="472"/>
      <c r="M792097" s="472"/>
    </row>
    <row r="792098" spans="12:13" x14ac:dyDescent="0.25">
      <c r="L792098" s="472"/>
      <c r="M792098" s="472"/>
    </row>
    <row r="792099" spans="12:13" x14ac:dyDescent="0.25">
      <c r="L792099" s="472"/>
      <c r="M792099" s="472"/>
    </row>
    <row r="792171" spans="12:13" x14ac:dyDescent="0.25">
      <c r="L792171" s="472"/>
      <c r="M792171" s="472"/>
    </row>
    <row r="792172" spans="12:13" x14ac:dyDescent="0.25">
      <c r="L792172" s="472"/>
      <c r="M792172" s="472"/>
    </row>
    <row r="792173" spans="12:13" x14ac:dyDescent="0.25">
      <c r="L792173" s="472"/>
      <c r="M792173" s="472"/>
    </row>
    <row r="792245" spans="12:13" x14ac:dyDescent="0.25">
      <c r="L792245" s="472"/>
      <c r="M792245" s="472"/>
    </row>
    <row r="792246" spans="12:13" x14ac:dyDescent="0.25">
      <c r="L792246" s="472"/>
      <c r="M792246" s="472"/>
    </row>
    <row r="792247" spans="12:13" x14ac:dyDescent="0.25">
      <c r="L792247" s="472"/>
      <c r="M792247" s="472"/>
    </row>
    <row r="792319" spans="12:13" x14ac:dyDescent="0.25">
      <c r="L792319" s="472"/>
      <c r="M792319" s="472"/>
    </row>
    <row r="792320" spans="12:13" x14ac:dyDescent="0.25">
      <c r="L792320" s="472"/>
      <c r="M792320" s="472"/>
    </row>
    <row r="792321" spans="12:13" x14ac:dyDescent="0.25">
      <c r="L792321" s="472"/>
      <c r="M792321" s="472"/>
    </row>
    <row r="792393" spans="12:13" x14ac:dyDescent="0.25">
      <c r="L792393" s="472"/>
      <c r="M792393" s="472"/>
    </row>
    <row r="792394" spans="12:13" x14ac:dyDescent="0.25">
      <c r="L792394" s="472"/>
      <c r="M792394" s="472"/>
    </row>
    <row r="792395" spans="12:13" x14ac:dyDescent="0.25">
      <c r="L792395" s="472"/>
      <c r="M792395" s="472"/>
    </row>
    <row r="792467" spans="12:13" x14ac:dyDescent="0.25">
      <c r="L792467" s="472"/>
      <c r="M792467" s="472"/>
    </row>
    <row r="792468" spans="12:13" x14ac:dyDescent="0.25">
      <c r="L792468" s="472"/>
      <c r="M792468" s="472"/>
    </row>
    <row r="792469" spans="12:13" x14ac:dyDescent="0.25">
      <c r="L792469" s="472"/>
      <c r="M792469" s="472"/>
    </row>
    <row r="792541" spans="12:13" x14ac:dyDescent="0.25">
      <c r="L792541" s="472"/>
      <c r="M792541" s="472"/>
    </row>
    <row r="792542" spans="12:13" x14ac:dyDescent="0.25">
      <c r="L792542" s="472"/>
      <c r="M792542" s="472"/>
    </row>
    <row r="792543" spans="12:13" x14ac:dyDescent="0.25">
      <c r="L792543" s="472"/>
      <c r="M792543" s="472"/>
    </row>
    <row r="792615" spans="12:13" x14ac:dyDescent="0.25">
      <c r="L792615" s="472"/>
      <c r="M792615" s="472"/>
    </row>
    <row r="792616" spans="12:13" x14ac:dyDescent="0.25">
      <c r="L792616" s="472"/>
      <c r="M792616" s="472"/>
    </row>
    <row r="792617" spans="12:13" x14ac:dyDescent="0.25">
      <c r="L792617" s="472"/>
      <c r="M792617" s="472"/>
    </row>
    <row r="792689" spans="12:13" x14ac:dyDescent="0.25">
      <c r="L792689" s="472"/>
      <c r="M792689" s="472"/>
    </row>
    <row r="792690" spans="12:13" x14ac:dyDescent="0.25">
      <c r="L792690" s="472"/>
      <c r="M792690" s="472"/>
    </row>
    <row r="792691" spans="12:13" x14ac:dyDescent="0.25">
      <c r="L792691" s="472"/>
      <c r="M792691" s="472"/>
    </row>
    <row r="792763" spans="12:13" x14ac:dyDescent="0.25">
      <c r="L792763" s="472"/>
      <c r="M792763" s="472"/>
    </row>
    <row r="792764" spans="12:13" x14ac:dyDescent="0.25">
      <c r="L792764" s="472"/>
      <c r="M792764" s="472"/>
    </row>
    <row r="792765" spans="12:13" x14ac:dyDescent="0.25">
      <c r="L792765" s="472"/>
      <c r="M792765" s="472"/>
    </row>
    <row r="792837" spans="12:13" x14ac:dyDescent="0.25">
      <c r="L792837" s="472"/>
      <c r="M792837" s="472"/>
    </row>
    <row r="792838" spans="12:13" x14ac:dyDescent="0.25">
      <c r="L792838" s="472"/>
      <c r="M792838" s="472"/>
    </row>
    <row r="792839" spans="12:13" x14ac:dyDescent="0.25">
      <c r="L792839" s="472"/>
      <c r="M792839" s="472"/>
    </row>
    <row r="792911" spans="12:13" x14ac:dyDescent="0.25">
      <c r="L792911" s="472"/>
      <c r="M792911" s="472"/>
    </row>
    <row r="792912" spans="12:13" x14ac:dyDescent="0.25">
      <c r="L792912" s="472"/>
      <c r="M792912" s="472"/>
    </row>
    <row r="792913" spans="12:13" x14ac:dyDescent="0.25">
      <c r="L792913" s="472"/>
      <c r="M792913" s="472"/>
    </row>
    <row r="792985" spans="12:13" x14ac:dyDescent="0.25">
      <c r="L792985" s="472"/>
      <c r="M792985" s="472"/>
    </row>
    <row r="792986" spans="12:13" x14ac:dyDescent="0.25">
      <c r="L792986" s="472"/>
      <c r="M792986" s="472"/>
    </row>
    <row r="792987" spans="12:13" x14ac:dyDescent="0.25">
      <c r="L792987" s="472"/>
      <c r="M792987" s="472"/>
    </row>
    <row r="793059" spans="12:13" x14ac:dyDescent="0.25">
      <c r="L793059" s="472"/>
      <c r="M793059" s="472"/>
    </row>
    <row r="793060" spans="12:13" x14ac:dyDescent="0.25">
      <c r="L793060" s="472"/>
      <c r="M793060" s="472"/>
    </row>
    <row r="793061" spans="12:13" x14ac:dyDescent="0.25">
      <c r="L793061" s="472"/>
      <c r="M793061" s="472"/>
    </row>
    <row r="793133" spans="12:13" x14ac:dyDescent="0.25">
      <c r="L793133" s="472"/>
      <c r="M793133" s="472"/>
    </row>
    <row r="793134" spans="12:13" x14ac:dyDescent="0.25">
      <c r="L793134" s="472"/>
      <c r="M793134" s="472"/>
    </row>
    <row r="793135" spans="12:13" x14ac:dyDescent="0.25">
      <c r="L793135" s="472"/>
      <c r="M793135" s="472"/>
    </row>
    <row r="793207" spans="12:13" x14ac:dyDescent="0.25">
      <c r="L793207" s="472"/>
      <c r="M793207" s="472"/>
    </row>
    <row r="793208" spans="12:13" x14ac:dyDescent="0.25">
      <c r="L793208" s="472"/>
      <c r="M793208" s="472"/>
    </row>
    <row r="793209" spans="12:13" x14ac:dyDescent="0.25">
      <c r="L793209" s="472"/>
      <c r="M793209" s="472"/>
    </row>
    <row r="793281" spans="12:13" x14ac:dyDescent="0.25">
      <c r="L793281" s="472"/>
      <c r="M793281" s="472"/>
    </row>
    <row r="793282" spans="12:13" x14ac:dyDescent="0.25">
      <c r="L793282" s="472"/>
      <c r="M793282" s="472"/>
    </row>
    <row r="793283" spans="12:13" x14ac:dyDescent="0.25">
      <c r="L793283" s="472"/>
      <c r="M793283" s="472"/>
    </row>
    <row r="793355" spans="12:13" x14ac:dyDescent="0.25">
      <c r="L793355" s="472"/>
      <c r="M793355" s="472"/>
    </row>
    <row r="793356" spans="12:13" x14ac:dyDescent="0.25">
      <c r="L793356" s="472"/>
      <c r="M793356" s="472"/>
    </row>
    <row r="793357" spans="12:13" x14ac:dyDescent="0.25">
      <c r="L793357" s="472"/>
      <c r="M793357" s="472"/>
    </row>
    <row r="793429" spans="12:13" x14ac:dyDescent="0.25">
      <c r="L793429" s="472"/>
      <c r="M793429" s="472"/>
    </row>
    <row r="793430" spans="12:13" x14ac:dyDescent="0.25">
      <c r="L793430" s="472"/>
      <c r="M793430" s="472"/>
    </row>
    <row r="793431" spans="12:13" x14ac:dyDescent="0.25">
      <c r="L793431" s="472"/>
      <c r="M793431" s="472"/>
    </row>
    <row r="793503" spans="12:13" x14ac:dyDescent="0.25">
      <c r="L793503" s="472"/>
      <c r="M793503" s="472"/>
    </row>
    <row r="793504" spans="12:13" x14ac:dyDescent="0.25">
      <c r="L793504" s="472"/>
      <c r="M793504" s="472"/>
    </row>
    <row r="793505" spans="12:13" x14ac:dyDescent="0.25">
      <c r="L793505" s="472"/>
      <c r="M793505" s="472"/>
    </row>
    <row r="793577" spans="12:13" x14ac:dyDescent="0.25">
      <c r="L793577" s="472"/>
      <c r="M793577" s="472"/>
    </row>
    <row r="793578" spans="12:13" x14ac:dyDescent="0.25">
      <c r="L793578" s="472"/>
      <c r="M793578" s="472"/>
    </row>
    <row r="793579" spans="12:13" x14ac:dyDescent="0.25">
      <c r="L793579" s="472"/>
      <c r="M793579" s="472"/>
    </row>
    <row r="793651" spans="12:13" x14ac:dyDescent="0.25">
      <c r="L793651" s="472"/>
      <c r="M793651" s="472"/>
    </row>
    <row r="793652" spans="12:13" x14ac:dyDescent="0.25">
      <c r="L793652" s="472"/>
      <c r="M793652" s="472"/>
    </row>
    <row r="793653" spans="12:13" x14ac:dyDescent="0.25">
      <c r="L793653" s="472"/>
      <c r="M793653" s="472"/>
    </row>
    <row r="793725" spans="12:13" x14ac:dyDescent="0.25">
      <c r="L793725" s="472"/>
      <c r="M793725" s="472"/>
    </row>
    <row r="793726" spans="12:13" x14ac:dyDescent="0.25">
      <c r="L793726" s="472"/>
      <c r="M793726" s="472"/>
    </row>
    <row r="793727" spans="12:13" x14ac:dyDescent="0.25">
      <c r="L793727" s="472"/>
      <c r="M793727" s="472"/>
    </row>
    <row r="793799" spans="12:13" x14ac:dyDescent="0.25">
      <c r="L793799" s="472"/>
      <c r="M793799" s="472"/>
    </row>
    <row r="793800" spans="12:13" x14ac:dyDescent="0.25">
      <c r="L793800" s="472"/>
      <c r="M793800" s="472"/>
    </row>
    <row r="793801" spans="12:13" x14ac:dyDescent="0.25">
      <c r="L793801" s="472"/>
      <c r="M793801" s="472"/>
    </row>
    <row r="793873" spans="12:13" x14ac:dyDescent="0.25">
      <c r="L793873" s="472"/>
      <c r="M793873" s="472"/>
    </row>
    <row r="793874" spans="12:13" x14ac:dyDescent="0.25">
      <c r="L793874" s="472"/>
      <c r="M793874" s="472"/>
    </row>
    <row r="793875" spans="12:13" x14ac:dyDescent="0.25">
      <c r="L793875" s="472"/>
      <c r="M793875" s="472"/>
    </row>
    <row r="793947" spans="12:13" x14ac:dyDescent="0.25">
      <c r="L793947" s="472"/>
      <c r="M793947" s="472"/>
    </row>
    <row r="793948" spans="12:13" x14ac:dyDescent="0.25">
      <c r="L793948" s="472"/>
      <c r="M793948" s="472"/>
    </row>
    <row r="793949" spans="12:13" x14ac:dyDescent="0.25">
      <c r="L793949" s="472"/>
      <c r="M793949" s="472"/>
    </row>
    <row r="794021" spans="12:13" x14ac:dyDescent="0.25">
      <c r="L794021" s="472"/>
      <c r="M794021" s="472"/>
    </row>
    <row r="794022" spans="12:13" x14ac:dyDescent="0.25">
      <c r="L794022" s="472"/>
      <c r="M794022" s="472"/>
    </row>
    <row r="794023" spans="12:13" x14ac:dyDescent="0.25">
      <c r="L794023" s="472"/>
      <c r="M794023" s="472"/>
    </row>
    <row r="794095" spans="12:13" x14ac:dyDescent="0.25">
      <c r="L794095" s="472"/>
      <c r="M794095" s="472"/>
    </row>
    <row r="794096" spans="12:13" x14ac:dyDescent="0.25">
      <c r="L794096" s="472"/>
      <c r="M794096" s="472"/>
    </row>
    <row r="794097" spans="12:13" x14ac:dyDescent="0.25">
      <c r="L794097" s="472"/>
      <c r="M794097" s="472"/>
    </row>
    <row r="794169" spans="12:13" x14ac:dyDescent="0.25">
      <c r="L794169" s="472"/>
      <c r="M794169" s="472"/>
    </row>
    <row r="794170" spans="12:13" x14ac:dyDescent="0.25">
      <c r="L794170" s="472"/>
      <c r="M794170" s="472"/>
    </row>
    <row r="794171" spans="12:13" x14ac:dyDescent="0.25">
      <c r="L794171" s="472"/>
      <c r="M794171" s="472"/>
    </row>
    <row r="794243" spans="12:13" x14ac:dyDescent="0.25">
      <c r="L794243" s="472"/>
      <c r="M794243" s="472"/>
    </row>
    <row r="794244" spans="12:13" x14ac:dyDescent="0.25">
      <c r="L794244" s="472"/>
      <c r="M794244" s="472"/>
    </row>
    <row r="794245" spans="12:13" x14ac:dyDescent="0.25">
      <c r="L794245" s="472"/>
      <c r="M794245" s="472"/>
    </row>
    <row r="794317" spans="12:13" x14ac:dyDescent="0.25">
      <c r="L794317" s="472"/>
      <c r="M794317" s="472"/>
    </row>
    <row r="794318" spans="12:13" x14ac:dyDescent="0.25">
      <c r="L794318" s="472"/>
      <c r="M794318" s="472"/>
    </row>
    <row r="794319" spans="12:13" x14ac:dyDescent="0.25">
      <c r="L794319" s="472"/>
      <c r="M794319" s="472"/>
    </row>
    <row r="794391" spans="12:13" x14ac:dyDescent="0.25">
      <c r="L794391" s="472"/>
      <c r="M794391" s="472"/>
    </row>
    <row r="794392" spans="12:13" x14ac:dyDescent="0.25">
      <c r="L794392" s="472"/>
      <c r="M794392" s="472"/>
    </row>
    <row r="794393" spans="12:13" x14ac:dyDescent="0.25">
      <c r="L794393" s="472"/>
      <c r="M794393" s="472"/>
    </row>
    <row r="794465" spans="12:13" x14ac:dyDescent="0.25">
      <c r="L794465" s="472"/>
      <c r="M794465" s="472"/>
    </row>
    <row r="794466" spans="12:13" x14ac:dyDescent="0.25">
      <c r="L794466" s="472"/>
      <c r="M794466" s="472"/>
    </row>
    <row r="794467" spans="12:13" x14ac:dyDescent="0.25">
      <c r="L794467" s="472"/>
      <c r="M794467" s="472"/>
    </row>
    <row r="794539" spans="12:13" x14ac:dyDescent="0.25">
      <c r="L794539" s="472"/>
      <c r="M794539" s="472"/>
    </row>
    <row r="794540" spans="12:13" x14ac:dyDescent="0.25">
      <c r="L794540" s="472"/>
      <c r="M794540" s="472"/>
    </row>
    <row r="794541" spans="12:13" x14ac:dyDescent="0.25">
      <c r="L794541" s="472"/>
      <c r="M794541" s="472"/>
    </row>
    <row r="794613" spans="12:13" x14ac:dyDescent="0.25">
      <c r="L794613" s="472"/>
      <c r="M794613" s="472"/>
    </row>
    <row r="794614" spans="12:13" x14ac:dyDescent="0.25">
      <c r="L794614" s="472"/>
      <c r="M794614" s="472"/>
    </row>
    <row r="794615" spans="12:13" x14ac:dyDescent="0.25">
      <c r="L794615" s="472"/>
      <c r="M794615" s="472"/>
    </row>
    <row r="794687" spans="12:13" x14ac:dyDescent="0.25">
      <c r="L794687" s="472"/>
      <c r="M794687" s="472"/>
    </row>
    <row r="794688" spans="12:13" x14ac:dyDescent="0.25">
      <c r="L794688" s="472"/>
      <c r="M794688" s="472"/>
    </row>
    <row r="794689" spans="12:13" x14ac:dyDescent="0.25">
      <c r="L794689" s="472"/>
      <c r="M794689" s="472"/>
    </row>
    <row r="794761" spans="12:13" x14ac:dyDescent="0.25">
      <c r="L794761" s="472"/>
      <c r="M794761" s="472"/>
    </row>
    <row r="794762" spans="12:13" x14ac:dyDescent="0.25">
      <c r="L794762" s="472"/>
      <c r="M794762" s="472"/>
    </row>
    <row r="794763" spans="12:13" x14ac:dyDescent="0.25">
      <c r="L794763" s="472"/>
      <c r="M794763" s="472"/>
    </row>
    <row r="794835" spans="12:13" x14ac:dyDescent="0.25">
      <c r="L794835" s="472"/>
      <c r="M794835" s="472"/>
    </row>
    <row r="794836" spans="12:13" x14ac:dyDescent="0.25">
      <c r="L794836" s="472"/>
      <c r="M794836" s="472"/>
    </row>
    <row r="794837" spans="12:13" x14ac:dyDescent="0.25">
      <c r="L794837" s="472"/>
      <c r="M794837" s="472"/>
    </row>
    <row r="794909" spans="12:13" x14ac:dyDescent="0.25">
      <c r="L794909" s="472"/>
      <c r="M794909" s="472"/>
    </row>
    <row r="794910" spans="12:13" x14ac:dyDescent="0.25">
      <c r="L794910" s="472"/>
      <c r="M794910" s="472"/>
    </row>
    <row r="794911" spans="12:13" x14ac:dyDescent="0.25">
      <c r="L794911" s="472"/>
      <c r="M794911" s="472"/>
    </row>
    <row r="794983" spans="12:13" x14ac:dyDescent="0.25">
      <c r="L794983" s="472"/>
      <c r="M794983" s="472"/>
    </row>
    <row r="794984" spans="12:13" x14ac:dyDescent="0.25">
      <c r="L794984" s="472"/>
      <c r="M794984" s="472"/>
    </row>
    <row r="794985" spans="12:13" x14ac:dyDescent="0.25">
      <c r="L794985" s="472"/>
      <c r="M794985" s="472"/>
    </row>
    <row r="795057" spans="12:13" x14ac:dyDescent="0.25">
      <c r="L795057" s="472"/>
      <c r="M795057" s="472"/>
    </row>
    <row r="795058" spans="12:13" x14ac:dyDescent="0.25">
      <c r="L795058" s="472"/>
      <c r="M795058" s="472"/>
    </row>
    <row r="795059" spans="12:13" x14ac:dyDescent="0.25">
      <c r="L795059" s="472"/>
      <c r="M795059" s="472"/>
    </row>
    <row r="795131" spans="12:13" x14ac:dyDescent="0.25">
      <c r="L795131" s="472"/>
      <c r="M795131" s="472"/>
    </row>
    <row r="795132" spans="12:13" x14ac:dyDescent="0.25">
      <c r="L795132" s="472"/>
      <c r="M795132" s="472"/>
    </row>
    <row r="795133" spans="12:13" x14ac:dyDescent="0.25">
      <c r="L795133" s="472"/>
      <c r="M795133" s="472"/>
    </row>
    <row r="795205" spans="12:13" x14ac:dyDescent="0.25">
      <c r="L795205" s="472"/>
      <c r="M795205" s="472"/>
    </row>
    <row r="795206" spans="12:13" x14ac:dyDescent="0.25">
      <c r="L795206" s="472"/>
      <c r="M795206" s="472"/>
    </row>
    <row r="795207" spans="12:13" x14ac:dyDescent="0.25">
      <c r="L795207" s="472"/>
      <c r="M795207" s="472"/>
    </row>
    <row r="795279" spans="12:13" x14ac:dyDescent="0.25">
      <c r="L795279" s="472"/>
      <c r="M795279" s="472"/>
    </row>
    <row r="795280" spans="12:13" x14ac:dyDescent="0.25">
      <c r="L795280" s="472"/>
      <c r="M795280" s="472"/>
    </row>
    <row r="795281" spans="12:13" x14ac:dyDescent="0.25">
      <c r="L795281" s="472"/>
      <c r="M795281" s="472"/>
    </row>
    <row r="795353" spans="12:13" x14ac:dyDescent="0.25">
      <c r="L795353" s="472"/>
      <c r="M795353" s="472"/>
    </row>
    <row r="795354" spans="12:13" x14ac:dyDescent="0.25">
      <c r="L795354" s="472"/>
      <c r="M795354" s="472"/>
    </row>
    <row r="795355" spans="12:13" x14ac:dyDescent="0.25">
      <c r="L795355" s="472"/>
      <c r="M795355" s="472"/>
    </row>
    <row r="795427" spans="12:13" x14ac:dyDescent="0.25">
      <c r="L795427" s="472"/>
      <c r="M795427" s="472"/>
    </row>
    <row r="795428" spans="12:13" x14ac:dyDescent="0.25">
      <c r="L795428" s="472"/>
      <c r="M795428" s="472"/>
    </row>
    <row r="795429" spans="12:13" x14ac:dyDescent="0.25">
      <c r="L795429" s="472"/>
      <c r="M795429" s="472"/>
    </row>
    <row r="795501" spans="12:13" x14ac:dyDescent="0.25">
      <c r="L795501" s="472"/>
      <c r="M795501" s="472"/>
    </row>
    <row r="795502" spans="12:13" x14ac:dyDescent="0.25">
      <c r="L795502" s="472"/>
      <c r="M795502" s="472"/>
    </row>
    <row r="795503" spans="12:13" x14ac:dyDescent="0.25">
      <c r="L795503" s="472"/>
      <c r="M795503" s="472"/>
    </row>
    <row r="795575" spans="12:13" x14ac:dyDescent="0.25">
      <c r="L795575" s="472"/>
      <c r="M795575" s="472"/>
    </row>
    <row r="795576" spans="12:13" x14ac:dyDescent="0.25">
      <c r="L795576" s="472"/>
      <c r="M795576" s="472"/>
    </row>
    <row r="795577" spans="12:13" x14ac:dyDescent="0.25">
      <c r="L795577" s="472"/>
      <c r="M795577" s="472"/>
    </row>
    <row r="795649" spans="12:13" x14ac:dyDescent="0.25">
      <c r="L795649" s="472"/>
      <c r="M795649" s="472"/>
    </row>
    <row r="795650" spans="12:13" x14ac:dyDescent="0.25">
      <c r="L795650" s="472"/>
      <c r="M795650" s="472"/>
    </row>
    <row r="795651" spans="12:13" x14ac:dyDescent="0.25">
      <c r="L795651" s="472"/>
      <c r="M795651" s="472"/>
    </row>
    <row r="795723" spans="12:13" x14ac:dyDescent="0.25">
      <c r="L795723" s="472"/>
      <c r="M795723" s="472"/>
    </row>
    <row r="795724" spans="12:13" x14ac:dyDescent="0.25">
      <c r="L795724" s="472"/>
      <c r="M795724" s="472"/>
    </row>
    <row r="795725" spans="12:13" x14ac:dyDescent="0.25">
      <c r="L795725" s="472"/>
      <c r="M795725" s="472"/>
    </row>
    <row r="795797" spans="12:13" x14ac:dyDescent="0.25">
      <c r="L795797" s="472"/>
      <c r="M795797" s="472"/>
    </row>
    <row r="795798" spans="12:13" x14ac:dyDescent="0.25">
      <c r="L795798" s="472"/>
      <c r="M795798" s="472"/>
    </row>
    <row r="795799" spans="12:13" x14ac:dyDescent="0.25">
      <c r="L795799" s="472"/>
      <c r="M795799" s="472"/>
    </row>
    <row r="795871" spans="12:13" x14ac:dyDescent="0.25">
      <c r="L795871" s="472"/>
      <c r="M795871" s="472"/>
    </row>
    <row r="795872" spans="12:13" x14ac:dyDescent="0.25">
      <c r="L795872" s="472"/>
      <c r="M795872" s="472"/>
    </row>
    <row r="795873" spans="12:13" x14ac:dyDescent="0.25">
      <c r="L795873" s="472"/>
      <c r="M795873" s="472"/>
    </row>
    <row r="795945" spans="12:13" x14ac:dyDescent="0.25">
      <c r="L795945" s="472"/>
      <c r="M795945" s="472"/>
    </row>
    <row r="795946" spans="12:13" x14ac:dyDescent="0.25">
      <c r="L795946" s="472"/>
      <c r="M795946" s="472"/>
    </row>
    <row r="795947" spans="12:13" x14ac:dyDescent="0.25">
      <c r="L795947" s="472"/>
      <c r="M795947" s="472"/>
    </row>
    <row r="796019" spans="12:13" x14ac:dyDescent="0.25">
      <c r="L796019" s="472"/>
      <c r="M796019" s="472"/>
    </row>
    <row r="796020" spans="12:13" x14ac:dyDescent="0.25">
      <c r="L796020" s="472"/>
      <c r="M796020" s="472"/>
    </row>
    <row r="796021" spans="12:13" x14ac:dyDescent="0.25">
      <c r="L796021" s="472"/>
      <c r="M796021" s="472"/>
    </row>
    <row r="796093" spans="12:13" x14ac:dyDescent="0.25">
      <c r="L796093" s="472"/>
      <c r="M796093" s="472"/>
    </row>
    <row r="796094" spans="12:13" x14ac:dyDescent="0.25">
      <c r="L796094" s="472"/>
      <c r="M796094" s="472"/>
    </row>
    <row r="796095" spans="12:13" x14ac:dyDescent="0.25">
      <c r="L796095" s="472"/>
      <c r="M796095" s="472"/>
    </row>
    <row r="796167" spans="12:13" x14ac:dyDescent="0.25">
      <c r="L796167" s="472"/>
      <c r="M796167" s="472"/>
    </row>
    <row r="796168" spans="12:13" x14ac:dyDescent="0.25">
      <c r="L796168" s="472"/>
      <c r="M796168" s="472"/>
    </row>
    <row r="796169" spans="12:13" x14ac:dyDescent="0.25">
      <c r="L796169" s="472"/>
      <c r="M796169" s="472"/>
    </row>
    <row r="796241" spans="12:13" x14ac:dyDescent="0.25">
      <c r="L796241" s="472"/>
      <c r="M796241" s="472"/>
    </row>
    <row r="796242" spans="12:13" x14ac:dyDescent="0.25">
      <c r="L796242" s="472"/>
      <c r="M796242" s="472"/>
    </row>
    <row r="796243" spans="12:13" x14ac:dyDescent="0.25">
      <c r="L796243" s="472"/>
      <c r="M796243" s="472"/>
    </row>
    <row r="796315" spans="12:13" x14ac:dyDescent="0.25">
      <c r="L796315" s="472"/>
      <c r="M796315" s="472"/>
    </row>
    <row r="796316" spans="12:13" x14ac:dyDescent="0.25">
      <c r="L796316" s="472"/>
      <c r="M796316" s="472"/>
    </row>
    <row r="796317" spans="12:13" x14ac:dyDescent="0.25">
      <c r="L796317" s="472"/>
      <c r="M796317" s="472"/>
    </row>
    <row r="796389" spans="12:13" x14ac:dyDescent="0.25">
      <c r="L796389" s="472"/>
      <c r="M796389" s="472"/>
    </row>
    <row r="796390" spans="12:13" x14ac:dyDescent="0.25">
      <c r="L796390" s="472"/>
      <c r="M796390" s="472"/>
    </row>
    <row r="796391" spans="12:13" x14ac:dyDescent="0.25">
      <c r="L796391" s="472"/>
      <c r="M796391" s="472"/>
    </row>
    <row r="796463" spans="12:13" x14ac:dyDescent="0.25">
      <c r="L796463" s="472"/>
      <c r="M796463" s="472"/>
    </row>
    <row r="796464" spans="12:13" x14ac:dyDescent="0.25">
      <c r="L796464" s="472"/>
      <c r="M796464" s="472"/>
    </row>
    <row r="796465" spans="12:13" x14ac:dyDescent="0.25">
      <c r="L796465" s="472"/>
      <c r="M796465" s="472"/>
    </row>
    <row r="796537" spans="12:13" x14ac:dyDescent="0.25">
      <c r="L796537" s="472"/>
      <c r="M796537" s="472"/>
    </row>
    <row r="796538" spans="12:13" x14ac:dyDescent="0.25">
      <c r="L796538" s="472"/>
      <c r="M796538" s="472"/>
    </row>
    <row r="796539" spans="12:13" x14ac:dyDescent="0.25">
      <c r="L796539" s="472"/>
      <c r="M796539" s="472"/>
    </row>
    <row r="796611" spans="12:13" x14ac:dyDescent="0.25">
      <c r="L796611" s="472"/>
      <c r="M796611" s="472"/>
    </row>
    <row r="796612" spans="12:13" x14ac:dyDescent="0.25">
      <c r="L796612" s="472"/>
      <c r="M796612" s="472"/>
    </row>
    <row r="796613" spans="12:13" x14ac:dyDescent="0.25">
      <c r="L796613" s="472"/>
      <c r="M796613" s="472"/>
    </row>
    <row r="796685" spans="12:13" x14ac:dyDescent="0.25">
      <c r="L796685" s="472"/>
      <c r="M796685" s="472"/>
    </row>
    <row r="796686" spans="12:13" x14ac:dyDescent="0.25">
      <c r="L796686" s="472"/>
      <c r="M796686" s="472"/>
    </row>
    <row r="796687" spans="12:13" x14ac:dyDescent="0.25">
      <c r="L796687" s="472"/>
      <c r="M796687" s="472"/>
    </row>
    <row r="796759" spans="12:13" x14ac:dyDescent="0.25">
      <c r="L796759" s="472"/>
      <c r="M796759" s="472"/>
    </row>
    <row r="796760" spans="12:13" x14ac:dyDescent="0.25">
      <c r="L796760" s="472"/>
      <c r="M796760" s="472"/>
    </row>
    <row r="796761" spans="12:13" x14ac:dyDescent="0.25">
      <c r="L796761" s="472"/>
      <c r="M796761" s="472"/>
    </row>
    <row r="796833" spans="12:13" x14ac:dyDescent="0.25">
      <c r="L796833" s="472"/>
      <c r="M796833" s="472"/>
    </row>
    <row r="796834" spans="12:13" x14ac:dyDescent="0.25">
      <c r="L796834" s="472"/>
      <c r="M796834" s="472"/>
    </row>
    <row r="796835" spans="12:13" x14ac:dyDescent="0.25">
      <c r="L796835" s="472"/>
      <c r="M796835" s="472"/>
    </row>
    <row r="796907" spans="12:13" x14ac:dyDescent="0.25">
      <c r="L796907" s="472"/>
      <c r="M796907" s="472"/>
    </row>
    <row r="796908" spans="12:13" x14ac:dyDescent="0.25">
      <c r="L796908" s="472"/>
      <c r="M796908" s="472"/>
    </row>
    <row r="796909" spans="12:13" x14ac:dyDescent="0.25">
      <c r="L796909" s="472"/>
      <c r="M796909" s="472"/>
    </row>
    <row r="796981" spans="12:13" x14ac:dyDescent="0.25">
      <c r="L796981" s="472"/>
      <c r="M796981" s="472"/>
    </row>
    <row r="796982" spans="12:13" x14ac:dyDescent="0.25">
      <c r="L796982" s="472"/>
      <c r="M796982" s="472"/>
    </row>
    <row r="796983" spans="12:13" x14ac:dyDescent="0.25">
      <c r="L796983" s="472"/>
      <c r="M796983" s="472"/>
    </row>
    <row r="797055" spans="12:13" x14ac:dyDescent="0.25">
      <c r="L797055" s="472"/>
      <c r="M797055" s="472"/>
    </row>
    <row r="797056" spans="12:13" x14ac:dyDescent="0.25">
      <c r="L797056" s="472"/>
      <c r="M797056" s="472"/>
    </row>
    <row r="797057" spans="12:13" x14ac:dyDescent="0.25">
      <c r="L797057" s="472"/>
      <c r="M797057" s="472"/>
    </row>
    <row r="797129" spans="12:13" x14ac:dyDescent="0.25">
      <c r="L797129" s="472"/>
      <c r="M797129" s="472"/>
    </row>
    <row r="797130" spans="12:13" x14ac:dyDescent="0.25">
      <c r="L797130" s="472"/>
      <c r="M797130" s="472"/>
    </row>
    <row r="797131" spans="12:13" x14ac:dyDescent="0.25">
      <c r="L797131" s="472"/>
      <c r="M797131" s="472"/>
    </row>
    <row r="797203" spans="12:13" x14ac:dyDescent="0.25">
      <c r="L797203" s="472"/>
      <c r="M797203" s="472"/>
    </row>
    <row r="797204" spans="12:13" x14ac:dyDescent="0.25">
      <c r="L797204" s="472"/>
      <c r="M797204" s="472"/>
    </row>
    <row r="797205" spans="12:13" x14ac:dyDescent="0.25">
      <c r="L797205" s="472"/>
      <c r="M797205" s="472"/>
    </row>
    <row r="797277" spans="12:13" x14ac:dyDescent="0.25">
      <c r="L797277" s="472"/>
      <c r="M797277" s="472"/>
    </row>
    <row r="797278" spans="12:13" x14ac:dyDescent="0.25">
      <c r="L797278" s="472"/>
      <c r="M797278" s="472"/>
    </row>
    <row r="797279" spans="12:13" x14ac:dyDescent="0.25">
      <c r="L797279" s="472"/>
      <c r="M797279" s="472"/>
    </row>
    <row r="797351" spans="12:13" x14ac:dyDescent="0.25">
      <c r="L797351" s="472"/>
      <c r="M797351" s="472"/>
    </row>
    <row r="797352" spans="12:13" x14ac:dyDescent="0.25">
      <c r="L797352" s="472"/>
      <c r="M797352" s="472"/>
    </row>
    <row r="797353" spans="12:13" x14ac:dyDescent="0.25">
      <c r="L797353" s="472"/>
      <c r="M797353" s="472"/>
    </row>
    <row r="797425" spans="12:13" x14ac:dyDescent="0.25">
      <c r="L797425" s="472"/>
      <c r="M797425" s="472"/>
    </row>
    <row r="797426" spans="12:13" x14ac:dyDescent="0.25">
      <c r="L797426" s="472"/>
      <c r="M797426" s="472"/>
    </row>
    <row r="797427" spans="12:13" x14ac:dyDescent="0.25">
      <c r="L797427" s="472"/>
      <c r="M797427" s="472"/>
    </row>
    <row r="797499" spans="12:13" x14ac:dyDescent="0.25">
      <c r="L797499" s="472"/>
      <c r="M797499" s="472"/>
    </row>
    <row r="797500" spans="12:13" x14ac:dyDescent="0.25">
      <c r="L797500" s="472"/>
      <c r="M797500" s="472"/>
    </row>
    <row r="797501" spans="12:13" x14ac:dyDescent="0.25">
      <c r="L797501" s="472"/>
      <c r="M797501" s="472"/>
    </row>
    <row r="797573" spans="12:13" x14ac:dyDescent="0.25">
      <c r="L797573" s="472"/>
      <c r="M797573" s="472"/>
    </row>
    <row r="797574" spans="12:13" x14ac:dyDescent="0.25">
      <c r="L797574" s="472"/>
      <c r="M797574" s="472"/>
    </row>
    <row r="797575" spans="12:13" x14ac:dyDescent="0.25">
      <c r="L797575" s="472"/>
      <c r="M797575" s="472"/>
    </row>
    <row r="797647" spans="12:13" x14ac:dyDescent="0.25">
      <c r="L797647" s="472"/>
      <c r="M797647" s="472"/>
    </row>
    <row r="797648" spans="12:13" x14ac:dyDescent="0.25">
      <c r="L797648" s="472"/>
      <c r="M797648" s="472"/>
    </row>
    <row r="797649" spans="12:13" x14ac:dyDescent="0.25">
      <c r="L797649" s="472"/>
      <c r="M797649" s="472"/>
    </row>
    <row r="797721" spans="12:13" x14ac:dyDescent="0.25">
      <c r="L797721" s="472"/>
      <c r="M797721" s="472"/>
    </row>
    <row r="797722" spans="12:13" x14ac:dyDescent="0.25">
      <c r="L797722" s="472"/>
      <c r="M797722" s="472"/>
    </row>
    <row r="797723" spans="12:13" x14ac:dyDescent="0.25">
      <c r="L797723" s="472"/>
      <c r="M797723" s="472"/>
    </row>
    <row r="797795" spans="12:13" x14ac:dyDescent="0.25">
      <c r="L797795" s="472"/>
      <c r="M797795" s="472"/>
    </row>
    <row r="797796" spans="12:13" x14ac:dyDescent="0.25">
      <c r="L797796" s="472"/>
      <c r="M797796" s="472"/>
    </row>
    <row r="797797" spans="12:13" x14ac:dyDescent="0.25">
      <c r="L797797" s="472"/>
      <c r="M797797" s="472"/>
    </row>
    <row r="797869" spans="12:13" x14ac:dyDescent="0.25">
      <c r="L797869" s="472"/>
      <c r="M797869" s="472"/>
    </row>
    <row r="797870" spans="12:13" x14ac:dyDescent="0.25">
      <c r="L797870" s="472"/>
      <c r="M797870" s="472"/>
    </row>
    <row r="797871" spans="12:13" x14ac:dyDescent="0.25">
      <c r="L797871" s="472"/>
      <c r="M797871" s="472"/>
    </row>
    <row r="797943" spans="12:13" x14ac:dyDescent="0.25">
      <c r="L797943" s="472"/>
      <c r="M797943" s="472"/>
    </row>
    <row r="797944" spans="12:13" x14ac:dyDescent="0.25">
      <c r="L797944" s="472"/>
      <c r="M797944" s="472"/>
    </row>
    <row r="797945" spans="12:13" x14ac:dyDescent="0.25">
      <c r="L797945" s="472"/>
      <c r="M797945" s="472"/>
    </row>
    <row r="798017" spans="12:13" x14ac:dyDescent="0.25">
      <c r="L798017" s="472"/>
      <c r="M798017" s="472"/>
    </row>
    <row r="798018" spans="12:13" x14ac:dyDescent="0.25">
      <c r="L798018" s="472"/>
      <c r="M798018" s="472"/>
    </row>
    <row r="798019" spans="12:13" x14ac:dyDescent="0.25">
      <c r="L798019" s="472"/>
      <c r="M798019" s="472"/>
    </row>
    <row r="798091" spans="12:13" x14ac:dyDescent="0.25">
      <c r="L798091" s="472"/>
      <c r="M798091" s="472"/>
    </row>
    <row r="798092" spans="12:13" x14ac:dyDescent="0.25">
      <c r="L798092" s="472"/>
      <c r="M798092" s="472"/>
    </row>
    <row r="798093" spans="12:13" x14ac:dyDescent="0.25">
      <c r="L798093" s="472"/>
      <c r="M798093" s="472"/>
    </row>
    <row r="798165" spans="12:13" x14ac:dyDescent="0.25">
      <c r="L798165" s="472"/>
      <c r="M798165" s="472"/>
    </row>
    <row r="798166" spans="12:13" x14ac:dyDescent="0.25">
      <c r="L798166" s="472"/>
      <c r="M798166" s="472"/>
    </row>
    <row r="798167" spans="12:13" x14ac:dyDescent="0.25">
      <c r="L798167" s="472"/>
      <c r="M798167" s="472"/>
    </row>
    <row r="798239" spans="12:13" x14ac:dyDescent="0.25">
      <c r="L798239" s="472"/>
      <c r="M798239" s="472"/>
    </row>
    <row r="798240" spans="12:13" x14ac:dyDescent="0.25">
      <c r="L798240" s="472"/>
      <c r="M798240" s="472"/>
    </row>
    <row r="798241" spans="12:13" x14ac:dyDescent="0.25">
      <c r="L798241" s="472"/>
      <c r="M798241" s="472"/>
    </row>
    <row r="798313" spans="12:13" x14ac:dyDescent="0.25">
      <c r="L798313" s="472"/>
      <c r="M798313" s="472"/>
    </row>
    <row r="798314" spans="12:13" x14ac:dyDescent="0.25">
      <c r="L798314" s="472"/>
      <c r="M798314" s="472"/>
    </row>
    <row r="798315" spans="12:13" x14ac:dyDescent="0.25">
      <c r="L798315" s="472"/>
      <c r="M798315" s="472"/>
    </row>
    <row r="798387" spans="12:13" x14ac:dyDescent="0.25">
      <c r="L798387" s="472"/>
      <c r="M798387" s="472"/>
    </row>
    <row r="798388" spans="12:13" x14ac:dyDescent="0.25">
      <c r="L798388" s="472"/>
      <c r="M798388" s="472"/>
    </row>
    <row r="798389" spans="12:13" x14ac:dyDescent="0.25">
      <c r="L798389" s="472"/>
      <c r="M798389" s="472"/>
    </row>
    <row r="798461" spans="12:13" x14ac:dyDescent="0.25">
      <c r="L798461" s="472"/>
      <c r="M798461" s="472"/>
    </row>
    <row r="798462" spans="12:13" x14ac:dyDescent="0.25">
      <c r="L798462" s="472"/>
      <c r="M798462" s="472"/>
    </row>
    <row r="798463" spans="12:13" x14ac:dyDescent="0.25">
      <c r="L798463" s="472"/>
      <c r="M798463" s="472"/>
    </row>
    <row r="798535" spans="12:13" x14ac:dyDescent="0.25">
      <c r="L798535" s="472"/>
      <c r="M798535" s="472"/>
    </row>
    <row r="798536" spans="12:13" x14ac:dyDescent="0.25">
      <c r="L798536" s="472"/>
      <c r="M798536" s="472"/>
    </row>
    <row r="798537" spans="12:13" x14ac:dyDescent="0.25">
      <c r="L798537" s="472"/>
      <c r="M798537" s="472"/>
    </row>
    <row r="798609" spans="12:13" x14ac:dyDescent="0.25">
      <c r="L798609" s="472"/>
      <c r="M798609" s="472"/>
    </row>
    <row r="798610" spans="12:13" x14ac:dyDescent="0.25">
      <c r="L798610" s="472"/>
      <c r="M798610" s="472"/>
    </row>
    <row r="798611" spans="12:13" x14ac:dyDescent="0.25">
      <c r="L798611" s="472"/>
      <c r="M798611" s="472"/>
    </row>
    <row r="798683" spans="12:13" x14ac:dyDescent="0.25">
      <c r="L798683" s="472"/>
      <c r="M798683" s="472"/>
    </row>
    <row r="798684" spans="12:13" x14ac:dyDescent="0.25">
      <c r="L798684" s="472"/>
      <c r="M798684" s="472"/>
    </row>
    <row r="798685" spans="12:13" x14ac:dyDescent="0.25">
      <c r="L798685" s="472"/>
      <c r="M798685" s="472"/>
    </row>
    <row r="798757" spans="12:13" x14ac:dyDescent="0.25">
      <c r="L798757" s="472"/>
      <c r="M798757" s="472"/>
    </row>
    <row r="798758" spans="12:13" x14ac:dyDescent="0.25">
      <c r="L798758" s="472"/>
      <c r="M798758" s="472"/>
    </row>
    <row r="798759" spans="12:13" x14ac:dyDescent="0.25">
      <c r="L798759" s="472"/>
      <c r="M798759" s="472"/>
    </row>
    <row r="798831" spans="12:13" x14ac:dyDescent="0.25">
      <c r="L798831" s="472"/>
      <c r="M798831" s="472"/>
    </row>
    <row r="798832" spans="12:13" x14ac:dyDescent="0.25">
      <c r="L798832" s="472"/>
      <c r="M798832" s="472"/>
    </row>
    <row r="798833" spans="12:13" x14ac:dyDescent="0.25">
      <c r="L798833" s="472"/>
      <c r="M798833" s="472"/>
    </row>
    <row r="798905" spans="12:13" x14ac:dyDescent="0.25">
      <c r="L798905" s="472"/>
      <c r="M798905" s="472"/>
    </row>
    <row r="798906" spans="12:13" x14ac:dyDescent="0.25">
      <c r="L798906" s="472"/>
      <c r="M798906" s="472"/>
    </row>
    <row r="798907" spans="12:13" x14ac:dyDescent="0.25">
      <c r="L798907" s="472"/>
      <c r="M798907" s="472"/>
    </row>
    <row r="798979" spans="12:13" x14ac:dyDescent="0.25">
      <c r="L798979" s="472"/>
      <c r="M798979" s="472"/>
    </row>
    <row r="798980" spans="12:13" x14ac:dyDescent="0.25">
      <c r="L798980" s="472"/>
      <c r="M798980" s="472"/>
    </row>
    <row r="798981" spans="12:13" x14ac:dyDescent="0.25">
      <c r="L798981" s="472"/>
      <c r="M798981" s="472"/>
    </row>
    <row r="799053" spans="12:13" x14ac:dyDescent="0.25">
      <c r="L799053" s="472"/>
      <c r="M799053" s="472"/>
    </row>
    <row r="799054" spans="12:13" x14ac:dyDescent="0.25">
      <c r="L799054" s="472"/>
      <c r="M799054" s="472"/>
    </row>
    <row r="799055" spans="12:13" x14ac:dyDescent="0.25">
      <c r="L799055" s="472"/>
      <c r="M799055" s="472"/>
    </row>
    <row r="799127" spans="12:13" x14ac:dyDescent="0.25">
      <c r="L799127" s="472"/>
      <c r="M799127" s="472"/>
    </row>
    <row r="799128" spans="12:13" x14ac:dyDescent="0.25">
      <c r="L799128" s="472"/>
      <c r="M799128" s="472"/>
    </row>
    <row r="799129" spans="12:13" x14ac:dyDescent="0.25">
      <c r="L799129" s="472"/>
      <c r="M799129" s="472"/>
    </row>
    <row r="799201" spans="12:13" x14ac:dyDescent="0.25">
      <c r="L799201" s="472"/>
      <c r="M799201" s="472"/>
    </row>
    <row r="799202" spans="12:13" x14ac:dyDescent="0.25">
      <c r="L799202" s="472"/>
      <c r="M799202" s="472"/>
    </row>
    <row r="799203" spans="12:13" x14ac:dyDescent="0.25">
      <c r="L799203" s="472"/>
      <c r="M799203" s="472"/>
    </row>
    <row r="799275" spans="12:13" x14ac:dyDescent="0.25">
      <c r="L799275" s="472"/>
      <c r="M799275" s="472"/>
    </row>
    <row r="799276" spans="12:13" x14ac:dyDescent="0.25">
      <c r="L799276" s="472"/>
      <c r="M799276" s="472"/>
    </row>
    <row r="799277" spans="12:13" x14ac:dyDescent="0.25">
      <c r="L799277" s="472"/>
      <c r="M799277" s="472"/>
    </row>
    <row r="799349" spans="12:13" x14ac:dyDescent="0.25">
      <c r="L799349" s="472"/>
      <c r="M799349" s="472"/>
    </row>
    <row r="799350" spans="12:13" x14ac:dyDescent="0.25">
      <c r="L799350" s="472"/>
      <c r="M799350" s="472"/>
    </row>
    <row r="799351" spans="12:13" x14ac:dyDescent="0.25">
      <c r="L799351" s="472"/>
      <c r="M799351" s="472"/>
    </row>
    <row r="799423" spans="12:13" x14ac:dyDescent="0.25">
      <c r="L799423" s="472"/>
      <c r="M799423" s="472"/>
    </row>
    <row r="799424" spans="12:13" x14ac:dyDescent="0.25">
      <c r="L799424" s="472"/>
      <c r="M799424" s="472"/>
    </row>
    <row r="799425" spans="12:13" x14ac:dyDescent="0.25">
      <c r="L799425" s="472"/>
      <c r="M799425" s="472"/>
    </row>
    <row r="799497" spans="12:13" x14ac:dyDescent="0.25">
      <c r="L799497" s="472"/>
      <c r="M799497" s="472"/>
    </row>
    <row r="799498" spans="12:13" x14ac:dyDescent="0.25">
      <c r="L799498" s="472"/>
      <c r="M799498" s="472"/>
    </row>
    <row r="799499" spans="12:13" x14ac:dyDescent="0.25">
      <c r="L799499" s="472"/>
      <c r="M799499" s="472"/>
    </row>
    <row r="799571" spans="12:13" x14ac:dyDescent="0.25">
      <c r="L799571" s="472"/>
      <c r="M799571" s="472"/>
    </row>
    <row r="799572" spans="12:13" x14ac:dyDescent="0.25">
      <c r="L799572" s="472"/>
      <c r="M799572" s="472"/>
    </row>
    <row r="799573" spans="12:13" x14ac:dyDescent="0.25">
      <c r="L799573" s="472"/>
      <c r="M799573" s="472"/>
    </row>
    <row r="799645" spans="12:13" x14ac:dyDescent="0.25">
      <c r="L799645" s="472"/>
      <c r="M799645" s="472"/>
    </row>
    <row r="799646" spans="12:13" x14ac:dyDescent="0.25">
      <c r="L799646" s="472"/>
      <c r="M799646" s="472"/>
    </row>
    <row r="799647" spans="12:13" x14ac:dyDescent="0.25">
      <c r="L799647" s="472"/>
      <c r="M799647" s="472"/>
    </row>
    <row r="799719" spans="12:13" x14ac:dyDescent="0.25">
      <c r="L799719" s="472"/>
      <c r="M799719" s="472"/>
    </row>
    <row r="799720" spans="12:13" x14ac:dyDescent="0.25">
      <c r="L799720" s="472"/>
      <c r="M799720" s="472"/>
    </row>
    <row r="799721" spans="12:13" x14ac:dyDescent="0.25">
      <c r="L799721" s="472"/>
      <c r="M799721" s="472"/>
    </row>
    <row r="799793" spans="12:13" x14ac:dyDescent="0.25">
      <c r="L799793" s="472"/>
      <c r="M799793" s="472"/>
    </row>
    <row r="799794" spans="12:13" x14ac:dyDescent="0.25">
      <c r="L799794" s="472"/>
      <c r="M799794" s="472"/>
    </row>
    <row r="799795" spans="12:13" x14ac:dyDescent="0.25">
      <c r="L799795" s="472"/>
      <c r="M799795" s="472"/>
    </row>
    <row r="799867" spans="12:13" x14ac:dyDescent="0.25">
      <c r="L799867" s="472"/>
      <c r="M799867" s="472"/>
    </row>
    <row r="799868" spans="12:13" x14ac:dyDescent="0.25">
      <c r="L799868" s="472"/>
      <c r="M799868" s="472"/>
    </row>
    <row r="799869" spans="12:13" x14ac:dyDescent="0.25">
      <c r="L799869" s="472"/>
      <c r="M799869" s="472"/>
    </row>
    <row r="799941" spans="12:13" x14ac:dyDescent="0.25">
      <c r="L799941" s="472"/>
      <c r="M799941" s="472"/>
    </row>
    <row r="799942" spans="12:13" x14ac:dyDescent="0.25">
      <c r="L799942" s="472"/>
      <c r="M799942" s="472"/>
    </row>
    <row r="799943" spans="12:13" x14ac:dyDescent="0.25">
      <c r="L799943" s="472"/>
      <c r="M799943" s="472"/>
    </row>
    <row r="800015" spans="12:13" x14ac:dyDescent="0.25">
      <c r="L800015" s="472"/>
      <c r="M800015" s="472"/>
    </row>
    <row r="800016" spans="12:13" x14ac:dyDescent="0.25">
      <c r="L800016" s="472"/>
      <c r="M800016" s="472"/>
    </row>
    <row r="800017" spans="12:13" x14ac:dyDescent="0.25">
      <c r="L800017" s="472"/>
      <c r="M800017" s="472"/>
    </row>
    <row r="800089" spans="12:13" x14ac:dyDescent="0.25">
      <c r="L800089" s="472"/>
      <c r="M800089" s="472"/>
    </row>
    <row r="800090" spans="12:13" x14ac:dyDescent="0.25">
      <c r="L800090" s="472"/>
      <c r="M800090" s="472"/>
    </row>
    <row r="800091" spans="12:13" x14ac:dyDescent="0.25">
      <c r="L800091" s="472"/>
      <c r="M800091" s="472"/>
    </row>
    <row r="800163" spans="12:13" x14ac:dyDescent="0.25">
      <c r="L800163" s="472"/>
      <c r="M800163" s="472"/>
    </row>
    <row r="800164" spans="12:13" x14ac:dyDescent="0.25">
      <c r="L800164" s="472"/>
      <c r="M800164" s="472"/>
    </row>
    <row r="800165" spans="12:13" x14ac:dyDescent="0.25">
      <c r="L800165" s="472"/>
      <c r="M800165" s="472"/>
    </row>
    <row r="800237" spans="12:13" x14ac:dyDescent="0.25">
      <c r="L800237" s="472"/>
      <c r="M800237" s="472"/>
    </row>
    <row r="800238" spans="12:13" x14ac:dyDescent="0.25">
      <c r="L800238" s="472"/>
      <c r="M800238" s="472"/>
    </row>
    <row r="800239" spans="12:13" x14ac:dyDescent="0.25">
      <c r="L800239" s="472"/>
      <c r="M800239" s="472"/>
    </row>
    <row r="800311" spans="12:13" x14ac:dyDescent="0.25">
      <c r="L800311" s="472"/>
      <c r="M800311" s="472"/>
    </row>
    <row r="800312" spans="12:13" x14ac:dyDescent="0.25">
      <c r="L800312" s="472"/>
      <c r="M800312" s="472"/>
    </row>
    <row r="800313" spans="12:13" x14ac:dyDescent="0.25">
      <c r="L800313" s="472"/>
      <c r="M800313" s="472"/>
    </row>
    <row r="800385" spans="12:13" x14ac:dyDescent="0.25">
      <c r="L800385" s="472"/>
      <c r="M800385" s="472"/>
    </row>
    <row r="800386" spans="12:13" x14ac:dyDescent="0.25">
      <c r="L800386" s="472"/>
      <c r="M800386" s="472"/>
    </row>
    <row r="800387" spans="12:13" x14ac:dyDescent="0.25">
      <c r="L800387" s="472"/>
      <c r="M800387" s="472"/>
    </row>
    <row r="800459" spans="12:13" x14ac:dyDescent="0.25">
      <c r="L800459" s="472"/>
      <c r="M800459" s="472"/>
    </row>
    <row r="800460" spans="12:13" x14ac:dyDescent="0.25">
      <c r="L800460" s="472"/>
      <c r="M800460" s="472"/>
    </row>
    <row r="800461" spans="12:13" x14ac:dyDescent="0.25">
      <c r="L800461" s="472"/>
      <c r="M800461" s="472"/>
    </row>
    <row r="800533" spans="12:13" x14ac:dyDescent="0.25">
      <c r="L800533" s="472"/>
      <c r="M800533" s="472"/>
    </row>
    <row r="800534" spans="12:13" x14ac:dyDescent="0.25">
      <c r="L800534" s="472"/>
      <c r="M800534" s="472"/>
    </row>
    <row r="800535" spans="12:13" x14ac:dyDescent="0.25">
      <c r="L800535" s="472"/>
      <c r="M800535" s="472"/>
    </row>
    <row r="800607" spans="12:13" x14ac:dyDescent="0.25">
      <c r="L800607" s="472"/>
      <c r="M800607" s="472"/>
    </row>
    <row r="800608" spans="12:13" x14ac:dyDescent="0.25">
      <c r="L800608" s="472"/>
      <c r="M800608" s="472"/>
    </row>
    <row r="800609" spans="12:13" x14ac:dyDescent="0.25">
      <c r="L800609" s="472"/>
      <c r="M800609" s="472"/>
    </row>
    <row r="800681" spans="12:13" x14ac:dyDescent="0.25">
      <c r="L800681" s="472"/>
      <c r="M800681" s="472"/>
    </row>
    <row r="800682" spans="12:13" x14ac:dyDescent="0.25">
      <c r="L800682" s="472"/>
      <c r="M800682" s="472"/>
    </row>
    <row r="800683" spans="12:13" x14ac:dyDescent="0.25">
      <c r="L800683" s="472"/>
      <c r="M800683" s="472"/>
    </row>
    <row r="800755" spans="12:13" x14ac:dyDescent="0.25">
      <c r="L800755" s="472"/>
      <c r="M800755" s="472"/>
    </row>
    <row r="800756" spans="12:13" x14ac:dyDescent="0.25">
      <c r="L800756" s="472"/>
      <c r="M800756" s="472"/>
    </row>
    <row r="800757" spans="12:13" x14ac:dyDescent="0.25">
      <c r="L800757" s="472"/>
      <c r="M800757" s="472"/>
    </row>
    <row r="800829" spans="12:13" x14ac:dyDescent="0.25">
      <c r="L800829" s="472"/>
      <c r="M800829" s="472"/>
    </row>
    <row r="800830" spans="12:13" x14ac:dyDescent="0.25">
      <c r="L800830" s="472"/>
      <c r="M800830" s="472"/>
    </row>
    <row r="800831" spans="12:13" x14ac:dyDescent="0.25">
      <c r="L800831" s="472"/>
      <c r="M800831" s="472"/>
    </row>
    <row r="800903" spans="12:13" x14ac:dyDescent="0.25">
      <c r="L800903" s="472"/>
      <c r="M800903" s="472"/>
    </row>
    <row r="800904" spans="12:13" x14ac:dyDescent="0.25">
      <c r="L800904" s="472"/>
      <c r="M800904" s="472"/>
    </row>
    <row r="800905" spans="12:13" x14ac:dyDescent="0.25">
      <c r="L800905" s="472"/>
      <c r="M800905" s="472"/>
    </row>
    <row r="800977" spans="12:13" x14ac:dyDescent="0.25">
      <c r="L800977" s="472"/>
      <c r="M800977" s="472"/>
    </row>
    <row r="800978" spans="12:13" x14ac:dyDescent="0.25">
      <c r="L800978" s="472"/>
      <c r="M800978" s="472"/>
    </row>
    <row r="800979" spans="12:13" x14ac:dyDescent="0.25">
      <c r="L800979" s="472"/>
      <c r="M800979" s="472"/>
    </row>
    <row r="801051" spans="12:13" x14ac:dyDescent="0.25">
      <c r="L801051" s="472"/>
      <c r="M801051" s="472"/>
    </row>
    <row r="801052" spans="12:13" x14ac:dyDescent="0.25">
      <c r="L801052" s="472"/>
      <c r="M801052" s="472"/>
    </row>
    <row r="801053" spans="12:13" x14ac:dyDescent="0.25">
      <c r="L801053" s="472"/>
      <c r="M801053" s="472"/>
    </row>
    <row r="801125" spans="12:13" x14ac:dyDescent="0.25">
      <c r="L801125" s="472"/>
      <c r="M801125" s="472"/>
    </row>
    <row r="801126" spans="12:13" x14ac:dyDescent="0.25">
      <c r="L801126" s="472"/>
      <c r="M801126" s="472"/>
    </row>
    <row r="801127" spans="12:13" x14ac:dyDescent="0.25">
      <c r="L801127" s="472"/>
      <c r="M801127" s="472"/>
    </row>
    <row r="801199" spans="12:13" x14ac:dyDescent="0.25">
      <c r="L801199" s="472"/>
      <c r="M801199" s="472"/>
    </row>
    <row r="801200" spans="12:13" x14ac:dyDescent="0.25">
      <c r="L801200" s="472"/>
      <c r="M801200" s="472"/>
    </row>
    <row r="801201" spans="12:13" x14ac:dyDescent="0.25">
      <c r="L801201" s="472"/>
      <c r="M801201" s="472"/>
    </row>
    <row r="801273" spans="12:13" x14ac:dyDescent="0.25">
      <c r="L801273" s="472"/>
      <c r="M801273" s="472"/>
    </row>
    <row r="801274" spans="12:13" x14ac:dyDescent="0.25">
      <c r="L801274" s="472"/>
      <c r="M801274" s="472"/>
    </row>
    <row r="801275" spans="12:13" x14ac:dyDescent="0.25">
      <c r="L801275" s="472"/>
      <c r="M801275" s="472"/>
    </row>
    <row r="801347" spans="12:13" x14ac:dyDescent="0.25">
      <c r="L801347" s="472"/>
      <c r="M801347" s="472"/>
    </row>
    <row r="801348" spans="12:13" x14ac:dyDescent="0.25">
      <c r="L801348" s="472"/>
      <c r="M801348" s="472"/>
    </row>
    <row r="801349" spans="12:13" x14ac:dyDescent="0.25">
      <c r="L801349" s="472"/>
      <c r="M801349" s="472"/>
    </row>
    <row r="801421" spans="12:13" x14ac:dyDescent="0.25">
      <c r="L801421" s="472"/>
      <c r="M801421" s="472"/>
    </row>
    <row r="801422" spans="12:13" x14ac:dyDescent="0.25">
      <c r="L801422" s="472"/>
      <c r="M801422" s="472"/>
    </row>
    <row r="801423" spans="12:13" x14ac:dyDescent="0.25">
      <c r="L801423" s="472"/>
      <c r="M801423" s="472"/>
    </row>
    <row r="801495" spans="12:13" x14ac:dyDescent="0.25">
      <c r="L801495" s="472"/>
      <c r="M801495" s="472"/>
    </row>
    <row r="801496" spans="12:13" x14ac:dyDescent="0.25">
      <c r="L801496" s="472"/>
      <c r="M801496" s="472"/>
    </row>
    <row r="801497" spans="12:13" x14ac:dyDescent="0.25">
      <c r="L801497" s="472"/>
      <c r="M801497" s="472"/>
    </row>
    <row r="801569" spans="12:13" x14ac:dyDescent="0.25">
      <c r="L801569" s="472"/>
      <c r="M801569" s="472"/>
    </row>
    <row r="801570" spans="12:13" x14ac:dyDescent="0.25">
      <c r="L801570" s="472"/>
      <c r="M801570" s="472"/>
    </row>
    <row r="801571" spans="12:13" x14ac:dyDescent="0.25">
      <c r="L801571" s="472"/>
      <c r="M801571" s="472"/>
    </row>
    <row r="801643" spans="12:13" x14ac:dyDescent="0.25">
      <c r="L801643" s="472"/>
      <c r="M801643" s="472"/>
    </row>
    <row r="801644" spans="12:13" x14ac:dyDescent="0.25">
      <c r="L801644" s="472"/>
      <c r="M801644" s="472"/>
    </row>
    <row r="801645" spans="12:13" x14ac:dyDescent="0.25">
      <c r="L801645" s="472"/>
      <c r="M801645" s="472"/>
    </row>
    <row r="801717" spans="12:13" x14ac:dyDescent="0.25">
      <c r="L801717" s="472"/>
      <c r="M801717" s="472"/>
    </row>
    <row r="801718" spans="12:13" x14ac:dyDescent="0.25">
      <c r="L801718" s="472"/>
      <c r="M801718" s="472"/>
    </row>
    <row r="801719" spans="12:13" x14ac:dyDescent="0.25">
      <c r="L801719" s="472"/>
      <c r="M801719" s="472"/>
    </row>
    <row r="801791" spans="12:13" x14ac:dyDescent="0.25">
      <c r="L801791" s="472"/>
      <c r="M801791" s="472"/>
    </row>
    <row r="801792" spans="12:13" x14ac:dyDescent="0.25">
      <c r="L801792" s="472"/>
      <c r="M801792" s="472"/>
    </row>
    <row r="801793" spans="12:13" x14ac:dyDescent="0.25">
      <c r="L801793" s="472"/>
      <c r="M801793" s="472"/>
    </row>
    <row r="801865" spans="12:13" x14ac:dyDescent="0.25">
      <c r="L801865" s="472"/>
      <c r="M801865" s="472"/>
    </row>
    <row r="801866" spans="12:13" x14ac:dyDescent="0.25">
      <c r="L801866" s="472"/>
      <c r="M801866" s="472"/>
    </row>
    <row r="801867" spans="12:13" x14ac:dyDescent="0.25">
      <c r="L801867" s="472"/>
      <c r="M801867" s="472"/>
    </row>
    <row r="801939" spans="12:13" x14ac:dyDescent="0.25">
      <c r="L801939" s="472"/>
      <c r="M801939" s="472"/>
    </row>
    <row r="801940" spans="12:13" x14ac:dyDescent="0.25">
      <c r="L801940" s="472"/>
      <c r="M801940" s="472"/>
    </row>
    <row r="801941" spans="12:13" x14ac:dyDescent="0.25">
      <c r="L801941" s="472"/>
      <c r="M801941" s="472"/>
    </row>
    <row r="802013" spans="12:13" x14ac:dyDescent="0.25">
      <c r="L802013" s="472"/>
      <c r="M802013" s="472"/>
    </row>
    <row r="802014" spans="12:13" x14ac:dyDescent="0.25">
      <c r="L802014" s="472"/>
      <c r="M802014" s="472"/>
    </row>
    <row r="802015" spans="12:13" x14ac:dyDescent="0.25">
      <c r="L802015" s="472"/>
      <c r="M802015" s="472"/>
    </row>
    <row r="802087" spans="12:13" x14ac:dyDescent="0.25">
      <c r="L802087" s="472"/>
      <c r="M802087" s="472"/>
    </row>
    <row r="802088" spans="12:13" x14ac:dyDescent="0.25">
      <c r="L802088" s="472"/>
      <c r="M802088" s="472"/>
    </row>
    <row r="802089" spans="12:13" x14ac:dyDescent="0.25">
      <c r="L802089" s="472"/>
      <c r="M802089" s="472"/>
    </row>
    <row r="802161" spans="12:13" x14ac:dyDescent="0.25">
      <c r="L802161" s="472"/>
      <c r="M802161" s="472"/>
    </row>
    <row r="802162" spans="12:13" x14ac:dyDescent="0.25">
      <c r="L802162" s="472"/>
      <c r="M802162" s="472"/>
    </row>
    <row r="802163" spans="12:13" x14ac:dyDescent="0.25">
      <c r="L802163" s="472"/>
      <c r="M802163" s="472"/>
    </row>
    <row r="802235" spans="12:13" x14ac:dyDescent="0.25">
      <c r="L802235" s="472"/>
      <c r="M802235" s="472"/>
    </row>
    <row r="802236" spans="12:13" x14ac:dyDescent="0.25">
      <c r="L802236" s="472"/>
      <c r="M802236" s="472"/>
    </row>
    <row r="802237" spans="12:13" x14ac:dyDescent="0.25">
      <c r="L802237" s="472"/>
      <c r="M802237" s="472"/>
    </row>
    <row r="802309" spans="12:13" x14ac:dyDescent="0.25">
      <c r="L802309" s="472"/>
      <c r="M802309" s="472"/>
    </row>
    <row r="802310" spans="12:13" x14ac:dyDescent="0.25">
      <c r="L802310" s="472"/>
      <c r="M802310" s="472"/>
    </row>
    <row r="802311" spans="12:13" x14ac:dyDescent="0.25">
      <c r="L802311" s="472"/>
      <c r="M802311" s="472"/>
    </row>
    <row r="802383" spans="12:13" x14ac:dyDescent="0.25">
      <c r="L802383" s="472"/>
      <c r="M802383" s="472"/>
    </row>
    <row r="802384" spans="12:13" x14ac:dyDescent="0.25">
      <c r="L802384" s="472"/>
      <c r="M802384" s="472"/>
    </row>
    <row r="802385" spans="12:13" x14ac:dyDescent="0.25">
      <c r="L802385" s="472"/>
      <c r="M802385" s="472"/>
    </row>
    <row r="802457" spans="12:13" x14ac:dyDescent="0.25">
      <c r="L802457" s="472"/>
      <c r="M802457" s="472"/>
    </row>
    <row r="802458" spans="12:13" x14ac:dyDescent="0.25">
      <c r="L802458" s="472"/>
      <c r="M802458" s="472"/>
    </row>
    <row r="802459" spans="12:13" x14ac:dyDescent="0.25">
      <c r="L802459" s="472"/>
      <c r="M802459" s="472"/>
    </row>
    <row r="802531" spans="12:13" x14ac:dyDescent="0.25">
      <c r="L802531" s="472"/>
      <c r="M802531" s="472"/>
    </row>
    <row r="802532" spans="12:13" x14ac:dyDescent="0.25">
      <c r="L802532" s="472"/>
      <c r="M802532" s="472"/>
    </row>
    <row r="802533" spans="12:13" x14ac:dyDescent="0.25">
      <c r="L802533" s="472"/>
      <c r="M802533" s="472"/>
    </row>
    <row r="802605" spans="12:13" x14ac:dyDescent="0.25">
      <c r="L802605" s="472"/>
      <c r="M802605" s="472"/>
    </row>
    <row r="802606" spans="12:13" x14ac:dyDescent="0.25">
      <c r="L802606" s="472"/>
      <c r="M802606" s="472"/>
    </row>
    <row r="802607" spans="12:13" x14ac:dyDescent="0.25">
      <c r="L802607" s="472"/>
      <c r="M802607" s="472"/>
    </row>
    <row r="802679" spans="12:13" x14ac:dyDescent="0.25">
      <c r="L802679" s="472"/>
      <c r="M802679" s="472"/>
    </row>
    <row r="802680" spans="12:13" x14ac:dyDescent="0.25">
      <c r="L802680" s="472"/>
      <c r="M802680" s="472"/>
    </row>
    <row r="802681" spans="12:13" x14ac:dyDescent="0.25">
      <c r="L802681" s="472"/>
      <c r="M802681" s="472"/>
    </row>
    <row r="802753" spans="12:13" x14ac:dyDescent="0.25">
      <c r="L802753" s="472"/>
      <c r="M802753" s="472"/>
    </row>
    <row r="802754" spans="12:13" x14ac:dyDescent="0.25">
      <c r="L802754" s="472"/>
      <c r="M802754" s="472"/>
    </row>
    <row r="802755" spans="12:13" x14ac:dyDescent="0.25">
      <c r="L802755" s="472"/>
      <c r="M802755" s="472"/>
    </row>
    <row r="802827" spans="12:13" x14ac:dyDescent="0.25">
      <c r="L802827" s="472"/>
      <c r="M802827" s="472"/>
    </row>
    <row r="802828" spans="12:13" x14ac:dyDescent="0.25">
      <c r="L802828" s="472"/>
      <c r="M802828" s="472"/>
    </row>
    <row r="802829" spans="12:13" x14ac:dyDescent="0.25">
      <c r="L802829" s="472"/>
      <c r="M802829" s="472"/>
    </row>
    <row r="802901" spans="12:13" x14ac:dyDescent="0.25">
      <c r="L802901" s="472"/>
      <c r="M802901" s="472"/>
    </row>
    <row r="802902" spans="12:13" x14ac:dyDescent="0.25">
      <c r="L802902" s="472"/>
      <c r="M802902" s="472"/>
    </row>
    <row r="802903" spans="12:13" x14ac:dyDescent="0.25">
      <c r="L802903" s="472"/>
      <c r="M802903" s="472"/>
    </row>
    <row r="802975" spans="12:13" x14ac:dyDescent="0.25">
      <c r="L802975" s="472"/>
      <c r="M802975" s="472"/>
    </row>
    <row r="802976" spans="12:13" x14ac:dyDescent="0.25">
      <c r="L802976" s="472"/>
      <c r="M802976" s="472"/>
    </row>
    <row r="802977" spans="12:13" x14ac:dyDescent="0.25">
      <c r="L802977" s="472"/>
      <c r="M802977" s="472"/>
    </row>
    <row r="803049" spans="12:13" x14ac:dyDescent="0.25">
      <c r="L803049" s="472"/>
      <c r="M803049" s="472"/>
    </row>
    <row r="803050" spans="12:13" x14ac:dyDescent="0.25">
      <c r="L803050" s="472"/>
      <c r="M803050" s="472"/>
    </row>
    <row r="803051" spans="12:13" x14ac:dyDescent="0.25">
      <c r="L803051" s="472"/>
      <c r="M803051" s="472"/>
    </row>
    <row r="803123" spans="12:13" x14ac:dyDescent="0.25">
      <c r="L803123" s="472"/>
      <c r="M803123" s="472"/>
    </row>
    <row r="803124" spans="12:13" x14ac:dyDescent="0.25">
      <c r="L803124" s="472"/>
      <c r="M803124" s="472"/>
    </row>
    <row r="803125" spans="12:13" x14ac:dyDescent="0.25">
      <c r="L803125" s="472"/>
      <c r="M803125" s="472"/>
    </row>
    <row r="803197" spans="12:13" x14ac:dyDescent="0.25">
      <c r="L803197" s="472"/>
      <c r="M803197" s="472"/>
    </row>
    <row r="803198" spans="12:13" x14ac:dyDescent="0.25">
      <c r="L803198" s="472"/>
      <c r="M803198" s="472"/>
    </row>
    <row r="803199" spans="12:13" x14ac:dyDescent="0.25">
      <c r="L803199" s="472"/>
      <c r="M803199" s="472"/>
    </row>
    <row r="803271" spans="12:13" x14ac:dyDescent="0.25">
      <c r="L803271" s="472"/>
      <c r="M803271" s="472"/>
    </row>
    <row r="803272" spans="12:13" x14ac:dyDescent="0.25">
      <c r="L803272" s="472"/>
      <c r="M803272" s="472"/>
    </row>
    <row r="803273" spans="12:13" x14ac:dyDescent="0.25">
      <c r="L803273" s="472"/>
      <c r="M803273" s="472"/>
    </row>
    <row r="803345" spans="12:13" x14ac:dyDescent="0.25">
      <c r="L803345" s="472"/>
      <c r="M803345" s="472"/>
    </row>
    <row r="803346" spans="12:13" x14ac:dyDescent="0.25">
      <c r="L803346" s="472"/>
      <c r="M803346" s="472"/>
    </row>
    <row r="803347" spans="12:13" x14ac:dyDescent="0.25">
      <c r="L803347" s="472"/>
      <c r="M803347" s="472"/>
    </row>
    <row r="803419" spans="12:13" x14ac:dyDescent="0.25">
      <c r="L803419" s="472"/>
      <c r="M803419" s="472"/>
    </row>
    <row r="803420" spans="12:13" x14ac:dyDescent="0.25">
      <c r="L803420" s="472"/>
      <c r="M803420" s="472"/>
    </row>
    <row r="803421" spans="12:13" x14ac:dyDescent="0.25">
      <c r="L803421" s="472"/>
      <c r="M803421" s="472"/>
    </row>
    <row r="803493" spans="12:13" x14ac:dyDescent="0.25">
      <c r="L803493" s="472"/>
      <c r="M803493" s="472"/>
    </row>
    <row r="803494" spans="12:13" x14ac:dyDescent="0.25">
      <c r="L803494" s="472"/>
      <c r="M803494" s="472"/>
    </row>
    <row r="803495" spans="12:13" x14ac:dyDescent="0.25">
      <c r="L803495" s="472"/>
      <c r="M803495" s="472"/>
    </row>
    <row r="803567" spans="12:13" x14ac:dyDescent="0.25">
      <c r="L803567" s="472"/>
      <c r="M803567" s="472"/>
    </row>
    <row r="803568" spans="12:13" x14ac:dyDescent="0.25">
      <c r="L803568" s="472"/>
      <c r="M803568" s="472"/>
    </row>
    <row r="803569" spans="12:13" x14ac:dyDescent="0.25">
      <c r="L803569" s="472"/>
      <c r="M803569" s="472"/>
    </row>
    <row r="803641" spans="12:13" x14ac:dyDescent="0.25">
      <c r="L803641" s="472"/>
      <c r="M803641" s="472"/>
    </row>
    <row r="803642" spans="12:13" x14ac:dyDescent="0.25">
      <c r="L803642" s="472"/>
      <c r="M803642" s="472"/>
    </row>
    <row r="803643" spans="12:13" x14ac:dyDescent="0.25">
      <c r="L803643" s="472"/>
      <c r="M803643" s="472"/>
    </row>
    <row r="803715" spans="12:13" x14ac:dyDescent="0.25">
      <c r="L803715" s="472"/>
      <c r="M803715" s="472"/>
    </row>
    <row r="803716" spans="12:13" x14ac:dyDescent="0.25">
      <c r="L803716" s="472"/>
      <c r="M803716" s="472"/>
    </row>
    <row r="803717" spans="12:13" x14ac:dyDescent="0.25">
      <c r="L803717" s="472"/>
      <c r="M803717" s="472"/>
    </row>
    <row r="803789" spans="12:13" x14ac:dyDescent="0.25">
      <c r="L803789" s="472"/>
      <c r="M803789" s="472"/>
    </row>
    <row r="803790" spans="12:13" x14ac:dyDescent="0.25">
      <c r="L803790" s="472"/>
      <c r="M803790" s="472"/>
    </row>
    <row r="803791" spans="12:13" x14ac:dyDescent="0.25">
      <c r="L803791" s="472"/>
      <c r="M803791" s="472"/>
    </row>
    <row r="803863" spans="12:13" x14ac:dyDescent="0.25">
      <c r="L803863" s="472"/>
      <c r="M803863" s="472"/>
    </row>
    <row r="803864" spans="12:13" x14ac:dyDescent="0.25">
      <c r="L803864" s="472"/>
      <c r="M803864" s="472"/>
    </row>
    <row r="803865" spans="12:13" x14ac:dyDescent="0.25">
      <c r="L803865" s="472"/>
      <c r="M803865" s="472"/>
    </row>
    <row r="803937" spans="12:13" x14ac:dyDescent="0.25">
      <c r="L803937" s="472"/>
      <c r="M803937" s="472"/>
    </row>
    <row r="803938" spans="12:13" x14ac:dyDescent="0.25">
      <c r="L803938" s="472"/>
      <c r="M803938" s="472"/>
    </row>
    <row r="803939" spans="12:13" x14ac:dyDescent="0.25">
      <c r="L803939" s="472"/>
      <c r="M803939" s="472"/>
    </row>
    <row r="804011" spans="12:13" x14ac:dyDescent="0.25">
      <c r="L804011" s="472"/>
      <c r="M804011" s="472"/>
    </row>
    <row r="804012" spans="12:13" x14ac:dyDescent="0.25">
      <c r="L804012" s="472"/>
      <c r="M804012" s="472"/>
    </row>
    <row r="804013" spans="12:13" x14ac:dyDescent="0.25">
      <c r="L804013" s="472"/>
      <c r="M804013" s="472"/>
    </row>
    <row r="804085" spans="12:13" x14ac:dyDescent="0.25">
      <c r="L804085" s="472"/>
      <c r="M804085" s="472"/>
    </row>
    <row r="804086" spans="12:13" x14ac:dyDescent="0.25">
      <c r="L804086" s="472"/>
      <c r="M804086" s="472"/>
    </row>
    <row r="804087" spans="12:13" x14ac:dyDescent="0.25">
      <c r="L804087" s="472"/>
      <c r="M804087" s="472"/>
    </row>
    <row r="804159" spans="12:13" x14ac:dyDescent="0.25">
      <c r="L804159" s="472"/>
      <c r="M804159" s="472"/>
    </row>
    <row r="804160" spans="12:13" x14ac:dyDescent="0.25">
      <c r="L804160" s="472"/>
      <c r="M804160" s="472"/>
    </row>
    <row r="804161" spans="12:13" x14ac:dyDescent="0.25">
      <c r="L804161" s="472"/>
      <c r="M804161" s="472"/>
    </row>
    <row r="804233" spans="12:13" x14ac:dyDescent="0.25">
      <c r="L804233" s="472"/>
      <c r="M804233" s="472"/>
    </row>
    <row r="804234" spans="12:13" x14ac:dyDescent="0.25">
      <c r="L804234" s="472"/>
      <c r="M804234" s="472"/>
    </row>
    <row r="804235" spans="12:13" x14ac:dyDescent="0.25">
      <c r="L804235" s="472"/>
      <c r="M804235" s="472"/>
    </row>
    <row r="804307" spans="12:13" x14ac:dyDescent="0.25">
      <c r="L804307" s="472"/>
      <c r="M804307" s="472"/>
    </row>
    <row r="804308" spans="12:13" x14ac:dyDescent="0.25">
      <c r="L804308" s="472"/>
      <c r="M804308" s="472"/>
    </row>
    <row r="804309" spans="12:13" x14ac:dyDescent="0.25">
      <c r="L804309" s="472"/>
      <c r="M804309" s="472"/>
    </row>
    <row r="804381" spans="12:13" x14ac:dyDescent="0.25">
      <c r="L804381" s="472"/>
      <c r="M804381" s="472"/>
    </row>
    <row r="804382" spans="12:13" x14ac:dyDescent="0.25">
      <c r="L804382" s="472"/>
      <c r="M804382" s="472"/>
    </row>
    <row r="804383" spans="12:13" x14ac:dyDescent="0.25">
      <c r="L804383" s="472"/>
      <c r="M804383" s="472"/>
    </row>
    <row r="804455" spans="12:13" x14ac:dyDescent="0.25">
      <c r="L804455" s="472"/>
      <c r="M804455" s="472"/>
    </row>
    <row r="804456" spans="12:13" x14ac:dyDescent="0.25">
      <c r="L804456" s="472"/>
      <c r="M804456" s="472"/>
    </row>
    <row r="804457" spans="12:13" x14ac:dyDescent="0.25">
      <c r="L804457" s="472"/>
      <c r="M804457" s="472"/>
    </row>
    <row r="804529" spans="12:13" x14ac:dyDescent="0.25">
      <c r="L804529" s="472"/>
      <c r="M804529" s="472"/>
    </row>
    <row r="804530" spans="12:13" x14ac:dyDescent="0.25">
      <c r="L804530" s="472"/>
      <c r="M804530" s="472"/>
    </row>
    <row r="804531" spans="12:13" x14ac:dyDescent="0.25">
      <c r="L804531" s="472"/>
      <c r="M804531" s="472"/>
    </row>
    <row r="804603" spans="12:13" x14ac:dyDescent="0.25">
      <c r="L804603" s="472"/>
      <c r="M804603" s="472"/>
    </row>
    <row r="804604" spans="12:13" x14ac:dyDescent="0.25">
      <c r="L804604" s="472"/>
      <c r="M804604" s="472"/>
    </row>
    <row r="804605" spans="12:13" x14ac:dyDescent="0.25">
      <c r="L804605" s="472"/>
      <c r="M804605" s="472"/>
    </row>
    <row r="804677" spans="12:13" x14ac:dyDescent="0.25">
      <c r="L804677" s="472"/>
      <c r="M804677" s="472"/>
    </row>
    <row r="804678" spans="12:13" x14ac:dyDescent="0.25">
      <c r="L804678" s="472"/>
      <c r="M804678" s="472"/>
    </row>
    <row r="804679" spans="12:13" x14ac:dyDescent="0.25">
      <c r="L804679" s="472"/>
      <c r="M804679" s="472"/>
    </row>
    <row r="804751" spans="12:13" x14ac:dyDescent="0.25">
      <c r="L804751" s="472"/>
      <c r="M804751" s="472"/>
    </row>
    <row r="804752" spans="12:13" x14ac:dyDescent="0.25">
      <c r="L804752" s="472"/>
      <c r="M804752" s="472"/>
    </row>
    <row r="804753" spans="12:13" x14ac:dyDescent="0.25">
      <c r="L804753" s="472"/>
      <c r="M804753" s="472"/>
    </row>
    <row r="804825" spans="12:13" x14ac:dyDescent="0.25">
      <c r="L804825" s="472"/>
      <c r="M804825" s="472"/>
    </row>
    <row r="804826" spans="12:13" x14ac:dyDescent="0.25">
      <c r="L804826" s="472"/>
      <c r="M804826" s="472"/>
    </row>
    <row r="804827" spans="12:13" x14ac:dyDescent="0.25">
      <c r="L804827" s="472"/>
      <c r="M804827" s="472"/>
    </row>
    <row r="804899" spans="12:13" x14ac:dyDescent="0.25">
      <c r="L804899" s="472"/>
      <c r="M804899" s="472"/>
    </row>
    <row r="804900" spans="12:13" x14ac:dyDescent="0.25">
      <c r="L804900" s="472"/>
      <c r="M804900" s="472"/>
    </row>
    <row r="804901" spans="12:13" x14ac:dyDescent="0.25">
      <c r="L804901" s="472"/>
      <c r="M804901" s="472"/>
    </row>
    <row r="804973" spans="12:13" x14ac:dyDescent="0.25">
      <c r="L804973" s="472"/>
      <c r="M804973" s="472"/>
    </row>
    <row r="804974" spans="12:13" x14ac:dyDescent="0.25">
      <c r="L804974" s="472"/>
      <c r="M804974" s="472"/>
    </row>
    <row r="804975" spans="12:13" x14ac:dyDescent="0.25">
      <c r="L804975" s="472"/>
      <c r="M804975" s="472"/>
    </row>
    <row r="805047" spans="12:13" x14ac:dyDescent="0.25">
      <c r="L805047" s="472"/>
      <c r="M805047" s="472"/>
    </row>
    <row r="805048" spans="12:13" x14ac:dyDescent="0.25">
      <c r="L805048" s="472"/>
      <c r="M805048" s="472"/>
    </row>
    <row r="805049" spans="12:13" x14ac:dyDescent="0.25">
      <c r="L805049" s="472"/>
      <c r="M805049" s="472"/>
    </row>
    <row r="805121" spans="12:13" x14ac:dyDescent="0.25">
      <c r="L805121" s="472"/>
      <c r="M805121" s="472"/>
    </row>
    <row r="805122" spans="12:13" x14ac:dyDescent="0.25">
      <c r="L805122" s="472"/>
      <c r="M805122" s="472"/>
    </row>
    <row r="805123" spans="12:13" x14ac:dyDescent="0.25">
      <c r="L805123" s="472"/>
      <c r="M805123" s="472"/>
    </row>
    <row r="805195" spans="12:13" x14ac:dyDescent="0.25">
      <c r="L805195" s="472"/>
      <c r="M805195" s="472"/>
    </row>
    <row r="805196" spans="12:13" x14ac:dyDescent="0.25">
      <c r="L805196" s="472"/>
      <c r="M805196" s="472"/>
    </row>
    <row r="805197" spans="12:13" x14ac:dyDescent="0.25">
      <c r="L805197" s="472"/>
      <c r="M805197" s="472"/>
    </row>
    <row r="805269" spans="12:13" x14ac:dyDescent="0.25">
      <c r="L805269" s="472"/>
      <c r="M805269" s="472"/>
    </row>
    <row r="805270" spans="12:13" x14ac:dyDescent="0.25">
      <c r="L805270" s="472"/>
      <c r="M805270" s="472"/>
    </row>
    <row r="805271" spans="12:13" x14ac:dyDescent="0.25">
      <c r="L805271" s="472"/>
      <c r="M805271" s="472"/>
    </row>
    <row r="805343" spans="12:13" x14ac:dyDescent="0.25">
      <c r="L805343" s="472"/>
      <c r="M805343" s="472"/>
    </row>
    <row r="805344" spans="12:13" x14ac:dyDescent="0.25">
      <c r="L805344" s="472"/>
      <c r="M805344" s="472"/>
    </row>
    <row r="805345" spans="12:13" x14ac:dyDescent="0.25">
      <c r="L805345" s="472"/>
      <c r="M805345" s="472"/>
    </row>
    <row r="805417" spans="12:13" x14ac:dyDescent="0.25">
      <c r="L805417" s="472"/>
      <c r="M805417" s="472"/>
    </row>
    <row r="805418" spans="12:13" x14ac:dyDescent="0.25">
      <c r="L805418" s="472"/>
      <c r="M805418" s="472"/>
    </row>
    <row r="805419" spans="12:13" x14ac:dyDescent="0.25">
      <c r="L805419" s="472"/>
      <c r="M805419" s="472"/>
    </row>
    <row r="805491" spans="12:13" x14ac:dyDescent="0.25">
      <c r="L805491" s="472"/>
      <c r="M805491" s="472"/>
    </row>
    <row r="805492" spans="12:13" x14ac:dyDescent="0.25">
      <c r="L805492" s="472"/>
      <c r="M805492" s="472"/>
    </row>
    <row r="805493" spans="12:13" x14ac:dyDescent="0.25">
      <c r="L805493" s="472"/>
      <c r="M805493" s="472"/>
    </row>
    <row r="805565" spans="12:13" x14ac:dyDescent="0.25">
      <c r="L805565" s="472"/>
      <c r="M805565" s="472"/>
    </row>
    <row r="805566" spans="12:13" x14ac:dyDescent="0.25">
      <c r="L805566" s="472"/>
      <c r="M805566" s="472"/>
    </row>
    <row r="805567" spans="12:13" x14ac:dyDescent="0.25">
      <c r="L805567" s="472"/>
      <c r="M805567" s="472"/>
    </row>
    <row r="805639" spans="12:13" x14ac:dyDescent="0.25">
      <c r="L805639" s="472"/>
      <c r="M805639" s="472"/>
    </row>
    <row r="805640" spans="12:13" x14ac:dyDescent="0.25">
      <c r="L805640" s="472"/>
      <c r="M805640" s="472"/>
    </row>
    <row r="805641" spans="12:13" x14ac:dyDescent="0.25">
      <c r="L805641" s="472"/>
      <c r="M805641" s="472"/>
    </row>
    <row r="805713" spans="12:13" x14ac:dyDescent="0.25">
      <c r="L805713" s="472"/>
      <c r="M805713" s="472"/>
    </row>
    <row r="805714" spans="12:13" x14ac:dyDescent="0.25">
      <c r="L805714" s="472"/>
      <c r="M805714" s="472"/>
    </row>
    <row r="805715" spans="12:13" x14ac:dyDescent="0.25">
      <c r="L805715" s="472"/>
      <c r="M805715" s="472"/>
    </row>
    <row r="805787" spans="12:13" x14ac:dyDescent="0.25">
      <c r="L805787" s="472"/>
      <c r="M805787" s="472"/>
    </row>
    <row r="805788" spans="12:13" x14ac:dyDescent="0.25">
      <c r="L805788" s="472"/>
      <c r="M805788" s="472"/>
    </row>
    <row r="805789" spans="12:13" x14ac:dyDescent="0.25">
      <c r="L805789" s="472"/>
      <c r="M805789" s="472"/>
    </row>
    <row r="805861" spans="12:13" x14ac:dyDescent="0.25">
      <c r="L805861" s="472"/>
      <c r="M805861" s="472"/>
    </row>
    <row r="805862" spans="12:13" x14ac:dyDescent="0.25">
      <c r="L805862" s="472"/>
      <c r="M805862" s="472"/>
    </row>
    <row r="805863" spans="12:13" x14ac:dyDescent="0.25">
      <c r="L805863" s="472"/>
      <c r="M805863" s="472"/>
    </row>
    <row r="805935" spans="12:13" x14ac:dyDescent="0.25">
      <c r="L805935" s="472"/>
      <c r="M805935" s="472"/>
    </row>
    <row r="805936" spans="12:13" x14ac:dyDescent="0.25">
      <c r="L805936" s="472"/>
      <c r="M805936" s="472"/>
    </row>
    <row r="805937" spans="12:13" x14ac:dyDescent="0.25">
      <c r="L805937" s="472"/>
      <c r="M805937" s="472"/>
    </row>
    <row r="806009" spans="12:13" x14ac:dyDescent="0.25">
      <c r="L806009" s="472"/>
      <c r="M806009" s="472"/>
    </row>
    <row r="806010" spans="12:13" x14ac:dyDescent="0.25">
      <c r="L806010" s="472"/>
      <c r="M806010" s="472"/>
    </row>
    <row r="806011" spans="12:13" x14ac:dyDescent="0.25">
      <c r="L806011" s="472"/>
      <c r="M806011" s="472"/>
    </row>
    <row r="806083" spans="12:13" x14ac:dyDescent="0.25">
      <c r="L806083" s="472"/>
      <c r="M806083" s="472"/>
    </row>
    <row r="806084" spans="12:13" x14ac:dyDescent="0.25">
      <c r="L806084" s="472"/>
      <c r="M806084" s="472"/>
    </row>
    <row r="806085" spans="12:13" x14ac:dyDescent="0.25">
      <c r="L806085" s="472"/>
      <c r="M806085" s="472"/>
    </row>
    <row r="806157" spans="12:13" x14ac:dyDescent="0.25">
      <c r="L806157" s="472"/>
      <c r="M806157" s="472"/>
    </row>
    <row r="806158" spans="12:13" x14ac:dyDescent="0.25">
      <c r="L806158" s="472"/>
      <c r="M806158" s="472"/>
    </row>
    <row r="806159" spans="12:13" x14ac:dyDescent="0.25">
      <c r="L806159" s="472"/>
      <c r="M806159" s="472"/>
    </row>
    <row r="806231" spans="12:13" x14ac:dyDescent="0.25">
      <c r="L806231" s="472"/>
      <c r="M806231" s="472"/>
    </row>
    <row r="806232" spans="12:13" x14ac:dyDescent="0.25">
      <c r="L806232" s="472"/>
      <c r="M806232" s="472"/>
    </row>
    <row r="806233" spans="12:13" x14ac:dyDescent="0.25">
      <c r="L806233" s="472"/>
      <c r="M806233" s="472"/>
    </row>
    <row r="806305" spans="12:13" x14ac:dyDescent="0.25">
      <c r="L806305" s="472"/>
      <c r="M806305" s="472"/>
    </row>
    <row r="806306" spans="12:13" x14ac:dyDescent="0.25">
      <c r="L806306" s="472"/>
      <c r="M806306" s="472"/>
    </row>
    <row r="806307" spans="12:13" x14ac:dyDescent="0.25">
      <c r="L806307" s="472"/>
      <c r="M806307" s="472"/>
    </row>
    <row r="806379" spans="12:13" x14ac:dyDescent="0.25">
      <c r="L806379" s="472"/>
      <c r="M806379" s="472"/>
    </row>
    <row r="806380" spans="12:13" x14ac:dyDescent="0.25">
      <c r="L806380" s="472"/>
      <c r="M806380" s="472"/>
    </row>
    <row r="806381" spans="12:13" x14ac:dyDescent="0.25">
      <c r="L806381" s="472"/>
      <c r="M806381" s="472"/>
    </row>
    <row r="806453" spans="12:13" x14ac:dyDescent="0.25">
      <c r="L806453" s="472"/>
      <c r="M806453" s="472"/>
    </row>
    <row r="806454" spans="12:13" x14ac:dyDescent="0.25">
      <c r="L806454" s="472"/>
      <c r="M806454" s="472"/>
    </row>
    <row r="806455" spans="12:13" x14ac:dyDescent="0.25">
      <c r="L806455" s="472"/>
      <c r="M806455" s="472"/>
    </row>
    <row r="806527" spans="12:13" x14ac:dyDescent="0.25">
      <c r="L806527" s="472"/>
      <c r="M806527" s="472"/>
    </row>
    <row r="806528" spans="12:13" x14ac:dyDescent="0.25">
      <c r="L806528" s="472"/>
      <c r="M806528" s="472"/>
    </row>
    <row r="806529" spans="12:13" x14ac:dyDescent="0.25">
      <c r="L806529" s="472"/>
      <c r="M806529" s="472"/>
    </row>
    <row r="806601" spans="12:13" x14ac:dyDescent="0.25">
      <c r="L806601" s="472"/>
      <c r="M806601" s="472"/>
    </row>
    <row r="806602" spans="12:13" x14ac:dyDescent="0.25">
      <c r="L806602" s="472"/>
      <c r="M806602" s="472"/>
    </row>
    <row r="806603" spans="12:13" x14ac:dyDescent="0.25">
      <c r="L806603" s="472"/>
      <c r="M806603" s="472"/>
    </row>
    <row r="806675" spans="12:13" x14ac:dyDescent="0.25">
      <c r="L806675" s="472"/>
      <c r="M806675" s="472"/>
    </row>
    <row r="806676" spans="12:13" x14ac:dyDescent="0.25">
      <c r="L806676" s="472"/>
      <c r="M806676" s="472"/>
    </row>
    <row r="806677" spans="12:13" x14ac:dyDescent="0.25">
      <c r="L806677" s="472"/>
      <c r="M806677" s="472"/>
    </row>
    <row r="806749" spans="12:13" x14ac:dyDescent="0.25">
      <c r="L806749" s="472"/>
      <c r="M806749" s="472"/>
    </row>
    <row r="806750" spans="12:13" x14ac:dyDescent="0.25">
      <c r="L806750" s="472"/>
      <c r="M806750" s="472"/>
    </row>
    <row r="806751" spans="12:13" x14ac:dyDescent="0.25">
      <c r="L806751" s="472"/>
      <c r="M806751" s="472"/>
    </row>
    <row r="806823" spans="12:13" x14ac:dyDescent="0.25">
      <c r="L806823" s="472"/>
      <c r="M806823" s="472"/>
    </row>
    <row r="806824" spans="12:13" x14ac:dyDescent="0.25">
      <c r="L806824" s="472"/>
      <c r="M806824" s="472"/>
    </row>
    <row r="806825" spans="12:13" x14ac:dyDescent="0.25">
      <c r="L806825" s="472"/>
      <c r="M806825" s="472"/>
    </row>
    <row r="806897" spans="12:13" x14ac:dyDescent="0.25">
      <c r="L806897" s="472"/>
      <c r="M806897" s="472"/>
    </row>
    <row r="806898" spans="12:13" x14ac:dyDescent="0.25">
      <c r="L806898" s="472"/>
      <c r="M806898" s="472"/>
    </row>
    <row r="806899" spans="12:13" x14ac:dyDescent="0.25">
      <c r="L806899" s="472"/>
      <c r="M806899" s="472"/>
    </row>
    <row r="806971" spans="12:13" x14ac:dyDescent="0.25">
      <c r="L806971" s="472"/>
      <c r="M806971" s="472"/>
    </row>
    <row r="806972" spans="12:13" x14ac:dyDescent="0.25">
      <c r="L806972" s="472"/>
      <c r="M806972" s="472"/>
    </row>
    <row r="806973" spans="12:13" x14ac:dyDescent="0.25">
      <c r="L806973" s="472"/>
      <c r="M806973" s="472"/>
    </row>
    <row r="807045" spans="12:13" x14ac:dyDescent="0.25">
      <c r="L807045" s="472"/>
      <c r="M807045" s="472"/>
    </row>
    <row r="807046" spans="12:13" x14ac:dyDescent="0.25">
      <c r="L807046" s="472"/>
      <c r="M807046" s="472"/>
    </row>
    <row r="807047" spans="12:13" x14ac:dyDescent="0.25">
      <c r="L807047" s="472"/>
      <c r="M807047" s="472"/>
    </row>
    <row r="807119" spans="12:13" x14ac:dyDescent="0.25">
      <c r="L807119" s="472"/>
      <c r="M807119" s="472"/>
    </row>
    <row r="807120" spans="12:13" x14ac:dyDescent="0.25">
      <c r="L807120" s="472"/>
      <c r="M807120" s="472"/>
    </row>
    <row r="807121" spans="12:13" x14ac:dyDescent="0.25">
      <c r="L807121" s="472"/>
      <c r="M807121" s="472"/>
    </row>
    <row r="807193" spans="12:13" x14ac:dyDescent="0.25">
      <c r="L807193" s="472"/>
      <c r="M807193" s="472"/>
    </row>
    <row r="807194" spans="12:13" x14ac:dyDescent="0.25">
      <c r="L807194" s="472"/>
      <c r="M807194" s="472"/>
    </row>
    <row r="807195" spans="12:13" x14ac:dyDescent="0.25">
      <c r="L807195" s="472"/>
      <c r="M807195" s="472"/>
    </row>
    <row r="807267" spans="12:13" x14ac:dyDescent="0.25">
      <c r="L807267" s="472"/>
      <c r="M807267" s="472"/>
    </row>
    <row r="807268" spans="12:13" x14ac:dyDescent="0.25">
      <c r="L807268" s="472"/>
      <c r="M807268" s="472"/>
    </row>
    <row r="807269" spans="12:13" x14ac:dyDescent="0.25">
      <c r="L807269" s="472"/>
      <c r="M807269" s="472"/>
    </row>
    <row r="807341" spans="12:13" x14ac:dyDescent="0.25">
      <c r="L807341" s="472"/>
      <c r="M807341" s="472"/>
    </row>
    <row r="807342" spans="12:13" x14ac:dyDescent="0.25">
      <c r="L807342" s="472"/>
      <c r="M807342" s="472"/>
    </row>
    <row r="807343" spans="12:13" x14ac:dyDescent="0.25">
      <c r="L807343" s="472"/>
      <c r="M807343" s="472"/>
    </row>
    <row r="807415" spans="12:13" x14ac:dyDescent="0.25">
      <c r="L807415" s="472"/>
      <c r="M807415" s="472"/>
    </row>
    <row r="807416" spans="12:13" x14ac:dyDescent="0.25">
      <c r="L807416" s="472"/>
      <c r="M807416" s="472"/>
    </row>
    <row r="807417" spans="12:13" x14ac:dyDescent="0.25">
      <c r="L807417" s="472"/>
      <c r="M807417" s="472"/>
    </row>
    <row r="807489" spans="12:13" x14ac:dyDescent="0.25">
      <c r="L807489" s="472"/>
      <c r="M807489" s="472"/>
    </row>
    <row r="807490" spans="12:13" x14ac:dyDescent="0.25">
      <c r="L807490" s="472"/>
      <c r="M807490" s="472"/>
    </row>
    <row r="807491" spans="12:13" x14ac:dyDescent="0.25">
      <c r="L807491" s="472"/>
      <c r="M807491" s="472"/>
    </row>
    <row r="807563" spans="12:13" x14ac:dyDescent="0.25">
      <c r="L807563" s="472"/>
      <c r="M807563" s="472"/>
    </row>
    <row r="807564" spans="12:13" x14ac:dyDescent="0.25">
      <c r="L807564" s="472"/>
      <c r="M807564" s="472"/>
    </row>
    <row r="807565" spans="12:13" x14ac:dyDescent="0.25">
      <c r="L807565" s="472"/>
      <c r="M807565" s="472"/>
    </row>
    <row r="807637" spans="12:13" x14ac:dyDescent="0.25">
      <c r="L807637" s="472"/>
      <c r="M807637" s="472"/>
    </row>
    <row r="807638" spans="12:13" x14ac:dyDescent="0.25">
      <c r="L807638" s="472"/>
      <c r="M807638" s="472"/>
    </row>
    <row r="807639" spans="12:13" x14ac:dyDescent="0.25">
      <c r="L807639" s="472"/>
      <c r="M807639" s="472"/>
    </row>
    <row r="807711" spans="12:13" x14ac:dyDescent="0.25">
      <c r="L807711" s="472"/>
      <c r="M807711" s="472"/>
    </row>
    <row r="807712" spans="12:13" x14ac:dyDescent="0.25">
      <c r="L807712" s="472"/>
      <c r="M807712" s="472"/>
    </row>
    <row r="807713" spans="12:13" x14ac:dyDescent="0.25">
      <c r="L807713" s="472"/>
      <c r="M807713" s="472"/>
    </row>
    <row r="807785" spans="12:13" x14ac:dyDescent="0.25">
      <c r="L807785" s="472"/>
      <c r="M807785" s="472"/>
    </row>
    <row r="807786" spans="12:13" x14ac:dyDescent="0.25">
      <c r="L807786" s="472"/>
      <c r="M807786" s="472"/>
    </row>
    <row r="807787" spans="12:13" x14ac:dyDescent="0.25">
      <c r="L807787" s="472"/>
      <c r="M807787" s="472"/>
    </row>
    <row r="807859" spans="12:13" x14ac:dyDescent="0.25">
      <c r="L807859" s="472"/>
      <c r="M807859" s="472"/>
    </row>
    <row r="807860" spans="12:13" x14ac:dyDescent="0.25">
      <c r="L807860" s="472"/>
      <c r="M807860" s="472"/>
    </row>
    <row r="807861" spans="12:13" x14ac:dyDescent="0.25">
      <c r="L807861" s="472"/>
      <c r="M807861" s="472"/>
    </row>
    <row r="807933" spans="12:13" x14ac:dyDescent="0.25">
      <c r="L807933" s="472"/>
      <c r="M807933" s="472"/>
    </row>
    <row r="807934" spans="12:13" x14ac:dyDescent="0.25">
      <c r="L807934" s="472"/>
      <c r="M807934" s="472"/>
    </row>
    <row r="807935" spans="12:13" x14ac:dyDescent="0.25">
      <c r="L807935" s="472"/>
      <c r="M807935" s="472"/>
    </row>
    <row r="808007" spans="12:13" x14ac:dyDescent="0.25">
      <c r="L808007" s="472"/>
      <c r="M808007" s="472"/>
    </row>
    <row r="808008" spans="12:13" x14ac:dyDescent="0.25">
      <c r="L808008" s="472"/>
      <c r="M808008" s="472"/>
    </row>
    <row r="808009" spans="12:13" x14ac:dyDescent="0.25">
      <c r="L808009" s="472"/>
      <c r="M808009" s="472"/>
    </row>
    <row r="808081" spans="12:13" x14ac:dyDescent="0.25">
      <c r="L808081" s="472"/>
      <c r="M808081" s="472"/>
    </row>
    <row r="808082" spans="12:13" x14ac:dyDescent="0.25">
      <c r="L808082" s="472"/>
      <c r="M808082" s="472"/>
    </row>
    <row r="808083" spans="12:13" x14ac:dyDescent="0.25">
      <c r="L808083" s="472"/>
      <c r="M808083" s="472"/>
    </row>
    <row r="808155" spans="12:13" x14ac:dyDescent="0.25">
      <c r="L808155" s="472"/>
      <c r="M808155" s="472"/>
    </row>
    <row r="808156" spans="12:13" x14ac:dyDescent="0.25">
      <c r="L808156" s="472"/>
      <c r="M808156" s="472"/>
    </row>
    <row r="808157" spans="12:13" x14ac:dyDescent="0.25">
      <c r="L808157" s="472"/>
      <c r="M808157" s="472"/>
    </row>
    <row r="808229" spans="12:13" x14ac:dyDescent="0.25">
      <c r="L808229" s="472"/>
      <c r="M808229" s="472"/>
    </row>
    <row r="808230" spans="12:13" x14ac:dyDescent="0.25">
      <c r="L808230" s="472"/>
      <c r="M808230" s="472"/>
    </row>
    <row r="808231" spans="12:13" x14ac:dyDescent="0.25">
      <c r="L808231" s="472"/>
      <c r="M808231" s="472"/>
    </row>
    <row r="808303" spans="12:13" x14ac:dyDescent="0.25">
      <c r="L808303" s="472"/>
      <c r="M808303" s="472"/>
    </row>
    <row r="808304" spans="12:13" x14ac:dyDescent="0.25">
      <c r="L808304" s="472"/>
      <c r="M808304" s="472"/>
    </row>
    <row r="808305" spans="12:13" x14ac:dyDescent="0.25">
      <c r="L808305" s="472"/>
      <c r="M808305" s="472"/>
    </row>
    <row r="808377" spans="12:13" x14ac:dyDescent="0.25">
      <c r="L808377" s="472"/>
      <c r="M808377" s="472"/>
    </row>
    <row r="808378" spans="12:13" x14ac:dyDescent="0.25">
      <c r="L808378" s="472"/>
      <c r="M808378" s="472"/>
    </row>
    <row r="808379" spans="12:13" x14ac:dyDescent="0.25">
      <c r="L808379" s="472"/>
      <c r="M808379" s="472"/>
    </row>
    <row r="808451" spans="12:13" x14ac:dyDescent="0.25">
      <c r="L808451" s="472"/>
      <c r="M808451" s="472"/>
    </row>
    <row r="808452" spans="12:13" x14ac:dyDescent="0.25">
      <c r="L808452" s="472"/>
      <c r="M808452" s="472"/>
    </row>
    <row r="808453" spans="12:13" x14ac:dyDescent="0.25">
      <c r="L808453" s="472"/>
      <c r="M808453" s="472"/>
    </row>
    <row r="808525" spans="12:13" x14ac:dyDescent="0.25">
      <c r="L808525" s="472"/>
      <c r="M808525" s="472"/>
    </row>
    <row r="808526" spans="12:13" x14ac:dyDescent="0.25">
      <c r="L808526" s="472"/>
      <c r="M808526" s="472"/>
    </row>
    <row r="808527" spans="12:13" x14ac:dyDescent="0.25">
      <c r="L808527" s="472"/>
      <c r="M808527" s="472"/>
    </row>
    <row r="808599" spans="12:13" x14ac:dyDescent="0.25">
      <c r="L808599" s="472"/>
      <c r="M808599" s="472"/>
    </row>
    <row r="808600" spans="12:13" x14ac:dyDescent="0.25">
      <c r="L808600" s="472"/>
      <c r="M808600" s="472"/>
    </row>
    <row r="808601" spans="12:13" x14ac:dyDescent="0.25">
      <c r="L808601" s="472"/>
      <c r="M808601" s="472"/>
    </row>
    <row r="808673" spans="12:13" x14ac:dyDescent="0.25">
      <c r="L808673" s="472"/>
      <c r="M808673" s="472"/>
    </row>
    <row r="808674" spans="12:13" x14ac:dyDescent="0.25">
      <c r="L808674" s="472"/>
      <c r="M808674" s="472"/>
    </row>
    <row r="808675" spans="12:13" x14ac:dyDescent="0.25">
      <c r="L808675" s="472"/>
      <c r="M808675" s="472"/>
    </row>
    <row r="808747" spans="12:13" x14ac:dyDescent="0.25">
      <c r="L808747" s="472"/>
      <c r="M808747" s="472"/>
    </row>
    <row r="808748" spans="12:13" x14ac:dyDescent="0.25">
      <c r="L808748" s="472"/>
      <c r="M808748" s="472"/>
    </row>
    <row r="808749" spans="12:13" x14ac:dyDescent="0.25">
      <c r="L808749" s="472"/>
      <c r="M808749" s="472"/>
    </row>
    <row r="808821" spans="12:13" x14ac:dyDescent="0.25">
      <c r="L808821" s="472"/>
      <c r="M808821" s="472"/>
    </row>
    <row r="808822" spans="12:13" x14ac:dyDescent="0.25">
      <c r="L808822" s="472"/>
      <c r="M808822" s="472"/>
    </row>
    <row r="808823" spans="12:13" x14ac:dyDescent="0.25">
      <c r="L808823" s="472"/>
      <c r="M808823" s="472"/>
    </row>
    <row r="808895" spans="12:13" x14ac:dyDescent="0.25">
      <c r="L808895" s="472"/>
      <c r="M808895" s="472"/>
    </row>
    <row r="808896" spans="12:13" x14ac:dyDescent="0.25">
      <c r="L808896" s="472"/>
      <c r="M808896" s="472"/>
    </row>
    <row r="808897" spans="12:13" x14ac:dyDescent="0.25">
      <c r="L808897" s="472"/>
      <c r="M808897" s="472"/>
    </row>
    <row r="808969" spans="12:13" x14ac:dyDescent="0.25">
      <c r="L808969" s="472"/>
      <c r="M808969" s="472"/>
    </row>
    <row r="808970" spans="12:13" x14ac:dyDescent="0.25">
      <c r="L808970" s="472"/>
      <c r="M808970" s="472"/>
    </row>
    <row r="808971" spans="12:13" x14ac:dyDescent="0.25">
      <c r="L808971" s="472"/>
      <c r="M808971" s="472"/>
    </row>
    <row r="809043" spans="12:13" x14ac:dyDescent="0.25">
      <c r="L809043" s="472"/>
      <c r="M809043" s="472"/>
    </row>
    <row r="809044" spans="12:13" x14ac:dyDescent="0.25">
      <c r="L809044" s="472"/>
      <c r="M809044" s="472"/>
    </row>
    <row r="809045" spans="12:13" x14ac:dyDescent="0.25">
      <c r="L809045" s="472"/>
      <c r="M809045" s="472"/>
    </row>
    <row r="809117" spans="12:13" x14ac:dyDescent="0.25">
      <c r="L809117" s="472"/>
      <c r="M809117" s="472"/>
    </row>
    <row r="809118" spans="12:13" x14ac:dyDescent="0.25">
      <c r="L809118" s="472"/>
      <c r="M809118" s="472"/>
    </row>
    <row r="809119" spans="12:13" x14ac:dyDescent="0.25">
      <c r="L809119" s="472"/>
      <c r="M809119" s="472"/>
    </row>
    <row r="809191" spans="12:13" x14ac:dyDescent="0.25">
      <c r="L809191" s="472"/>
      <c r="M809191" s="472"/>
    </row>
    <row r="809192" spans="12:13" x14ac:dyDescent="0.25">
      <c r="L809192" s="472"/>
      <c r="M809192" s="472"/>
    </row>
    <row r="809193" spans="12:13" x14ac:dyDescent="0.25">
      <c r="L809193" s="472"/>
      <c r="M809193" s="472"/>
    </row>
    <row r="809265" spans="12:13" x14ac:dyDescent="0.25">
      <c r="L809265" s="472"/>
      <c r="M809265" s="472"/>
    </row>
    <row r="809266" spans="12:13" x14ac:dyDescent="0.25">
      <c r="L809266" s="472"/>
      <c r="M809266" s="472"/>
    </row>
    <row r="809267" spans="12:13" x14ac:dyDescent="0.25">
      <c r="L809267" s="472"/>
      <c r="M809267" s="472"/>
    </row>
    <row r="809339" spans="12:13" x14ac:dyDescent="0.25">
      <c r="L809339" s="472"/>
      <c r="M809339" s="472"/>
    </row>
    <row r="809340" spans="12:13" x14ac:dyDescent="0.25">
      <c r="L809340" s="472"/>
      <c r="M809340" s="472"/>
    </row>
    <row r="809341" spans="12:13" x14ac:dyDescent="0.25">
      <c r="L809341" s="472"/>
      <c r="M809341" s="472"/>
    </row>
    <row r="809413" spans="12:13" x14ac:dyDescent="0.25">
      <c r="L809413" s="472"/>
      <c r="M809413" s="472"/>
    </row>
    <row r="809414" spans="12:13" x14ac:dyDescent="0.25">
      <c r="L809414" s="472"/>
      <c r="M809414" s="472"/>
    </row>
    <row r="809415" spans="12:13" x14ac:dyDescent="0.25">
      <c r="L809415" s="472"/>
      <c r="M809415" s="472"/>
    </row>
    <row r="809487" spans="12:13" x14ac:dyDescent="0.25">
      <c r="L809487" s="472"/>
      <c r="M809487" s="472"/>
    </row>
    <row r="809488" spans="12:13" x14ac:dyDescent="0.25">
      <c r="L809488" s="472"/>
      <c r="M809488" s="472"/>
    </row>
    <row r="809489" spans="12:13" x14ac:dyDescent="0.25">
      <c r="L809489" s="472"/>
      <c r="M809489" s="472"/>
    </row>
    <row r="809561" spans="12:13" x14ac:dyDescent="0.25">
      <c r="L809561" s="472"/>
      <c r="M809561" s="472"/>
    </row>
    <row r="809562" spans="12:13" x14ac:dyDescent="0.25">
      <c r="L809562" s="472"/>
      <c r="M809562" s="472"/>
    </row>
    <row r="809563" spans="12:13" x14ac:dyDescent="0.25">
      <c r="L809563" s="472"/>
      <c r="M809563" s="472"/>
    </row>
    <row r="809635" spans="12:13" x14ac:dyDescent="0.25">
      <c r="L809635" s="472"/>
      <c r="M809635" s="472"/>
    </row>
    <row r="809636" spans="12:13" x14ac:dyDescent="0.25">
      <c r="L809636" s="472"/>
      <c r="M809636" s="472"/>
    </row>
    <row r="809637" spans="12:13" x14ac:dyDescent="0.25">
      <c r="L809637" s="472"/>
      <c r="M809637" s="472"/>
    </row>
    <row r="809709" spans="12:13" x14ac:dyDescent="0.25">
      <c r="L809709" s="472"/>
      <c r="M809709" s="472"/>
    </row>
    <row r="809710" spans="12:13" x14ac:dyDescent="0.25">
      <c r="L809710" s="472"/>
      <c r="M809710" s="472"/>
    </row>
    <row r="809711" spans="12:13" x14ac:dyDescent="0.25">
      <c r="L809711" s="472"/>
      <c r="M809711" s="472"/>
    </row>
    <row r="809783" spans="12:13" x14ac:dyDescent="0.25">
      <c r="L809783" s="472"/>
      <c r="M809783" s="472"/>
    </row>
    <row r="809784" spans="12:13" x14ac:dyDescent="0.25">
      <c r="L809784" s="472"/>
      <c r="M809784" s="472"/>
    </row>
    <row r="809785" spans="12:13" x14ac:dyDescent="0.25">
      <c r="L809785" s="472"/>
      <c r="M809785" s="472"/>
    </row>
    <row r="809857" spans="12:13" x14ac:dyDescent="0.25">
      <c r="L809857" s="472"/>
      <c r="M809857" s="472"/>
    </row>
    <row r="809858" spans="12:13" x14ac:dyDescent="0.25">
      <c r="L809858" s="472"/>
      <c r="M809858" s="472"/>
    </row>
    <row r="809859" spans="12:13" x14ac:dyDescent="0.25">
      <c r="L809859" s="472"/>
      <c r="M809859" s="472"/>
    </row>
    <row r="809931" spans="12:13" x14ac:dyDescent="0.25">
      <c r="L809931" s="472"/>
      <c r="M809931" s="472"/>
    </row>
    <row r="809932" spans="12:13" x14ac:dyDescent="0.25">
      <c r="L809932" s="472"/>
      <c r="M809932" s="472"/>
    </row>
    <row r="809933" spans="12:13" x14ac:dyDescent="0.25">
      <c r="L809933" s="472"/>
      <c r="M809933" s="472"/>
    </row>
    <row r="810005" spans="12:13" x14ac:dyDescent="0.25">
      <c r="L810005" s="472"/>
      <c r="M810005" s="472"/>
    </row>
    <row r="810006" spans="12:13" x14ac:dyDescent="0.25">
      <c r="L810006" s="472"/>
      <c r="M810006" s="472"/>
    </row>
    <row r="810007" spans="12:13" x14ac:dyDescent="0.25">
      <c r="L810007" s="472"/>
      <c r="M810007" s="472"/>
    </row>
    <row r="810079" spans="12:13" x14ac:dyDescent="0.25">
      <c r="L810079" s="472"/>
      <c r="M810079" s="472"/>
    </row>
    <row r="810080" spans="12:13" x14ac:dyDescent="0.25">
      <c r="L810080" s="472"/>
      <c r="M810080" s="472"/>
    </row>
    <row r="810081" spans="12:13" x14ac:dyDescent="0.25">
      <c r="L810081" s="472"/>
      <c r="M810081" s="472"/>
    </row>
    <row r="810153" spans="12:13" x14ac:dyDescent="0.25">
      <c r="L810153" s="472"/>
      <c r="M810153" s="472"/>
    </row>
    <row r="810154" spans="12:13" x14ac:dyDescent="0.25">
      <c r="L810154" s="472"/>
      <c r="M810154" s="472"/>
    </row>
    <row r="810155" spans="12:13" x14ac:dyDescent="0.25">
      <c r="L810155" s="472"/>
      <c r="M810155" s="472"/>
    </row>
    <row r="810227" spans="12:13" x14ac:dyDescent="0.25">
      <c r="L810227" s="472"/>
      <c r="M810227" s="472"/>
    </row>
    <row r="810228" spans="12:13" x14ac:dyDescent="0.25">
      <c r="L810228" s="472"/>
      <c r="M810228" s="472"/>
    </row>
    <row r="810229" spans="12:13" x14ac:dyDescent="0.25">
      <c r="L810229" s="472"/>
      <c r="M810229" s="472"/>
    </row>
    <row r="810301" spans="12:13" x14ac:dyDescent="0.25">
      <c r="L810301" s="472"/>
      <c r="M810301" s="472"/>
    </row>
    <row r="810302" spans="12:13" x14ac:dyDescent="0.25">
      <c r="L810302" s="472"/>
      <c r="M810302" s="472"/>
    </row>
    <row r="810303" spans="12:13" x14ac:dyDescent="0.25">
      <c r="L810303" s="472"/>
      <c r="M810303" s="472"/>
    </row>
    <row r="810375" spans="12:13" x14ac:dyDescent="0.25">
      <c r="L810375" s="472"/>
      <c r="M810375" s="472"/>
    </row>
    <row r="810376" spans="12:13" x14ac:dyDescent="0.25">
      <c r="L810376" s="472"/>
      <c r="M810376" s="472"/>
    </row>
    <row r="810377" spans="12:13" x14ac:dyDescent="0.25">
      <c r="L810377" s="472"/>
      <c r="M810377" s="472"/>
    </row>
    <row r="810449" spans="12:13" x14ac:dyDescent="0.25">
      <c r="L810449" s="472"/>
      <c r="M810449" s="472"/>
    </row>
    <row r="810450" spans="12:13" x14ac:dyDescent="0.25">
      <c r="L810450" s="472"/>
      <c r="M810450" s="472"/>
    </row>
    <row r="810451" spans="12:13" x14ac:dyDescent="0.25">
      <c r="L810451" s="472"/>
      <c r="M810451" s="472"/>
    </row>
    <row r="810523" spans="12:13" x14ac:dyDescent="0.25">
      <c r="L810523" s="472"/>
      <c r="M810523" s="472"/>
    </row>
    <row r="810524" spans="12:13" x14ac:dyDescent="0.25">
      <c r="L810524" s="472"/>
      <c r="M810524" s="472"/>
    </row>
    <row r="810525" spans="12:13" x14ac:dyDescent="0.25">
      <c r="L810525" s="472"/>
      <c r="M810525" s="472"/>
    </row>
    <row r="810597" spans="12:13" x14ac:dyDescent="0.25">
      <c r="L810597" s="472"/>
      <c r="M810597" s="472"/>
    </row>
    <row r="810598" spans="12:13" x14ac:dyDescent="0.25">
      <c r="L810598" s="472"/>
      <c r="M810598" s="472"/>
    </row>
    <row r="810599" spans="12:13" x14ac:dyDescent="0.25">
      <c r="L810599" s="472"/>
      <c r="M810599" s="472"/>
    </row>
    <row r="810671" spans="12:13" x14ac:dyDescent="0.25">
      <c r="L810671" s="472"/>
      <c r="M810671" s="472"/>
    </row>
    <row r="810672" spans="12:13" x14ac:dyDescent="0.25">
      <c r="L810672" s="472"/>
      <c r="M810672" s="472"/>
    </row>
    <row r="810673" spans="12:13" x14ac:dyDescent="0.25">
      <c r="L810673" s="472"/>
      <c r="M810673" s="472"/>
    </row>
    <row r="810745" spans="12:13" x14ac:dyDescent="0.25">
      <c r="L810745" s="472"/>
      <c r="M810745" s="472"/>
    </row>
    <row r="810746" spans="12:13" x14ac:dyDescent="0.25">
      <c r="L810746" s="472"/>
      <c r="M810746" s="472"/>
    </row>
    <row r="810747" spans="12:13" x14ac:dyDescent="0.25">
      <c r="L810747" s="472"/>
      <c r="M810747" s="472"/>
    </row>
    <row r="810819" spans="12:13" x14ac:dyDescent="0.25">
      <c r="L810819" s="472"/>
      <c r="M810819" s="472"/>
    </row>
    <row r="810820" spans="12:13" x14ac:dyDescent="0.25">
      <c r="L810820" s="472"/>
      <c r="M810820" s="472"/>
    </row>
    <row r="810821" spans="12:13" x14ac:dyDescent="0.25">
      <c r="L810821" s="472"/>
      <c r="M810821" s="472"/>
    </row>
    <row r="810893" spans="12:13" x14ac:dyDescent="0.25">
      <c r="L810893" s="472"/>
      <c r="M810893" s="472"/>
    </row>
    <row r="810894" spans="12:13" x14ac:dyDescent="0.25">
      <c r="L810894" s="472"/>
      <c r="M810894" s="472"/>
    </row>
    <row r="810895" spans="12:13" x14ac:dyDescent="0.25">
      <c r="L810895" s="472"/>
      <c r="M810895" s="472"/>
    </row>
    <row r="810967" spans="12:13" x14ac:dyDescent="0.25">
      <c r="L810967" s="472"/>
      <c r="M810967" s="472"/>
    </row>
    <row r="810968" spans="12:13" x14ac:dyDescent="0.25">
      <c r="L810968" s="472"/>
      <c r="M810968" s="472"/>
    </row>
    <row r="810969" spans="12:13" x14ac:dyDescent="0.25">
      <c r="L810969" s="472"/>
      <c r="M810969" s="472"/>
    </row>
    <row r="811041" spans="12:13" x14ac:dyDescent="0.25">
      <c r="L811041" s="472"/>
      <c r="M811041" s="472"/>
    </row>
    <row r="811042" spans="12:13" x14ac:dyDescent="0.25">
      <c r="L811042" s="472"/>
      <c r="M811042" s="472"/>
    </row>
    <row r="811043" spans="12:13" x14ac:dyDescent="0.25">
      <c r="L811043" s="472"/>
      <c r="M811043" s="472"/>
    </row>
    <row r="811115" spans="12:13" x14ac:dyDescent="0.25">
      <c r="L811115" s="472"/>
      <c r="M811115" s="472"/>
    </row>
    <row r="811116" spans="12:13" x14ac:dyDescent="0.25">
      <c r="L811116" s="472"/>
      <c r="M811116" s="472"/>
    </row>
    <row r="811117" spans="12:13" x14ac:dyDescent="0.25">
      <c r="L811117" s="472"/>
      <c r="M811117" s="472"/>
    </row>
    <row r="811189" spans="12:13" x14ac:dyDescent="0.25">
      <c r="L811189" s="472"/>
      <c r="M811189" s="472"/>
    </row>
    <row r="811190" spans="12:13" x14ac:dyDescent="0.25">
      <c r="L811190" s="472"/>
      <c r="M811190" s="472"/>
    </row>
    <row r="811191" spans="12:13" x14ac:dyDescent="0.25">
      <c r="L811191" s="472"/>
      <c r="M811191" s="472"/>
    </row>
    <row r="811263" spans="12:13" x14ac:dyDescent="0.25">
      <c r="L811263" s="472"/>
      <c r="M811263" s="472"/>
    </row>
    <row r="811264" spans="12:13" x14ac:dyDescent="0.25">
      <c r="L811264" s="472"/>
      <c r="M811264" s="472"/>
    </row>
    <row r="811265" spans="12:13" x14ac:dyDescent="0.25">
      <c r="L811265" s="472"/>
      <c r="M811265" s="472"/>
    </row>
    <row r="811337" spans="12:13" x14ac:dyDescent="0.25">
      <c r="L811337" s="472"/>
      <c r="M811337" s="472"/>
    </row>
    <row r="811338" spans="12:13" x14ac:dyDescent="0.25">
      <c r="L811338" s="472"/>
      <c r="M811338" s="472"/>
    </row>
    <row r="811339" spans="12:13" x14ac:dyDescent="0.25">
      <c r="L811339" s="472"/>
      <c r="M811339" s="472"/>
    </row>
    <row r="811411" spans="12:13" x14ac:dyDescent="0.25">
      <c r="L811411" s="472"/>
      <c r="M811411" s="472"/>
    </row>
    <row r="811412" spans="12:13" x14ac:dyDescent="0.25">
      <c r="L811412" s="472"/>
      <c r="M811412" s="472"/>
    </row>
    <row r="811413" spans="12:13" x14ac:dyDescent="0.25">
      <c r="L811413" s="472"/>
      <c r="M811413" s="472"/>
    </row>
    <row r="811485" spans="12:13" x14ac:dyDescent="0.25">
      <c r="L811485" s="472"/>
      <c r="M811485" s="472"/>
    </row>
    <row r="811486" spans="12:13" x14ac:dyDescent="0.25">
      <c r="L811486" s="472"/>
      <c r="M811486" s="472"/>
    </row>
    <row r="811487" spans="12:13" x14ac:dyDescent="0.25">
      <c r="L811487" s="472"/>
      <c r="M811487" s="472"/>
    </row>
    <row r="811559" spans="12:13" x14ac:dyDescent="0.25">
      <c r="L811559" s="472"/>
      <c r="M811559" s="472"/>
    </row>
    <row r="811560" spans="12:13" x14ac:dyDescent="0.25">
      <c r="L811560" s="472"/>
      <c r="M811560" s="472"/>
    </row>
    <row r="811561" spans="12:13" x14ac:dyDescent="0.25">
      <c r="L811561" s="472"/>
      <c r="M811561" s="472"/>
    </row>
    <row r="811633" spans="12:13" x14ac:dyDescent="0.25">
      <c r="L811633" s="472"/>
      <c r="M811633" s="472"/>
    </row>
    <row r="811634" spans="12:13" x14ac:dyDescent="0.25">
      <c r="L811634" s="472"/>
      <c r="M811634" s="472"/>
    </row>
    <row r="811635" spans="12:13" x14ac:dyDescent="0.25">
      <c r="L811635" s="472"/>
      <c r="M811635" s="472"/>
    </row>
    <row r="811707" spans="12:13" x14ac:dyDescent="0.25">
      <c r="L811707" s="472"/>
      <c r="M811707" s="472"/>
    </row>
    <row r="811708" spans="12:13" x14ac:dyDescent="0.25">
      <c r="L811708" s="472"/>
      <c r="M811708" s="472"/>
    </row>
    <row r="811709" spans="12:13" x14ac:dyDescent="0.25">
      <c r="L811709" s="472"/>
      <c r="M811709" s="472"/>
    </row>
    <row r="811781" spans="12:13" x14ac:dyDescent="0.25">
      <c r="L811781" s="472"/>
      <c r="M811781" s="472"/>
    </row>
    <row r="811782" spans="12:13" x14ac:dyDescent="0.25">
      <c r="L811782" s="472"/>
      <c r="M811782" s="472"/>
    </row>
    <row r="811783" spans="12:13" x14ac:dyDescent="0.25">
      <c r="L811783" s="472"/>
      <c r="M811783" s="472"/>
    </row>
    <row r="811855" spans="12:13" x14ac:dyDescent="0.25">
      <c r="L811855" s="472"/>
      <c r="M811855" s="472"/>
    </row>
    <row r="811856" spans="12:13" x14ac:dyDescent="0.25">
      <c r="L811856" s="472"/>
      <c r="M811856" s="472"/>
    </row>
    <row r="811857" spans="12:13" x14ac:dyDescent="0.25">
      <c r="L811857" s="472"/>
      <c r="M811857" s="472"/>
    </row>
    <row r="811929" spans="12:13" x14ac:dyDescent="0.25">
      <c r="L811929" s="472"/>
      <c r="M811929" s="472"/>
    </row>
    <row r="811930" spans="12:13" x14ac:dyDescent="0.25">
      <c r="L811930" s="472"/>
      <c r="M811930" s="472"/>
    </row>
    <row r="811931" spans="12:13" x14ac:dyDescent="0.25">
      <c r="L811931" s="472"/>
      <c r="M811931" s="472"/>
    </row>
    <row r="812003" spans="12:13" x14ac:dyDescent="0.25">
      <c r="L812003" s="472"/>
      <c r="M812003" s="472"/>
    </row>
    <row r="812004" spans="12:13" x14ac:dyDescent="0.25">
      <c r="L812004" s="472"/>
      <c r="M812004" s="472"/>
    </row>
    <row r="812005" spans="12:13" x14ac:dyDescent="0.25">
      <c r="L812005" s="472"/>
      <c r="M812005" s="472"/>
    </row>
    <row r="812077" spans="12:13" x14ac:dyDescent="0.25">
      <c r="L812077" s="472"/>
      <c r="M812077" s="472"/>
    </row>
    <row r="812078" spans="12:13" x14ac:dyDescent="0.25">
      <c r="L812078" s="472"/>
      <c r="M812078" s="472"/>
    </row>
    <row r="812079" spans="12:13" x14ac:dyDescent="0.25">
      <c r="L812079" s="472"/>
      <c r="M812079" s="472"/>
    </row>
    <row r="812151" spans="12:13" x14ac:dyDescent="0.25">
      <c r="L812151" s="472"/>
      <c r="M812151" s="472"/>
    </row>
    <row r="812152" spans="12:13" x14ac:dyDescent="0.25">
      <c r="L812152" s="472"/>
      <c r="M812152" s="472"/>
    </row>
    <row r="812153" spans="12:13" x14ac:dyDescent="0.25">
      <c r="L812153" s="472"/>
      <c r="M812153" s="472"/>
    </row>
    <row r="812225" spans="12:13" x14ac:dyDescent="0.25">
      <c r="L812225" s="472"/>
      <c r="M812225" s="472"/>
    </row>
    <row r="812226" spans="12:13" x14ac:dyDescent="0.25">
      <c r="L812226" s="472"/>
      <c r="M812226" s="472"/>
    </row>
    <row r="812227" spans="12:13" x14ac:dyDescent="0.25">
      <c r="L812227" s="472"/>
      <c r="M812227" s="472"/>
    </row>
    <row r="812299" spans="12:13" x14ac:dyDescent="0.25">
      <c r="L812299" s="472"/>
      <c r="M812299" s="472"/>
    </row>
    <row r="812300" spans="12:13" x14ac:dyDescent="0.25">
      <c r="L812300" s="472"/>
      <c r="M812300" s="472"/>
    </row>
    <row r="812301" spans="12:13" x14ac:dyDescent="0.25">
      <c r="L812301" s="472"/>
      <c r="M812301" s="472"/>
    </row>
    <row r="812373" spans="12:13" x14ac:dyDescent="0.25">
      <c r="L812373" s="472"/>
      <c r="M812373" s="472"/>
    </row>
    <row r="812374" spans="12:13" x14ac:dyDescent="0.25">
      <c r="L812374" s="472"/>
      <c r="M812374" s="472"/>
    </row>
    <row r="812375" spans="12:13" x14ac:dyDescent="0.25">
      <c r="L812375" s="472"/>
      <c r="M812375" s="472"/>
    </row>
    <row r="812447" spans="12:13" x14ac:dyDescent="0.25">
      <c r="L812447" s="472"/>
      <c r="M812447" s="472"/>
    </row>
    <row r="812448" spans="12:13" x14ac:dyDescent="0.25">
      <c r="L812448" s="472"/>
      <c r="M812448" s="472"/>
    </row>
    <row r="812449" spans="12:13" x14ac:dyDescent="0.25">
      <c r="L812449" s="472"/>
      <c r="M812449" s="472"/>
    </row>
    <row r="812521" spans="12:13" x14ac:dyDescent="0.25">
      <c r="L812521" s="472"/>
      <c r="M812521" s="472"/>
    </row>
    <row r="812522" spans="12:13" x14ac:dyDescent="0.25">
      <c r="L812522" s="472"/>
      <c r="M812522" s="472"/>
    </row>
    <row r="812523" spans="12:13" x14ac:dyDescent="0.25">
      <c r="L812523" s="472"/>
      <c r="M812523" s="472"/>
    </row>
    <row r="812595" spans="12:13" x14ac:dyDescent="0.25">
      <c r="L812595" s="472"/>
      <c r="M812595" s="472"/>
    </row>
    <row r="812596" spans="12:13" x14ac:dyDescent="0.25">
      <c r="L812596" s="472"/>
      <c r="M812596" s="472"/>
    </row>
    <row r="812597" spans="12:13" x14ac:dyDescent="0.25">
      <c r="L812597" s="472"/>
      <c r="M812597" s="472"/>
    </row>
    <row r="812669" spans="12:13" x14ac:dyDescent="0.25">
      <c r="L812669" s="472"/>
      <c r="M812669" s="472"/>
    </row>
    <row r="812670" spans="12:13" x14ac:dyDescent="0.25">
      <c r="L812670" s="472"/>
      <c r="M812670" s="472"/>
    </row>
    <row r="812671" spans="12:13" x14ac:dyDescent="0.25">
      <c r="L812671" s="472"/>
      <c r="M812671" s="472"/>
    </row>
    <row r="812743" spans="12:13" x14ac:dyDescent="0.25">
      <c r="L812743" s="472"/>
      <c r="M812743" s="472"/>
    </row>
    <row r="812744" spans="12:13" x14ac:dyDescent="0.25">
      <c r="L812744" s="472"/>
      <c r="M812744" s="472"/>
    </row>
    <row r="812745" spans="12:13" x14ac:dyDescent="0.25">
      <c r="L812745" s="472"/>
      <c r="M812745" s="472"/>
    </row>
    <row r="812817" spans="12:13" x14ac:dyDescent="0.25">
      <c r="L812817" s="472"/>
      <c r="M812817" s="472"/>
    </row>
    <row r="812818" spans="12:13" x14ac:dyDescent="0.25">
      <c r="L812818" s="472"/>
      <c r="M812818" s="472"/>
    </row>
    <row r="812819" spans="12:13" x14ac:dyDescent="0.25">
      <c r="L812819" s="472"/>
      <c r="M812819" s="472"/>
    </row>
    <row r="812891" spans="12:13" x14ac:dyDescent="0.25">
      <c r="L812891" s="472"/>
      <c r="M812891" s="472"/>
    </row>
    <row r="812892" spans="12:13" x14ac:dyDescent="0.25">
      <c r="L812892" s="472"/>
      <c r="M812892" s="472"/>
    </row>
    <row r="812893" spans="12:13" x14ac:dyDescent="0.25">
      <c r="L812893" s="472"/>
      <c r="M812893" s="472"/>
    </row>
    <row r="812965" spans="12:13" x14ac:dyDescent="0.25">
      <c r="L812965" s="472"/>
      <c r="M812965" s="472"/>
    </row>
    <row r="812966" spans="12:13" x14ac:dyDescent="0.25">
      <c r="L812966" s="472"/>
      <c r="M812966" s="472"/>
    </row>
    <row r="812967" spans="12:13" x14ac:dyDescent="0.25">
      <c r="L812967" s="472"/>
      <c r="M812967" s="472"/>
    </row>
    <row r="813039" spans="12:13" x14ac:dyDescent="0.25">
      <c r="L813039" s="472"/>
      <c r="M813039" s="472"/>
    </row>
    <row r="813040" spans="12:13" x14ac:dyDescent="0.25">
      <c r="L813040" s="472"/>
      <c r="M813040" s="472"/>
    </row>
    <row r="813041" spans="12:13" x14ac:dyDescent="0.25">
      <c r="L813041" s="472"/>
      <c r="M813041" s="472"/>
    </row>
    <row r="813113" spans="12:13" x14ac:dyDescent="0.25">
      <c r="L813113" s="472"/>
      <c r="M813113" s="472"/>
    </row>
    <row r="813114" spans="12:13" x14ac:dyDescent="0.25">
      <c r="L813114" s="472"/>
      <c r="M813114" s="472"/>
    </row>
    <row r="813115" spans="12:13" x14ac:dyDescent="0.25">
      <c r="L813115" s="472"/>
      <c r="M813115" s="472"/>
    </row>
    <row r="813187" spans="12:13" x14ac:dyDescent="0.25">
      <c r="L813187" s="472"/>
      <c r="M813187" s="472"/>
    </row>
    <row r="813188" spans="12:13" x14ac:dyDescent="0.25">
      <c r="L813188" s="472"/>
      <c r="M813188" s="472"/>
    </row>
    <row r="813189" spans="12:13" x14ac:dyDescent="0.25">
      <c r="L813189" s="472"/>
      <c r="M813189" s="472"/>
    </row>
    <row r="813261" spans="12:13" x14ac:dyDescent="0.25">
      <c r="L813261" s="472"/>
      <c r="M813261" s="472"/>
    </row>
    <row r="813262" spans="12:13" x14ac:dyDescent="0.25">
      <c r="L813262" s="472"/>
      <c r="M813262" s="472"/>
    </row>
    <row r="813263" spans="12:13" x14ac:dyDescent="0.25">
      <c r="L813263" s="472"/>
      <c r="M813263" s="472"/>
    </row>
    <row r="813335" spans="12:13" x14ac:dyDescent="0.25">
      <c r="L813335" s="472"/>
      <c r="M813335" s="472"/>
    </row>
    <row r="813336" spans="12:13" x14ac:dyDescent="0.25">
      <c r="L813336" s="472"/>
      <c r="M813336" s="472"/>
    </row>
    <row r="813337" spans="12:13" x14ac:dyDescent="0.25">
      <c r="L813337" s="472"/>
      <c r="M813337" s="472"/>
    </row>
    <row r="813409" spans="12:13" x14ac:dyDescent="0.25">
      <c r="L813409" s="472"/>
      <c r="M813409" s="472"/>
    </row>
    <row r="813410" spans="12:13" x14ac:dyDescent="0.25">
      <c r="L813410" s="472"/>
      <c r="M813410" s="472"/>
    </row>
    <row r="813411" spans="12:13" x14ac:dyDescent="0.25">
      <c r="L813411" s="472"/>
      <c r="M813411" s="472"/>
    </row>
    <row r="813483" spans="12:13" x14ac:dyDescent="0.25">
      <c r="L813483" s="472"/>
      <c r="M813483" s="472"/>
    </row>
    <row r="813484" spans="12:13" x14ac:dyDescent="0.25">
      <c r="L813484" s="472"/>
      <c r="M813484" s="472"/>
    </row>
    <row r="813485" spans="12:13" x14ac:dyDescent="0.25">
      <c r="L813485" s="472"/>
      <c r="M813485" s="472"/>
    </row>
    <row r="813557" spans="12:13" x14ac:dyDescent="0.25">
      <c r="L813557" s="472"/>
      <c r="M813557" s="472"/>
    </row>
    <row r="813558" spans="12:13" x14ac:dyDescent="0.25">
      <c r="L813558" s="472"/>
      <c r="M813558" s="472"/>
    </row>
    <row r="813559" spans="12:13" x14ac:dyDescent="0.25">
      <c r="L813559" s="472"/>
      <c r="M813559" s="472"/>
    </row>
    <row r="813631" spans="12:13" x14ac:dyDescent="0.25">
      <c r="L813631" s="472"/>
      <c r="M813631" s="472"/>
    </row>
    <row r="813632" spans="12:13" x14ac:dyDescent="0.25">
      <c r="L813632" s="472"/>
      <c r="M813632" s="472"/>
    </row>
    <row r="813633" spans="12:13" x14ac:dyDescent="0.25">
      <c r="L813633" s="472"/>
      <c r="M813633" s="472"/>
    </row>
    <row r="813705" spans="12:13" x14ac:dyDescent="0.25">
      <c r="L813705" s="472"/>
      <c r="M813705" s="472"/>
    </row>
    <row r="813706" spans="12:13" x14ac:dyDescent="0.25">
      <c r="L813706" s="472"/>
      <c r="M813706" s="472"/>
    </row>
    <row r="813707" spans="12:13" x14ac:dyDescent="0.25">
      <c r="L813707" s="472"/>
      <c r="M813707" s="472"/>
    </row>
    <row r="813779" spans="12:13" x14ac:dyDescent="0.25">
      <c r="L813779" s="472"/>
      <c r="M813779" s="472"/>
    </row>
    <row r="813780" spans="12:13" x14ac:dyDescent="0.25">
      <c r="L813780" s="472"/>
      <c r="M813780" s="472"/>
    </row>
    <row r="813781" spans="12:13" x14ac:dyDescent="0.25">
      <c r="L813781" s="472"/>
      <c r="M813781" s="472"/>
    </row>
    <row r="813853" spans="12:13" x14ac:dyDescent="0.25">
      <c r="L813853" s="472"/>
      <c r="M813853" s="472"/>
    </row>
    <row r="813854" spans="12:13" x14ac:dyDescent="0.25">
      <c r="L813854" s="472"/>
      <c r="M813854" s="472"/>
    </row>
    <row r="813855" spans="12:13" x14ac:dyDescent="0.25">
      <c r="L813855" s="472"/>
      <c r="M813855" s="472"/>
    </row>
    <row r="813927" spans="12:13" x14ac:dyDescent="0.25">
      <c r="L813927" s="472"/>
      <c r="M813927" s="472"/>
    </row>
    <row r="813928" spans="12:13" x14ac:dyDescent="0.25">
      <c r="L813928" s="472"/>
      <c r="M813928" s="472"/>
    </row>
    <row r="813929" spans="12:13" x14ac:dyDescent="0.25">
      <c r="L813929" s="472"/>
      <c r="M813929" s="472"/>
    </row>
    <row r="814001" spans="12:13" x14ac:dyDescent="0.25">
      <c r="L814001" s="472"/>
      <c r="M814001" s="472"/>
    </row>
    <row r="814002" spans="12:13" x14ac:dyDescent="0.25">
      <c r="L814002" s="472"/>
      <c r="M814002" s="472"/>
    </row>
    <row r="814003" spans="12:13" x14ac:dyDescent="0.25">
      <c r="L814003" s="472"/>
      <c r="M814003" s="472"/>
    </row>
    <row r="814075" spans="12:13" x14ac:dyDescent="0.25">
      <c r="L814075" s="472"/>
      <c r="M814075" s="472"/>
    </row>
    <row r="814076" spans="12:13" x14ac:dyDescent="0.25">
      <c r="L814076" s="472"/>
      <c r="M814076" s="472"/>
    </row>
    <row r="814077" spans="12:13" x14ac:dyDescent="0.25">
      <c r="L814077" s="472"/>
      <c r="M814077" s="472"/>
    </row>
    <row r="814149" spans="12:13" x14ac:dyDescent="0.25">
      <c r="L814149" s="472"/>
      <c r="M814149" s="472"/>
    </row>
    <row r="814150" spans="12:13" x14ac:dyDescent="0.25">
      <c r="L814150" s="472"/>
      <c r="M814150" s="472"/>
    </row>
    <row r="814151" spans="12:13" x14ac:dyDescent="0.25">
      <c r="L814151" s="472"/>
      <c r="M814151" s="472"/>
    </row>
    <row r="814223" spans="12:13" x14ac:dyDescent="0.25">
      <c r="L814223" s="472"/>
      <c r="M814223" s="472"/>
    </row>
    <row r="814224" spans="12:13" x14ac:dyDescent="0.25">
      <c r="L814224" s="472"/>
      <c r="M814224" s="472"/>
    </row>
    <row r="814225" spans="12:13" x14ac:dyDescent="0.25">
      <c r="L814225" s="472"/>
      <c r="M814225" s="472"/>
    </row>
    <row r="814297" spans="12:13" x14ac:dyDescent="0.25">
      <c r="L814297" s="472"/>
      <c r="M814297" s="472"/>
    </row>
    <row r="814298" spans="12:13" x14ac:dyDescent="0.25">
      <c r="L814298" s="472"/>
      <c r="M814298" s="472"/>
    </row>
    <row r="814299" spans="12:13" x14ac:dyDescent="0.25">
      <c r="L814299" s="472"/>
      <c r="M814299" s="472"/>
    </row>
    <row r="814371" spans="12:13" x14ac:dyDescent="0.25">
      <c r="L814371" s="472"/>
      <c r="M814371" s="472"/>
    </row>
    <row r="814372" spans="12:13" x14ac:dyDescent="0.25">
      <c r="L814372" s="472"/>
      <c r="M814372" s="472"/>
    </row>
    <row r="814373" spans="12:13" x14ac:dyDescent="0.25">
      <c r="L814373" s="472"/>
      <c r="M814373" s="472"/>
    </row>
    <row r="814445" spans="12:13" x14ac:dyDescent="0.25">
      <c r="L814445" s="472"/>
      <c r="M814445" s="472"/>
    </row>
    <row r="814446" spans="12:13" x14ac:dyDescent="0.25">
      <c r="L814446" s="472"/>
      <c r="M814446" s="472"/>
    </row>
    <row r="814447" spans="12:13" x14ac:dyDescent="0.25">
      <c r="L814447" s="472"/>
      <c r="M814447" s="472"/>
    </row>
    <row r="814519" spans="12:13" x14ac:dyDescent="0.25">
      <c r="L814519" s="472"/>
      <c r="M814519" s="472"/>
    </row>
    <row r="814520" spans="12:13" x14ac:dyDescent="0.25">
      <c r="L814520" s="472"/>
      <c r="M814520" s="472"/>
    </row>
    <row r="814521" spans="12:13" x14ac:dyDescent="0.25">
      <c r="L814521" s="472"/>
      <c r="M814521" s="472"/>
    </row>
    <row r="814593" spans="12:13" x14ac:dyDescent="0.25">
      <c r="L814593" s="472"/>
      <c r="M814593" s="472"/>
    </row>
    <row r="814594" spans="12:13" x14ac:dyDescent="0.25">
      <c r="L814594" s="472"/>
      <c r="M814594" s="472"/>
    </row>
    <row r="814595" spans="12:13" x14ac:dyDescent="0.25">
      <c r="L814595" s="472"/>
      <c r="M814595" s="472"/>
    </row>
    <row r="814667" spans="12:13" x14ac:dyDescent="0.25">
      <c r="L814667" s="472"/>
      <c r="M814667" s="472"/>
    </row>
    <row r="814668" spans="12:13" x14ac:dyDescent="0.25">
      <c r="L814668" s="472"/>
      <c r="M814668" s="472"/>
    </row>
    <row r="814669" spans="12:13" x14ac:dyDescent="0.25">
      <c r="L814669" s="472"/>
      <c r="M814669" s="472"/>
    </row>
    <row r="814741" spans="12:13" x14ac:dyDescent="0.25">
      <c r="L814741" s="472"/>
      <c r="M814741" s="472"/>
    </row>
    <row r="814742" spans="12:13" x14ac:dyDescent="0.25">
      <c r="L814742" s="472"/>
      <c r="M814742" s="472"/>
    </row>
    <row r="814743" spans="12:13" x14ac:dyDescent="0.25">
      <c r="L814743" s="472"/>
      <c r="M814743" s="472"/>
    </row>
    <row r="814815" spans="12:13" x14ac:dyDescent="0.25">
      <c r="L814815" s="472"/>
      <c r="M814815" s="472"/>
    </row>
    <row r="814816" spans="12:13" x14ac:dyDescent="0.25">
      <c r="L814816" s="472"/>
      <c r="M814816" s="472"/>
    </row>
    <row r="814817" spans="12:13" x14ac:dyDescent="0.25">
      <c r="L814817" s="472"/>
      <c r="M814817" s="472"/>
    </row>
    <row r="814889" spans="12:13" x14ac:dyDescent="0.25">
      <c r="L814889" s="472"/>
      <c r="M814889" s="472"/>
    </row>
    <row r="814890" spans="12:13" x14ac:dyDescent="0.25">
      <c r="L814890" s="472"/>
      <c r="M814890" s="472"/>
    </row>
    <row r="814891" spans="12:13" x14ac:dyDescent="0.25">
      <c r="L814891" s="472"/>
      <c r="M814891" s="472"/>
    </row>
    <row r="814963" spans="12:13" x14ac:dyDescent="0.25">
      <c r="L814963" s="472"/>
      <c r="M814963" s="472"/>
    </row>
    <row r="814964" spans="12:13" x14ac:dyDescent="0.25">
      <c r="L814964" s="472"/>
      <c r="M814964" s="472"/>
    </row>
    <row r="814965" spans="12:13" x14ac:dyDescent="0.25">
      <c r="L814965" s="472"/>
      <c r="M814965" s="472"/>
    </row>
    <row r="815037" spans="12:13" x14ac:dyDescent="0.25">
      <c r="L815037" s="472"/>
      <c r="M815037" s="472"/>
    </row>
    <row r="815038" spans="12:13" x14ac:dyDescent="0.25">
      <c r="L815038" s="472"/>
      <c r="M815038" s="472"/>
    </row>
    <row r="815039" spans="12:13" x14ac:dyDescent="0.25">
      <c r="L815039" s="472"/>
      <c r="M815039" s="472"/>
    </row>
    <row r="815111" spans="12:13" x14ac:dyDescent="0.25">
      <c r="L815111" s="472"/>
      <c r="M815111" s="472"/>
    </row>
    <row r="815112" spans="12:13" x14ac:dyDescent="0.25">
      <c r="L815112" s="472"/>
      <c r="M815112" s="472"/>
    </row>
    <row r="815113" spans="12:13" x14ac:dyDescent="0.25">
      <c r="L815113" s="472"/>
      <c r="M815113" s="472"/>
    </row>
    <row r="815185" spans="12:13" x14ac:dyDescent="0.25">
      <c r="L815185" s="472"/>
      <c r="M815185" s="472"/>
    </row>
    <row r="815186" spans="12:13" x14ac:dyDescent="0.25">
      <c r="L815186" s="472"/>
      <c r="M815186" s="472"/>
    </row>
    <row r="815187" spans="12:13" x14ac:dyDescent="0.25">
      <c r="L815187" s="472"/>
      <c r="M815187" s="472"/>
    </row>
    <row r="815259" spans="12:13" x14ac:dyDescent="0.25">
      <c r="L815259" s="472"/>
      <c r="M815259" s="472"/>
    </row>
    <row r="815260" spans="12:13" x14ac:dyDescent="0.25">
      <c r="L815260" s="472"/>
      <c r="M815260" s="472"/>
    </row>
    <row r="815261" spans="12:13" x14ac:dyDescent="0.25">
      <c r="L815261" s="472"/>
      <c r="M815261" s="472"/>
    </row>
    <row r="815333" spans="12:13" x14ac:dyDescent="0.25">
      <c r="L815333" s="472"/>
      <c r="M815333" s="472"/>
    </row>
    <row r="815334" spans="12:13" x14ac:dyDescent="0.25">
      <c r="L815334" s="472"/>
      <c r="M815334" s="472"/>
    </row>
    <row r="815335" spans="12:13" x14ac:dyDescent="0.25">
      <c r="L815335" s="472"/>
      <c r="M815335" s="472"/>
    </row>
    <row r="815407" spans="12:13" x14ac:dyDescent="0.25">
      <c r="L815407" s="472"/>
      <c r="M815407" s="472"/>
    </row>
    <row r="815408" spans="12:13" x14ac:dyDescent="0.25">
      <c r="L815408" s="472"/>
      <c r="M815408" s="472"/>
    </row>
    <row r="815409" spans="12:13" x14ac:dyDescent="0.25">
      <c r="L815409" s="472"/>
      <c r="M815409" s="472"/>
    </row>
    <row r="815481" spans="12:13" x14ac:dyDescent="0.25">
      <c r="L815481" s="472"/>
      <c r="M815481" s="472"/>
    </row>
    <row r="815482" spans="12:13" x14ac:dyDescent="0.25">
      <c r="L815482" s="472"/>
      <c r="M815482" s="472"/>
    </row>
    <row r="815483" spans="12:13" x14ac:dyDescent="0.25">
      <c r="L815483" s="472"/>
      <c r="M815483" s="472"/>
    </row>
    <row r="815555" spans="12:13" x14ac:dyDescent="0.25">
      <c r="L815555" s="472"/>
      <c r="M815555" s="472"/>
    </row>
    <row r="815556" spans="12:13" x14ac:dyDescent="0.25">
      <c r="L815556" s="472"/>
      <c r="M815556" s="472"/>
    </row>
    <row r="815557" spans="12:13" x14ac:dyDescent="0.25">
      <c r="L815557" s="472"/>
      <c r="M815557" s="472"/>
    </row>
    <row r="815629" spans="12:13" x14ac:dyDescent="0.25">
      <c r="L815629" s="472"/>
      <c r="M815629" s="472"/>
    </row>
    <row r="815630" spans="12:13" x14ac:dyDescent="0.25">
      <c r="L815630" s="472"/>
      <c r="M815630" s="472"/>
    </row>
    <row r="815631" spans="12:13" x14ac:dyDescent="0.25">
      <c r="L815631" s="472"/>
      <c r="M815631" s="472"/>
    </row>
    <row r="815703" spans="12:13" x14ac:dyDescent="0.25">
      <c r="L815703" s="472"/>
      <c r="M815703" s="472"/>
    </row>
    <row r="815704" spans="12:13" x14ac:dyDescent="0.25">
      <c r="L815704" s="472"/>
      <c r="M815704" s="472"/>
    </row>
    <row r="815705" spans="12:13" x14ac:dyDescent="0.25">
      <c r="L815705" s="472"/>
      <c r="M815705" s="472"/>
    </row>
    <row r="815777" spans="12:13" x14ac:dyDescent="0.25">
      <c r="L815777" s="472"/>
      <c r="M815777" s="472"/>
    </row>
    <row r="815778" spans="12:13" x14ac:dyDescent="0.25">
      <c r="L815778" s="472"/>
      <c r="M815778" s="472"/>
    </row>
    <row r="815779" spans="12:13" x14ac:dyDescent="0.25">
      <c r="L815779" s="472"/>
      <c r="M815779" s="472"/>
    </row>
    <row r="815851" spans="12:13" x14ac:dyDescent="0.25">
      <c r="L815851" s="472"/>
      <c r="M815851" s="472"/>
    </row>
    <row r="815852" spans="12:13" x14ac:dyDescent="0.25">
      <c r="L815852" s="472"/>
      <c r="M815852" s="472"/>
    </row>
    <row r="815853" spans="12:13" x14ac:dyDescent="0.25">
      <c r="L815853" s="472"/>
      <c r="M815853" s="472"/>
    </row>
    <row r="815925" spans="12:13" x14ac:dyDescent="0.25">
      <c r="L815925" s="472"/>
      <c r="M815925" s="472"/>
    </row>
    <row r="815926" spans="12:13" x14ac:dyDescent="0.25">
      <c r="L815926" s="472"/>
      <c r="M815926" s="472"/>
    </row>
    <row r="815927" spans="12:13" x14ac:dyDescent="0.25">
      <c r="L815927" s="472"/>
      <c r="M815927" s="472"/>
    </row>
    <row r="815999" spans="12:13" x14ac:dyDescent="0.25">
      <c r="L815999" s="472"/>
      <c r="M815999" s="472"/>
    </row>
    <row r="816000" spans="12:13" x14ac:dyDescent="0.25">
      <c r="L816000" s="472"/>
      <c r="M816000" s="472"/>
    </row>
    <row r="816001" spans="12:13" x14ac:dyDescent="0.25">
      <c r="L816001" s="472"/>
      <c r="M816001" s="472"/>
    </row>
    <row r="816073" spans="12:13" x14ac:dyDescent="0.25">
      <c r="L816073" s="472"/>
      <c r="M816073" s="472"/>
    </row>
    <row r="816074" spans="12:13" x14ac:dyDescent="0.25">
      <c r="L816074" s="472"/>
      <c r="M816074" s="472"/>
    </row>
    <row r="816075" spans="12:13" x14ac:dyDescent="0.25">
      <c r="L816075" s="472"/>
      <c r="M816075" s="472"/>
    </row>
    <row r="816147" spans="12:13" x14ac:dyDescent="0.25">
      <c r="L816147" s="472"/>
      <c r="M816147" s="472"/>
    </row>
    <row r="816148" spans="12:13" x14ac:dyDescent="0.25">
      <c r="L816148" s="472"/>
      <c r="M816148" s="472"/>
    </row>
    <row r="816149" spans="12:13" x14ac:dyDescent="0.25">
      <c r="L816149" s="472"/>
      <c r="M816149" s="472"/>
    </row>
    <row r="816221" spans="12:13" x14ac:dyDescent="0.25">
      <c r="L816221" s="472"/>
      <c r="M816221" s="472"/>
    </row>
    <row r="816222" spans="12:13" x14ac:dyDescent="0.25">
      <c r="L816222" s="472"/>
      <c r="M816222" s="472"/>
    </row>
    <row r="816223" spans="12:13" x14ac:dyDescent="0.25">
      <c r="L816223" s="472"/>
      <c r="M816223" s="472"/>
    </row>
    <row r="816295" spans="12:13" x14ac:dyDescent="0.25">
      <c r="L816295" s="472"/>
      <c r="M816295" s="472"/>
    </row>
    <row r="816296" spans="12:13" x14ac:dyDescent="0.25">
      <c r="L816296" s="472"/>
      <c r="M816296" s="472"/>
    </row>
    <row r="816297" spans="12:13" x14ac:dyDescent="0.25">
      <c r="L816297" s="472"/>
      <c r="M816297" s="472"/>
    </row>
    <row r="816369" spans="12:13" x14ac:dyDescent="0.25">
      <c r="L816369" s="472"/>
      <c r="M816369" s="472"/>
    </row>
    <row r="816370" spans="12:13" x14ac:dyDescent="0.25">
      <c r="L816370" s="472"/>
      <c r="M816370" s="472"/>
    </row>
    <row r="816371" spans="12:13" x14ac:dyDescent="0.25">
      <c r="L816371" s="472"/>
      <c r="M816371" s="472"/>
    </row>
    <row r="816443" spans="12:13" x14ac:dyDescent="0.25">
      <c r="L816443" s="472"/>
      <c r="M816443" s="472"/>
    </row>
    <row r="816444" spans="12:13" x14ac:dyDescent="0.25">
      <c r="L816444" s="472"/>
      <c r="M816444" s="472"/>
    </row>
    <row r="816445" spans="12:13" x14ac:dyDescent="0.25">
      <c r="L816445" s="472"/>
      <c r="M816445" s="472"/>
    </row>
    <row r="816517" spans="12:13" x14ac:dyDescent="0.25">
      <c r="L816517" s="472"/>
      <c r="M816517" s="472"/>
    </row>
    <row r="816518" spans="12:13" x14ac:dyDescent="0.25">
      <c r="L816518" s="472"/>
      <c r="M816518" s="472"/>
    </row>
    <row r="816519" spans="12:13" x14ac:dyDescent="0.25">
      <c r="L816519" s="472"/>
      <c r="M816519" s="472"/>
    </row>
    <row r="816591" spans="12:13" x14ac:dyDescent="0.25">
      <c r="L816591" s="472"/>
      <c r="M816591" s="472"/>
    </row>
    <row r="816592" spans="12:13" x14ac:dyDescent="0.25">
      <c r="L816592" s="472"/>
      <c r="M816592" s="472"/>
    </row>
    <row r="816593" spans="12:13" x14ac:dyDescent="0.25">
      <c r="L816593" s="472"/>
      <c r="M816593" s="472"/>
    </row>
    <row r="816665" spans="12:13" x14ac:dyDescent="0.25">
      <c r="L816665" s="472"/>
      <c r="M816665" s="472"/>
    </row>
    <row r="816666" spans="12:13" x14ac:dyDescent="0.25">
      <c r="L816666" s="472"/>
      <c r="M816666" s="472"/>
    </row>
    <row r="816667" spans="12:13" x14ac:dyDescent="0.25">
      <c r="L816667" s="472"/>
      <c r="M816667" s="472"/>
    </row>
    <row r="816739" spans="12:13" x14ac:dyDescent="0.25">
      <c r="L816739" s="472"/>
      <c r="M816739" s="472"/>
    </row>
    <row r="816740" spans="12:13" x14ac:dyDescent="0.25">
      <c r="L816740" s="472"/>
      <c r="M816740" s="472"/>
    </row>
    <row r="816741" spans="12:13" x14ac:dyDescent="0.25">
      <c r="L816741" s="472"/>
      <c r="M816741" s="472"/>
    </row>
    <row r="816813" spans="12:13" x14ac:dyDescent="0.25">
      <c r="L816813" s="472"/>
      <c r="M816813" s="472"/>
    </row>
    <row r="816814" spans="12:13" x14ac:dyDescent="0.25">
      <c r="L816814" s="472"/>
      <c r="M816814" s="472"/>
    </row>
    <row r="816815" spans="12:13" x14ac:dyDescent="0.25">
      <c r="L816815" s="472"/>
      <c r="M816815" s="472"/>
    </row>
    <row r="816887" spans="12:13" x14ac:dyDescent="0.25">
      <c r="L816887" s="472"/>
      <c r="M816887" s="472"/>
    </row>
    <row r="816888" spans="12:13" x14ac:dyDescent="0.25">
      <c r="L816888" s="472"/>
      <c r="M816888" s="472"/>
    </row>
    <row r="816889" spans="12:13" x14ac:dyDescent="0.25">
      <c r="L816889" s="472"/>
      <c r="M816889" s="472"/>
    </row>
    <row r="816961" spans="12:13" x14ac:dyDescent="0.25">
      <c r="L816961" s="472"/>
      <c r="M816961" s="472"/>
    </row>
    <row r="816962" spans="12:13" x14ac:dyDescent="0.25">
      <c r="L816962" s="472"/>
      <c r="M816962" s="472"/>
    </row>
    <row r="816963" spans="12:13" x14ac:dyDescent="0.25">
      <c r="L816963" s="472"/>
      <c r="M816963" s="472"/>
    </row>
    <row r="817035" spans="12:13" x14ac:dyDescent="0.25">
      <c r="L817035" s="472"/>
      <c r="M817035" s="472"/>
    </row>
    <row r="817036" spans="12:13" x14ac:dyDescent="0.25">
      <c r="L817036" s="472"/>
      <c r="M817036" s="472"/>
    </row>
    <row r="817037" spans="12:13" x14ac:dyDescent="0.25">
      <c r="L817037" s="472"/>
      <c r="M817037" s="472"/>
    </row>
    <row r="817109" spans="12:13" x14ac:dyDescent="0.25">
      <c r="L817109" s="472"/>
      <c r="M817109" s="472"/>
    </row>
    <row r="817110" spans="12:13" x14ac:dyDescent="0.25">
      <c r="L817110" s="472"/>
      <c r="M817110" s="472"/>
    </row>
    <row r="817111" spans="12:13" x14ac:dyDescent="0.25">
      <c r="L817111" s="472"/>
      <c r="M817111" s="472"/>
    </row>
    <row r="817183" spans="12:13" x14ac:dyDescent="0.25">
      <c r="L817183" s="472"/>
      <c r="M817183" s="472"/>
    </row>
    <row r="817184" spans="12:13" x14ac:dyDescent="0.25">
      <c r="L817184" s="472"/>
      <c r="M817184" s="472"/>
    </row>
    <row r="817185" spans="12:13" x14ac:dyDescent="0.25">
      <c r="L817185" s="472"/>
      <c r="M817185" s="472"/>
    </row>
    <row r="817257" spans="12:13" x14ac:dyDescent="0.25">
      <c r="L817257" s="472"/>
      <c r="M817257" s="472"/>
    </row>
    <row r="817258" spans="12:13" x14ac:dyDescent="0.25">
      <c r="L817258" s="472"/>
      <c r="M817258" s="472"/>
    </row>
    <row r="817259" spans="12:13" x14ac:dyDescent="0.25">
      <c r="L817259" s="472"/>
      <c r="M817259" s="472"/>
    </row>
    <row r="817331" spans="12:13" x14ac:dyDescent="0.25">
      <c r="L817331" s="472"/>
      <c r="M817331" s="472"/>
    </row>
    <row r="817332" spans="12:13" x14ac:dyDescent="0.25">
      <c r="L817332" s="472"/>
      <c r="M817332" s="472"/>
    </row>
    <row r="817333" spans="12:13" x14ac:dyDescent="0.25">
      <c r="L817333" s="472"/>
      <c r="M817333" s="472"/>
    </row>
    <row r="817405" spans="12:13" x14ac:dyDescent="0.25">
      <c r="L817405" s="472"/>
      <c r="M817405" s="472"/>
    </row>
    <row r="817406" spans="12:13" x14ac:dyDescent="0.25">
      <c r="L817406" s="472"/>
      <c r="M817406" s="472"/>
    </row>
    <row r="817407" spans="12:13" x14ac:dyDescent="0.25">
      <c r="L817407" s="472"/>
      <c r="M817407" s="472"/>
    </row>
    <row r="817479" spans="12:13" x14ac:dyDescent="0.25">
      <c r="L817479" s="472"/>
      <c r="M817479" s="472"/>
    </row>
    <row r="817480" spans="12:13" x14ac:dyDescent="0.25">
      <c r="L817480" s="472"/>
      <c r="M817480" s="472"/>
    </row>
    <row r="817481" spans="12:13" x14ac:dyDescent="0.25">
      <c r="L817481" s="472"/>
      <c r="M817481" s="472"/>
    </row>
    <row r="817553" spans="12:13" x14ac:dyDescent="0.25">
      <c r="L817553" s="472"/>
      <c r="M817553" s="472"/>
    </row>
    <row r="817554" spans="12:13" x14ac:dyDescent="0.25">
      <c r="L817554" s="472"/>
      <c r="M817554" s="472"/>
    </row>
    <row r="817555" spans="12:13" x14ac:dyDescent="0.25">
      <c r="L817555" s="472"/>
      <c r="M817555" s="472"/>
    </row>
    <row r="817627" spans="12:13" x14ac:dyDescent="0.25">
      <c r="L817627" s="472"/>
      <c r="M817627" s="472"/>
    </row>
    <row r="817628" spans="12:13" x14ac:dyDescent="0.25">
      <c r="L817628" s="472"/>
      <c r="M817628" s="472"/>
    </row>
    <row r="817629" spans="12:13" x14ac:dyDescent="0.25">
      <c r="L817629" s="472"/>
      <c r="M817629" s="472"/>
    </row>
    <row r="817701" spans="12:13" x14ac:dyDescent="0.25">
      <c r="L817701" s="472"/>
      <c r="M817701" s="472"/>
    </row>
    <row r="817702" spans="12:13" x14ac:dyDescent="0.25">
      <c r="L817702" s="472"/>
      <c r="M817702" s="472"/>
    </row>
    <row r="817703" spans="12:13" x14ac:dyDescent="0.25">
      <c r="L817703" s="472"/>
      <c r="M817703" s="472"/>
    </row>
    <row r="817775" spans="12:13" x14ac:dyDescent="0.25">
      <c r="L817775" s="472"/>
      <c r="M817775" s="472"/>
    </row>
    <row r="817776" spans="12:13" x14ac:dyDescent="0.25">
      <c r="L817776" s="472"/>
      <c r="M817776" s="472"/>
    </row>
    <row r="817777" spans="12:13" x14ac:dyDescent="0.25">
      <c r="L817777" s="472"/>
      <c r="M817777" s="472"/>
    </row>
    <row r="817849" spans="12:13" x14ac:dyDescent="0.25">
      <c r="L817849" s="472"/>
      <c r="M817849" s="472"/>
    </row>
    <row r="817850" spans="12:13" x14ac:dyDescent="0.25">
      <c r="L817850" s="472"/>
      <c r="M817850" s="472"/>
    </row>
    <row r="817851" spans="12:13" x14ac:dyDescent="0.25">
      <c r="L817851" s="472"/>
      <c r="M817851" s="472"/>
    </row>
    <row r="817923" spans="12:13" x14ac:dyDescent="0.25">
      <c r="L817923" s="472"/>
      <c r="M817923" s="472"/>
    </row>
    <row r="817924" spans="12:13" x14ac:dyDescent="0.25">
      <c r="L817924" s="472"/>
      <c r="M817924" s="472"/>
    </row>
    <row r="817925" spans="12:13" x14ac:dyDescent="0.25">
      <c r="L817925" s="472"/>
      <c r="M817925" s="472"/>
    </row>
    <row r="817997" spans="12:13" x14ac:dyDescent="0.25">
      <c r="L817997" s="472"/>
      <c r="M817997" s="472"/>
    </row>
    <row r="817998" spans="12:13" x14ac:dyDescent="0.25">
      <c r="L817998" s="472"/>
      <c r="M817998" s="472"/>
    </row>
    <row r="817999" spans="12:13" x14ac:dyDescent="0.25">
      <c r="L817999" s="472"/>
      <c r="M817999" s="472"/>
    </row>
    <row r="818071" spans="12:13" x14ac:dyDescent="0.25">
      <c r="L818071" s="472"/>
      <c r="M818071" s="472"/>
    </row>
    <row r="818072" spans="12:13" x14ac:dyDescent="0.25">
      <c r="L818072" s="472"/>
      <c r="M818072" s="472"/>
    </row>
    <row r="818073" spans="12:13" x14ac:dyDescent="0.25">
      <c r="L818073" s="472"/>
      <c r="M818073" s="472"/>
    </row>
    <row r="818145" spans="12:13" x14ac:dyDescent="0.25">
      <c r="L818145" s="472"/>
      <c r="M818145" s="472"/>
    </row>
    <row r="818146" spans="12:13" x14ac:dyDescent="0.25">
      <c r="L818146" s="472"/>
      <c r="M818146" s="472"/>
    </row>
    <row r="818147" spans="12:13" x14ac:dyDescent="0.25">
      <c r="L818147" s="472"/>
      <c r="M818147" s="472"/>
    </row>
    <row r="818219" spans="12:13" x14ac:dyDescent="0.25">
      <c r="L818219" s="472"/>
      <c r="M818219" s="472"/>
    </row>
    <row r="818220" spans="12:13" x14ac:dyDescent="0.25">
      <c r="L818220" s="472"/>
      <c r="M818220" s="472"/>
    </row>
    <row r="818221" spans="12:13" x14ac:dyDescent="0.25">
      <c r="L818221" s="472"/>
      <c r="M818221" s="472"/>
    </row>
    <row r="818293" spans="12:13" x14ac:dyDescent="0.25">
      <c r="L818293" s="472"/>
      <c r="M818293" s="472"/>
    </row>
    <row r="818294" spans="12:13" x14ac:dyDescent="0.25">
      <c r="L818294" s="472"/>
      <c r="M818294" s="472"/>
    </row>
    <row r="818295" spans="12:13" x14ac:dyDescent="0.25">
      <c r="L818295" s="472"/>
      <c r="M818295" s="472"/>
    </row>
    <row r="818367" spans="12:13" x14ac:dyDescent="0.25">
      <c r="L818367" s="472"/>
      <c r="M818367" s="472"/>
    </row>
    <row r="818368" spans="12:13" x14ac:dyDescent="0.25">
      <c r="L818368" s="472"/>
      <c r="M818368" s="472"/>
    </row>
    <row r="818369" spans="12:13" x14ac:dyDescent="0.25">
      <c r="L818369" s="472"/>
      <c r="M818369" s="472"/>
    </row>
    <row r="818441" spans="12:13" x14ac:dyDescent="0.25">
      <c r="L818441" s="472"/>
      <c r="M818441" s="472"/>
    </row>
    <row r="818442" spans="12:13" x14ac:dyDescent="0.25">
      <c r="L818442" s="472"/>
      <c r="M818442" s="472"/>
    </row>
    <row r="818443" spans="12:13" x14ac:dyDescent="0.25">
      <c r="L818443" s="472"/>
      <c r="M818443" s="472"/>
    </row>
    <row r="818515" spans="12:13" x14ac:dyDescent="0.25">
      <c r="L818515" s="472"/>
      <c r="M818515" s="472"/>
    </row>
    <row r="818516" spans="12:13" x14ac:dyDescent="0.25">
      <c r="L818516" s="472"/>
      <c r="M818516" s="472"/>
    </row>
    <row r="818517" spans="12:13" x14ac:dyDescent="0.25">
      <c r="L818517" s="472"/>
      <c r="M818517" s="472"/>
    </row>
    <row r="818589" spans="12:13" x14ac:dyDescent="0.25">
      <c r="L818589" s="472"/>
      <c r="M818589" s="472"/>
    </row>
    <row r="818590" spans="12:13" x14ac:dyDescent="0.25">
      <c r="L818590" s="472"/>
      <c r="M818590" s="472"/>
    </row>
    <row r="818591" spans="12:13" x14ac:dyDescent="0.25">
      <c r="L818591" s="472"/>
      <c r="M818591" s="472"/>
    </row>
    <row r="818663" spans="12:13" x14ac:dyDescent="0.25">
      <c r="L818663" s="472"/>
      <c r="M818663" s="472"/>
    </row>
    <row r="818664" spans="12:13" x14ac:dyDescent="0.25">
      <c r="L818664" s="472"/>
      <c r="M818664" s="472"/>
    </row>
    <row r="818665" spans="12:13" x14ac:dyDescent="0.25">
      <c r="L818665" s="472"/>
      <c r="M818665" s="472"/>
    </row>
    <row r="818737" spans="12:13" x14ac:dyDescent="0.25">
      <c r="L818737" s="472"/>
      <c r="M818737" s="472"/>
    </row>
    <row r="818738" spans="12:13" x14ac:dyDescent="0.25">
      <c r="L818738" s="472"/>
      <c r="M818738" s="472"/>
    </row>
    <row r="818739" spans="12:13" x14ac:dyDescent="0.25">
      <c r="L818739" s="472"/>
      <c r="M818739" s="472"/>
    </row>
    <row r="818811" spans="12:13" x14ac:dyDescent="0.25">
      <c r="L818811" s="472"/>
      <c r="M818811" s="472"/>
    </row>
    <row r="818812" spans="12:13" x14ac:dyDescent="0.25">
      <c r="L818812" s="472"/>
      <c r="M818812" s="472"/>
    </row>
    <row r="818813" spans="12:13" x14ac:dyDescent="0.25">
      <c r="L818813" s="472"/>
      <c r="M818813" s="472"/>
    </row>
    <row r="818885" spans="12:13" x14ac:dyDescent="0.25">
      <c r="L818885" s="472"/>
      <c r="M818885" s="472"/>
    </row>
    <row r="818886" spans="12:13" x14ac:dyDescent="0.25">
      <c r="L818886" s="472"/>
      <c r="M818886" s="472"/>
    </row>
    <row r="818887" spans="12:13" x14ac:dyDescent="0.25">
      <c r="L818887" s="472"/>
      <c r="M818887" s="472"/>
    </row>
    <row r="818959" spans="12:13" x14ac:dyDescent="0.25">
      <c r="L818959" s="472"/>
      <c r="M818959" s="472"/>
    </row>
    <row r="818960" spans="12:13" x14ac:dyDescent="0.25">
      <c r="L818960" s="472"/>
      <c r="M818960" s="472"/>
    </row>
    <row r="818961" spans="12:13" x14ac:dyDescent="0.25">
      <c r="L818961" s="472"/>
      <c r="M818961" s="472"/>
    </row>
    <row r="819033" spans="12:13" x14ac:dyDescent="0.25">
      <c r="L819033" s="472"/>
      <c r="M819033" s="472"/>
    </row>
    <row r="819034" spans="12:13" x14ac:dyDescent="0.25">
      <c r="L819034" s="472"/>
      <c r="M819034" s="472"/>
    </row>
    <row r="819035" spans="12:13" x14ac:dyDescent="0.25">
      <c r="L819035" s="472"/>
      <c r="M819035" s="472"/>
    </row>
    <row r="819107" spans="12:13" x14ac:dyDescent="0.25">
      <c r="L819107" s="472"/>
      <c r="M819107" s="472"/>
    </row>
    <row r="819108" spans="12:13" x14ac:dyDescent="0.25">
      <c r="L819108" s="472"/>
      <c r="M819108" s="472"/>
    </row>
    <row r="819109" spans="12:13" x14ac:dyDescent="0.25">
      <c r="L819109" s="472"/>
      <c r="M819109" s="472"/>
    </row>
    <row r="819181" spans="12:13" x14ac:dyDescent="0.25">
      <c r="L819181" s="472"/>
      <c r="M819181" s="472"/>
    </row>
    <row r="819182" spans="12:13" x14ac:dyDescent="0.25">
      <c r="L819182" s="472"/>
      <c r="M819182" s="472"/>
    </row>
    <row r="819183" spans="12:13" x14ac:dyDescent="0.25">
      <c r="L819183" s="472"/>
      <c r="M819183" s="472"/>
    </row>
    <row r="819255" spans="12:13" x14ac:dyDescent="0.25">
      <c r="L819255" s="472"/>
      <c r="M819255" s="472"/>
    </row>
    <row r="819256" spans="12:13" x14ac:dyDescent="0.25">
      <c r="L819256" s="472"/>
      <c r="M819256" s="472"/>
    </row>
    <row r="819257" spans="12:13" x14ac:dyDescent="0.25">
      <c r="L819257" s="472"/>
      <c r="M819257" s="472"/>
    </row>
    <row r="819329" spans="12:13" x14ac:dyDescent="0.25">
      <c r="L819329" s="472"/>
      <c r="M819329" s="472"/>
    </row>
    <row r="819330" spans="12:13" x14ac:dyDescent="0.25">
      <c r="L819330" s="472"/>
      <c r="M819330" s="472"/>
    </row>
    <row r="819331" spans="12:13" x14ac:dyDescent="0.25">
      <c r="L819331" s="472"/>
      <c r="M819331" s="472"/>
    </row>
    <row r="819403" spans="12:13" x14ac:dyDescent="0.25">
      <c r="L819403" s="472"/>
      <c r="M819403" s="472"/>
    </row>
    <row r="819404" spans="12:13" x14ac:dyDescent="0.25">
      <c r="L819404" s="472"/>
      <c r="M819404" s="472"/>
    </row>
    <row r="819405" spans="12:13" x14ac:dyDescent="0.25">
      <c r="L819405" s="472"/>
      <c r="M819405" s="472"/>
    </row>
    <row r="819477" spans="12:13" x14ac:dyDescent="0.25">
      <c r="L819477" s="472"/>
      <c r="M819477" s="472"/>
    </row>
    <row r="819478" spans="12:13" x14ac:dyDescent="0.25">
      <c r="L819478" s="472"/>
      <c r="M819478" s="472"/>
    </row>
    <row r="819479" spans="12:13" x14ac:dyDescent="0.25">
      <c r="L819479" s="472"/>
      <c r="M819479" s="472"/>
    </row>
    <row r="819551" spans="12:13" x14ac:dyDescent="0.25">
      <c r="L819551" s="472"/>
      <c r="M819551" s="472"/>
    </row>
    <row r="819552" spans="12:13" x14ac:dyDescent="0.25">
      <c r="L819552" s="472"/>
      <c r="M819552" s="472"/>
    </row>
    <row r="819553" spans="12:13" x14ac:dyDescent="0.25">
      <c r="L819553" s="472"/>
      <c r="M819553" s="472"/>
    </row>
    <row r="819625" spans="12:13" x14ac:dyDescent="0.25">
      <c r="L819625" s="472"/>
      <c r="M819625" s="472"/>
    </row>
    <row r="819626" spans="12:13" x14ac:dyDescent="0.25">
      <c r="L819626" s="472"/>
      <c r="M819626" s="472"/>
    </row>
    <row r="819627" spans="12:13" x14ac:dyDescent="0.25">
      <c r="L819627" s="472"/>
      <c r="M819627" s="472"/>
    </row>
    <row r="819699" spans="12:13" x14ac:dyDescent="0.25">
      <c r="L819699" s="472"/>
      <c r="M819699" s="472"/>
    </row>
    <row r="819700" spans="12:13" x14ac:dyDescent="0.25">
      <c r="L819700" s="472"/>
      <c r="M819700" s="472"/>
    </row>
    <row r="819701" spans="12:13" x14ac:dyDescent="0.25">
      <c r="L819701" s="472"/>
      <c r="M819701" s="472"/>
    </row>
    <row r="819773" spans="12:13" x14ac:dyDescent="0.25">
      <c r="L819773" s="472"/>
      <c r="M819773" s="472"/>
    </row>
    <row r="819774" spans="12:13" x14ac:dyDescent="0.25">
      <c r="L819774" s="472"/>
      <c r="M819774" s="472"/>
    </row>
    <row r="819775" spans="12:13" x14ac:dyDescent="0.25">
      <c r="L819775" s="472"/>
      <c r="M819775" s="472"/>
    </row>
    <row r="819847" spans="12:13" x14ac:dyDescent="0.25">
      <c r="L819847" s="472"/>
      <c r="M819847" s="472"/>
    </row>
    <row r="819848" spans="12:13" x14ac:dyDescent="0.25">
      <c r="L819848" s="472"/>
      <c r="M819848" s="472"/>
    </row>
    <row r="819849" spans="12:13" x14ac:dyDescent="0.25">
      <c r="L819849" s="472"/>
      <c r="M819849" s="472"/>
    </row>
    <row r="819921" spans="12:13" x14ac:dyDescent="0.25">
      <c r="L819921" s="472"/>
      <c r="M819921" s="472"/>
    </row>
    <row r="819922" spans="12:13" x14ac:dyDescent="0.25">
      <c r="L819922" s="472"/>
      <c r="M819922" s="472"/>
    </row>
    <row r="819923" spans="12:13" x14ac:dyDescent="0.25">
      <c r="L819923" s="472"/>
      <c r="M819923" s="472"/>
    </row>
    <row r="819995" spans="12:13" x14ac:dyDescent="0.25">
      <c r="L819995" s="472"/>
      <c r="M819995" s="472"/>
    </row>
    <row r="819996" spans="12:13" x14ac:dyDescent="0.25">
      <c r="L819996" s="472"/>
      <c r="M819996" s="472"/>
    </row>
    <row r="819997" spans="12:13" x14ac:dyDescent="0.25">
      <c r="L819997" s="472"/>
      <c r="M819997" s="472"/>
    </row>
    <row r="820069" spans="12:13" x14ac:dyDescent="0.25">
      <c r="L820069" s="472"/>
      <c r="M820069" s="472"/>
    </row>
    <row r="820070" spans="12:13" x14ac:dyDescent="0.25">
      <c r="L820070" s="472"/>
      <c r="M820070" s="472"/>
    </row>
    <row r="820071" spans="12:13" x14ac:dyDescent="0.25">
      <c r="L820071" s="472"/>
      <c r="M820071" s="472"/>
    </row>
    <row r="820143" spans="12:13" x14ac:dyDescent="0.25">
      <c r="L820143" s="472"/>
      <c r="M820143" s="472"/>
    </row>
    <row r="820144" spans="12:13" x14ac:dyDescent="0.25">
      <c r="L820144" s="472"/>
      <c r="M820144" s="472"/>
    </row>
    <row r="820145" spans="12:13" x14ac:dyDescent="0.25">
      <c r="L820145" s="472"/>
      <c r="M820145" s="472"/>
    </row>
    <row r="820217" spans="12:13" x14ac:dyDescent="0.25">
      <c r="L820217" s="472"/>
      <c r="M820217" s="472"/>
    </row>
    <row r="820218" spans="12:13" x14ac:dyDescent="0.25">
      <c r="L820218" s="472"/>
      <c r="M820218" s="472"/>
    </row>
    <row r="820219" spans="12:13" x14ac:dyDescent="0.25">
      <c r="L820219" s="472"/>
      <c r="M820219" s="472"/>
    </row>
    <row r="820291" spans="12:13" x14ac:dyDescent="0.25">
      <c r="L820291" s="472"/>
      <c r="M820291" s="472"/>
    </row>
    <row r="820292" spans="12:13" x14ac:dyDescent="0.25">
      <c r="L820292" s="472"/>
      <c r="M820292" s="472"/>
    </row>
    <row r="820293" spans="12:13" x14ac:dyDescent="0.25">
      <c r="L820293" s="472"/>
      <c r="M820293" s="472"/>
    </row>
    <row r="820365" spans="12:13" x14ac:dyDescent="0.25">
      <c r="L820365" s="472"/>
      <c r="M820365" s="472"/>
    </row>
    <row r="820366" spans="12:13" x14ac:dyDescent="0.25">
      <c r="L820366" s="472"/>
      <c r="M820366" s="472"/>
    </row>
    <row r="820367" spans="12:13" x14ac:dyDescent="0.25">
      <c r="L820367" s="472"/>
      <c r="M820367" s="472"/>
    </row>
    <row r="820439" spans="12:13" x14ac:dyDescent="0.25">
      <c r="L820439" s="472"/>
      <c r="M820439" s="472"/>
    </row>
    <row r="820440" spans="12:13" x14ac:dyDescent="0.25">
      <c r="L820440" s="472"/>
      <c r="M820440" s="472"/>
    </row>
    <row r="820441" spans="12:13" x14ac:dyDescent="0.25">
      <c r="L820441" s="472"/>
      <c r="M820441" s="472"/>
    </row>
    <row r="820513" spans="12:13" x14ac:dyDescent="0.25">
      <c r="L820513" s="472"/>
      <c r="M820513" s="472"/>
    </row>
    <row r="820514" spans="12:13" x14ac:dyDescent="0.25">
      <c r="L820514" s="472"/>
      <c r="M820514" s="472"/>
    </row>
    <row r="820515" spans="12:13" x14ac:dyDescent="0.25">
      <c r="L820515" s="472"/>
      <c r="M820515" s="472"/>
    </row>
    <row r="820587" spans="12:13" x14ac:dyDescent="0.25">
      <c r="L820587" s="472"/>
      <c r="M820587" s="472"/>
    </row>
    <row r="820588" spans="12:13" x14ac:dyDescent="0.25">
      <c r="L820588" s="472"/>
      <c r="M820588" s="472"/>
    </row>
    <row r="820589" spans="12:13" x14ac:dyDescent="0.25">
      <c r="L820589" s="472"/>
      <c r="M820589" s="472"/>
    </row>
    <row r="820661" spans="12:13" x14ac:dyDescent="0.25">
      <c r="L820661" s="472"/>
      <c r="M820661" s="472"/>
    </row>
    <row r="820662" spans="12:13" x14ac:dyDescent="0.25">
      <c r="L820662" s="472"/>
      <c r="M820662" s="472"/>
    </row>
    <row r="820663" spans="12:13" x14ac:dyDescent="0.25">
      <c r="L820663" s="472"/>
      <c r="M820663" s="472"/>
    </row>
    <row r="820735" spans="12:13" x14ac:dyDescent="0.25">
      <c r="L820735" s="472"/>
      <c r="M820735" s="472"/>
    </row>
    <row r="820736" spans="12:13" x14ac:dyDescent="0.25">
      <c r="L820736" s="472"/>
      <c r="M820736" s="472"/>
    </row>
    <row r="820737" spans="12:13" x14ac:dyDescent="0.25">
      <c r="L820737" s="472"/>
      <c r="M820737" s="472"/>
    </row>
    <row r="820809" spans="12:13" x14ac:dyDescent="0.25">
      <c r="L820809" s="472"/>
      <c r="M820809" s="472"/>
    </row>
    <row r="820810" spans="12:13" x14ac:dyDescent="0.25">
      <c r="L820810" s="472"/>
      <c r="M820810" s="472"/>
    </row>
    <row r="820811" spans="12:13" x14ac:dyDescent="0.25">
      <c r="L820811" s="472"/>
      <c r="M820811" s="472"/>
    </row>
    <row r="820883" spans="12:13" x14ac:dyDescent="0.25">
      <c r="L820883" s="472"/>
      <c r="M820883" s="472"/>
    </row>
    <row r="820884" spans="12:13" x14ac:dyDescent="0.25">
      <c r="L820884" s="472"/>
      <c r="M820884" s="472"/>
    </row>
    <row r="820885" spans="12:13" x14ac:dyDescent="0.25">
      <c r="L820885" s="472"/>
      <c r="M820885" s="472"/>
    </row>
    <row r="820957" spans="12:13" x14ac:dyDescent="0.25">
      <c r="L820957" s="472"/>
      <c r="M820957" s="472"/>
    </row>
    <row r="820958" spans="12:13" x14ac:dyDescent="0.25">
      <c r="L820958" s="472"/>
      <c r="M820958" s="472"/>
    </row>
    <row r="820959" spans="12:13" x14ac:dyDescent="0.25">
      <c r="L820959" s="472"/>
      <c r="M820959" s="472"/>
    </row>
    <row r="821031" spans="12:13" x14ac:dyDescent="0.25">
      <c r="L821031" s="472"/>
      <c r="M821031" s="472"/>
    </row>
    <row r="821032" spans="12:13" x14ac:dyDescent="0.25">
      <c r="L821032" s="472"/>
      <c r="M821032" s="472"/>
    </row>
    <row r="821033" spans="12:13" x14ac:dyDescent="0.25">
      <c r="L821033" s="472"/>
      <c r="M821033" s="472"/>
    </row>
    <row r="821105" spans="12:13" x14ac:dyDescent="0.25">
      <c r="L821105" s="472"/>
      <c r="M821105" s="472"/>
    </row>
    <row r="821106" spans="12:13" x14ac:dyDescent="0.25">
      <c r="L821106" s="472"/>
      <c r="M821106" s="472"/>
    </row>
    <row r="821107" spans="12:13" x14ac:dyDescent="0.25">
      <c r="L821107" s="472"/>
      <c r="M821107" s="472"/>
    </row>
    <row r="821179" spans="12:13" x14ac:dyDescent="0.25">
      <c r="L821179" s="472"/>
      <c r="M821179" s="472"/>
    </row>
    <row r="821180" spans="12:13" x14ac:dyDescent="0.25">
      <c r="L821180" s="472"/>
      <c r="M821180" s="472"/>
    </row>
    <row r="821181" spans="12:13" x14ac:dyDescent="0.25">
      <c r="L821181" s="472"/>
      <c r="M821181" s="472"/>
    </row>
    <row r="821253" spans="12:13" x14ac:dyDescent="0.25">
      <c r="L821253" s="472"/>
      <c r="M821253" s="472"/>
    </row>
    <row r="821254" spans="12:13" x14ac:dyDescent="0.25">
      <c r="L821254" s="472"/>
      <c r="M821254" s="472"/>
    </row>
    <row r="821255" spans="12:13" x14ac:dyDescent="0.25">
      <c r="L821255" s="472"/>
      <c r="M821255" s="472"/>
    </row>
    <row r="821327" spans="12:13" x14ac:dyDescent="0.25">
      <c r="L821327" s="472"/>
      <c r="M821327" s="472"/>
    </row>
    <row r="821328" spans="12:13" x14ac:dyDescent="0.25">
      <c r="L821328" s="472"/>
      <c r="M821328" s="472"/>
    </row>
    <row r="821329" spans="12:13" x14ac:dyDescent="0.25">
      <c r="L821329" s="472"/>
      <c r="M821329" s="472"/>
    </row>
    <row r="821401" spans="12:13" x14ac:dyDescent="0.25">
      <c r="L821401" s="472"/>
      <c r="M821401" s="472"/>
    </row>
    <row r="821402" spans="12:13" x14ac:dyDescent="0.25">
      <c r="L821402" s="472"/>
      <c r="M821402" s="472"/>
    </row>
    <row r="821403" spans="12:13" x14ac:dyDescent="0.25">
      <c r="L821403" s="472"/>
      <c r="M821403" s="472"/>
    </row>
    <row r="821475" spans="12:13" x14ac:dyDescent="0.25">
      <c r="L821475" s="472"/>
      <c r="M821475" s="472"/>
    </row>
    <row r="821476" spans="12:13" x14ac:dyDescent="0.25">
      <c r="L821476" s="472"/>
      <c r="M821476" s="472"/>
    </row>
    <row r="821477" spans="12:13" x14ac:dyDescent="0.25">
      <c r="L821477" s="472"/>
      <c r="M821477" s="472"/>
    </row>
    <row r="821549" spans="12:13" x14ac:dyDescent="0.25">
      <c r="L821549" s="472"/>
      <c r="M821549" s="472"/>
    </row>
    <row r="821550" spans="12:13" x14ac:dyDescent="0.25">
      <c r="L821550" s="472"/>
      <c r="M821550" s="472"/>
    </row>
    <row r="821551" spans="12:13" x14ac:dyDescent="0.25">
      <c r="L821551" s="472"/>
      <c r="M821551" s="472"/>
    </row>
    <row r="821623" spans="12:13" x14ac:dyDescent="0.25">
      <c r="L821623" s="472"/>
      <c r="M821623" s="472"/>
    </row>
    <row r="821624" spans="12:13" x14ac:dyDescent="0.25">
      <c r="L821624" s="472"/>
      <c r="M821624" s="472"/>
    </row>
    <row r="821625" spans="12:13" x14ac:dyDescent="0.25">
      <c r="L821625" s="472"/>
      <c r="M821625" s="472"/>
    </row>
    <row r="821697" spans="12:13" x14ac:dyDescent="0.25">
      <c r="L821697" s="472"/>
      <c r="M821697" s="472"/>
    </row>
    <row r="821698" spans="12:13" x14ac:dyDescent="0.25">
      <c r="L821698" s="472"/>
      <c r="M821698" s="472"/>
    </row>
    <row r="821699" spans="12:13" x14ac:dyDescent="0.25">
      <c r="L821699" s="472"/>
      <c r="M821699" s="472"/>
    </row>
    <row r="821771" spans="12:13" x14ac:dyDescent="0.25">
      <c r="L821771" s="472"/>
      <c r="M821771" s="472"/>
    </row>
    <row r="821772" spans="12:13" x14ac:dyDescent="0.25">
      <c r="L821772" s="472"/>
      <c r="M821772" s="472"/>
    </row>
    <row r="821773" spans="12:13" x14ac:dyDescent="0.25">
      <c r="L821773" s="472"/>
      <c r="M821773" s="472"/>
    </row>
    <row r="821845" spans="12:13" x14ac:dyDescent="0.25">
      <c r="L821845" s="472"/>
      <c r="M821845" s="472"/>
    </row>
    <row r="821846" spans="12:13" x14ac:dyDescent="0.25">
      <c r="L821846" s="472"/>
      <c r="M821846" s="472"/>
    </row>
    <row r="821847" spans="12:13" x14ac:dyDescent="0.25">
      <c r="L821847" s="472"/>
      <c r="M821847" s="472"/>
    </row>
    <row r="821919" spans="12:13" x14ac:dyDescent="0.25">
      <c r="L821919" s="472"/>
      <c r="M821919" s="472"/>
    </row>
    <row r="821920" spans="12:13" x14ac:dyDescent="0.25">
      <c r="L821920" s="472"/>
      <c r="M821920" s="472"/>
    </row>
    <row r="821921" spans="12:13" x14ac:dyDescent="0.25">
      <c r="L821921" s="472"/>
      <c r="M821921" s="472"/>
    </row>
    <row r="821993" spans="12:13" x14ac:dyDescent="0.25">
      <c r="L821993" s="472"/>
      <c r="M821993" s="472"/>
    </row>
    <row r="821994" spans="12:13" x14ac:dyDescent="0.25">
      <c r="L821994" s="472"/>
      <c r="M821994" s="472"/>
    </row>
    <row r="821995" spans="12:13" x14ac:dyDescent="0.25">
      <c r="L821995" s="472"/>
      <c r="M821995" s="472"/>
    </row>
    <row r="822067" spans="12:13" x14ac:dyDescent="0.25">
      <c r="L822067" s="472"/>
      <c r="M822067" s="472"/>
    </row>
    <row r="822068" spans="12:13" x14ac:dyDescent="0.25">
      <c r="L822068" s="472"/>
      <c r="M822068" s="472"/>
    </row>
    <row r="822069" spans="12:13" x14ac:dyDescent="0.25">
      <c r="L822069" s="472"/>
      <c r="M822069" s="472"/>
    </row>
    <row r="822141" spans="12:13" x14ac:dyDescent="0.25">
      <c r="L822141" s="472"/>
      <c r="M822141" s="472"/>
    </row>
    <row r="822142" spans="12:13" x14ac:dyDescent="0.25">
      <c r="L822142" s="472"/>
      <c r="M822142" s="472"/>
    </row>
    <row r="822143" spans="12:13" x14ac:dyDescent="0.25">
      <c r="L822143" s="472"/>
      <c r="M822143" s="472"/>
    </row>
    <row r="822215" spans="12:13" x14ac:dyDescent="0.25">
      <c r="L822215" s="472"/>
      <c r="M822215" s="472"/>
    </row>
    <row r="822216" spans="12:13" x14ac:dyDescent="0.25">
      <c r="L822216" s="472"/>
      <c r="M822216" s="472"/>
    </row>
    <row r="822217" spans="12:13" x14ac:dyDescent="0.25">
      <c r="L822217" s="472"/>
      <c r="M822217" s="472"/>
    </row>
    <row r="822289" spans="12:13" x14ac:dyDescent="0.25">
      <c r="L822289" s="472"/>
      <c r="M822289" s="472"/>
    </row>
    <row r="822290" spans="12:13" x14ac:dyDescent="0.25">
      <c r="L822290" s="472"/>
      <c r="M822290" s="472"/>
    </row>
    <row r="822291" spans="12:13" x14ac:dyDescent="0.25">
      <c r="L822291" s="472"/>
      <c r="M822291" s="472"/>
    </row>
    <row r="822363" spans="12:13" x14ac:dyDescent="0.25">
      <c r="L822363" s="472"/>
      <c r="M822363" s="472"/>
    </row>
    <row r="822364" spans="12:13" x14ac:dyDescent="0.25">
      <c r="L822364" s="472"/>
      <c r="M822364" s="472"/>
    </row>
    <row r="822365" spans="12:13" x14ac:dyDescent="0.25">
      <c r="L822365" s="472"/>
      <c r="M822365" s="472"/>
    </row>
    <row r="822437" spans="12:13" x14ac:dyDescent="0.25">
      <c r="L822437" s="472"/>
      <c r="M822437" s="472"/>
    </row>
    <row r="822438" spans="12:13" x14ac:dyDescent="0.25">
      <c r="L822438" s="472"/>
      <c r="M822438" s="472"/>
    </row>
    <row r="822439" spans="12:13" x14ac:dyDescent="0.25">
      <c r="L822439" s="472"/>
      <c r="M822439" s="472"/>
    </row>
    <row r="822511" spans="12:13" x14ac:dyDescent="0.25">
      <c r="L822511" s="472"/>
      <c r="M822511" s="472"/>
    </row>
    <row r="822512" spans="12:13" x14ac:dyDescent="0.25">
      <c r="L822512" s="472"/>
      <c r="M822512" s="472"/>
    </row>
    <row r="822513" spans="12:13" x14ac:dyDescent="0.25">
      <c r="L822513" s="472"/>
      <c r="M822513" s="472"/>
    </row>
    <row r="822585" spans="12:13" x14ac:dyDescent="0.25">
      <c r="L822585" s="472"/>
      <c r="M822585" s="472"/>
    </row>
    <row r="822586" spans="12:13" x14ac:dyDescent="0.25">
      <c r="L822586" s="472"/>
      <c r="M822586" s="472"/>
    </row>
    <row r="822587" spans="12:13" x14ac:dyDescent="0.25">
      <c r="L822587" s="472"/>
      <c r="M822587" s="472"/>
    </row>
    <row r="822659" spans="12:13" x14ac:dyDescent="0.25">
      <c r="L822659" s="472"/>
      <c r="M822659" s="472"/>
    </row>
    <row r="822660" spans="12:13" x14ac:dyDescent="0.25">
      <c r="L822660" s="472"/>
      <c r="M822660" s="472"/>
    </row>
    <row r="822661" spans="12:13" x14ac:dyDescent="0.25">
      <c r="L822661" s="472"/>
      <c r="M822661" s="472"/>
    </row>
    <row r="822733" spans="12:13" x14ac:dyDescent="0.25">
      <c r="L822733" s="472"/>
      <c r="M822733" s="472"/>
    </row>
    <row r="822734" spans="12:13" x14ac:dyDescent="0.25">
      <c r="L822734" s="472"/>
      <c r="M822734" s="472"/>
    </row>
    <row r="822735" spans="12:13" x14ac:dyDescent="0.25">
      <c r="L822735" s="472"/>
      <c r="M822735" s="472"/>
    </row>
    <row r="822807" spans="12:13" x14ac:dyDescent="0.25">
      <c r="L822807" s="472"/>
      <c r="M822807" s="472"/>
    </row>
    <row r="822808" spans="12:13" x14ac:dyDescent="0.25">
      <c r="L822808" s="472"/>
      <c r="M822808" s="472"/>
    </row>
    <row r="822809" spans="12:13" x14ac:dyDescent="0.25">
      <c r="L822809" s="472"/>
      <c r="M822809" s="472"/>
    </row>
    <row r="822881" spans="12:13" x14ac:dyDescent="0.25">
      <c r="L822881" s="472"/>
      <c r="M822881" s="472"/>
    </row>
    <row r="822882" spans="12:13" x14ac:dyDescent="0.25">
      <c r="L822882" s="472"/>
      <c r="M822882" s="472"/>
    </row>
    <row r="822883" spans="12:13" x14ac:dyDescent="0.25">
      <c r="L822883" s="472"/>
      <c r="M822883" s="472"/>
    </row>
    <row r="822955" spans="12:13" x14ac:dyDescent="0.25">
      <c r="L822955" s="472"/>
      <c r="M822955" s="472"/>
    </row>
    <row r="822956" spans="12:13" x14ac:dyDescent="0.25">
      <c r="L822956" s="472"/>
      <c r="M822956" s="472"/>
    </row>
    <row r="822957" spans="12:13" x14ac:dyDescent="0.25">
      <c r="L822957" s="472"/>
      <c r="M822957" s="472"/>
    </row>
    <row r="823029" spans="12:13" x14ac:dyDescent="0.25">
      <c r="L823029" s="472"/>
      <c r="M823029" s="472"/>
    </row>
    <row r="823030" spans="12:13" x14ac:dyDescent="0.25">
      <c r="L823030" s="472"/>
      <c r="M823030" s="472"/>
    </row>
    <row r="823031" spans="12:13" x14ac:dyDescent="0.25">
      <c r="L823031" s="472"/>
      <c r="M823031" s="472"/>
    </row>
    <row r="823103" spans="12:13" x14ac:dyDescent="0.25">
      <c r="L823103" s="472"/>
      <c r="M823103" s="472"/>
    </row>
    <row r="823104" spans="12:13" x14ac:dyDescent="0.25">
      <c r="L823104" s="472"/>
      <c r="M823104" s="472"/>
    </row>
    <row r="823105" spans="12:13" x14ac:dyDescent="0.25">
      <c r="L823105" s="472"/>
      <c r="M823105" s="472"/>
    </row>
    <row r="823177" spans="12:13" x14ac:dyDescent="0.25">
      <c r="L823177" s="472"/>
      <c r="M823177" s="472"/>
    </row>
    <row r="823178" spans="12:13" x14ac:dyDescent="0.25">
      <c r="L823178" s="472"/>
      <c r="M823178" s="472"/>
    </row>
    <row r="823179" spans="12:13" x14ac:dyDescent="0.25">
      <c r="L823179" s="472"/>
      <c r="M823179" s="472"/>
    </row>
    <row r="823251" spans="12:13" x14ac:dyDescent="0.25">
      <c r="L823251" s="472"/>
      <c r="M823251" s="472"/>
    </row>
    <row r="823252" spans="12:13" x14ac:dyDescent="0.25">
      <c r="L823252" s="472"/>
      <c r="M823252" s="472"/>
    </row>
    <row r="823253" spans="12:13" x14ac:dyDescent="0.25">
      <c r="L823253" s="472"/>
      <c r="M823253" s="472"/>
    </row>
    <row r="823325" spans="12:13" x14ac:dyDescent="0.25">
      <c r="L823325" s="472"/>
      <c r="M823325" s="472"/>
    </row>
    <row r="823326" spans="12:13" x14ac:dyDescent="0.25">
      <c r="L823326" s="472"/>
      <c r="M823326" s="472"/>
    </row>
    <row r="823327" spans="12:13" x14ac:dyDescent="0.25">
      <c r="L823327" s="472"/>
      <c r="M823327" s="472"/>
    </row>
    <row r="823399" spans="12:13" x14ac:dyDescent="0.25">
      <c r="L823399" s="472"/>
      <c r="M823399" s="472"/>
    </row>
    <row r="823400" spans="12:13" x14ac:dyDescent="0.25">
      <c r="L823400" s="472"/>
      <c r="M823400" s="472"/>
    </row>
    <row r="823401" spans="12:13" x14ac:dyDescent="0.25">
      <c r="L823401" s="472"/>
      <c r="M823401" s="472"/>
    </row>
    <row r="823473" spans="12:13" x14ac:dyDescent="0.25">
      <c r="L823473" s="472"/>
      <c r="M823473" s="472"/>
    </row>
    <row r="823474" spans="12:13" x14ac:dyDescent="0.25">
      <c r="L823474" s="472"/>
      <c r="M823474" s="472"/>
    </row>
    <row r="823475" spans="12:13" x14ac:dyDescent="0.25">
      <c r="L823475" s="472"/>
      <c r="M823475" s="472"/>
    </row>
    <row r="823547" spans="12:13" x14ac:dyDescent="0.25">
      <c r="L823547" s="472"/>
      <c r="M823547" s="472"/>
    </row>
    <row r="823548" spans="12:13" x14ac:dyDescent="0.25">
      <c r="L823548" s="472"/>
      <c r="M823548" s="472"/>
    </row>
    <row r="823549" spans="12:13" x14ac:dyDescent="0.25">
      <c r="L823549" s="472"/>
      <c r="M823549" s="472"/>
    </row>
    <row r="823621" spans="12:13" x14ac:dyDescent="0.25">
      <c r="L823621" s="472"/>
      <c r="M823621" s="472"/>
    </row>
    <row r="823622" spans="12:13" x14ac:dyDescent="0.25">
      <c r="L823622" s="472"/>
      <c r="M823622" s="472"/>
    </row>
    <row r="823623" spans="12:13" x14ac:dyDescent="0.25">
      <c r="L823623" s="472"/>
      <c r="M823623" s="472"/>
    </row>
    <row r="823695" spans="12:13" x14ac:dyDescent="0.25">
      <c r="L823695" s="472"/>
      <c r="M823695" s="472"/>
    </row>
    <row r="823696" spans="12:13" x14ac:dyDescent="0.25">
      <c r="L823696" s="472"/>
      <c r="M823696" s="472"/>
    </row>
    <row r="823697" spans="12:13" x14ac:dyDescent="0.25">
      <c r="L823697" s="472"/>
      <c r="M823697" s="472"/>
    </row>
    <row r="823769" spans="12:13" x14ac:dyDescent="0.25">
      <c r="L823769" s="472"/>
      <c r="M823769" s="472"/>
    </row>
    <row r="823770" spans="12:13" x14ac:dyDescent="0.25">
      <c r="L823770" s="472"/>
      <c r="M823770" s="472"/>
    </row>
    <row r="823771" spans="12:13" x14ac:dyDescent="0.25">
      <c r="L823771" s="472"/>
      <c r="M823771" s="472"/>
    </row>
    <row r="823843" spans="12:13" x14ac:dyDescent="0.25">
      <c r="L823843" s="472"/>
      <c r="M823843" s="472"/>
    </row>
    <row r="823844" spans="12:13" x14ac:dyDescent="0.25">
      <c r="L823844" s="472"/>
      <c r="M823844" s="472"/>
    </row>
    <row r="823845" spans="12:13" x14ac:dyDescent="0.25">
      <c r="L823845" s="472"/>
      <c r="M823845" s="472"/>
    </row>
    <row r="823917" spans="12:13" x14ac:dyDescent="0.25">
      <c r="L823917" s="472"/>
      <c r="M823917" s="472"/>
    </row>
    <row r="823918" spans="12:13" x14ac:dyDescent="0.25">
      <c r="L823918" s="472"/>
      <c r="M823918" s="472"/>
    </row>
    <row r="823919" spans="12:13" x14ac:dyDescent="0.25">
      <c r="L823919" s="472"/>
      <c r="M823919" s="472"/>
    </row>
    <row r="823991" spans="12:13" x14ac:dyDescent="0.25">
      <c r="L823991" s="472"/>
      <c r="M823991" s="472"/>
    </row>
    <row r="823992" spans="12:13" x14ac:dyDescent="0.25">
      <c r="L823992" s="472"/>
      <c r="M823992" s="472"/>
    </row>
    <row r="823993" spans="12:13" x14ac:dyDescent="0.25">
      <c r="L823993" s="472"/>
      <c r="M823993" s="472"/>
    </row>
    <row r="824065" spans="12:13" x14ac:dyDescent="0.25">
      <c r="L824065" s="472"/>
      <c r="M824065" s="472"/>
    </row>
    <row r="824066" spans="12:13" x14ac:dyDescent="0.25">
      <c r="L824066" s="472"/>
      <c r="M824066" s="472"/>
    </row>
    <row r="824067" spans="12:13" x14ac:dyDescent="0.25">
      <c r="L824067" s="472"/>
      <c r="M824067" s="472"/>
    </row>
    <row r="824139" spans="12:13" x14ac:dyDescent="0.25">
      <c r="L824139" s="472"/>
      <c r="M824139" s="472"/>
    </row>
    <row r="824140" spans="12:13" x14ac:dyDescent="0.25">
      <c r="L824140" s="472"/>
      <c r="M824140" s="472"/>
    </row>
    <row r="824141" spans="12:13" x14ac:dyDescent="0.25">
      <c r="L824141" s="472"/>
      <c r="M824141" s="472"/>
    </row>
    <row r="824213" spans="12:13" x14ac:dyDescent="0.25">
      <c r="L824213" s="472"/>
      <c r="M824213" s="472"/>
    </row>
    <row r="824214" spans="12:13" x14ac:dyDescent="0.25">
      <c r="L824214" s="472"/>
      <c r="M824214" s="472"/>
    </row>
    <row r="824215" spans="12:13" x14ac:dyDescent="0.25">
      <c r="L824215" s="472"/>
      <c r="M824215" s="472"/>
    </row>
    <row r="824287" spans="12:13" x14ac:dyDescent="0.25">
      <c r="L824287" s="472"/>
      <c r="M824287" s="472"/>
    </row>
    <row r="824288" spans="12:13" x14ac:dyDescent="0.25">
      <c r="L824288" s="472"/>
      <c r="M824288" s="472"/>
    </row>
    <row r="824289" spans="12:13" x14ac:dyDescent="0.25">
      <c r="L824289" s="472"/>
      <c r="M824289" s="472"/>
    </row>
    <row r="824361" spans="12:13" x14ac:dyDescent="0.25">
      <c r="L824361" s="472"/>
      <c r="M824361" s="472"/>
    </row>
    <row r="824362" spans="12:13" x14ac:dyDescent="0.25">
      <c r="L824362" s="472"/>
      <c r="M824362" s="472"/>
    </row>
    <row r="824363" spans="12:13" x14ac:dyDescent="0.25">
      <c r="L824363" s="472"/>
      <c r="M824363" s="472"/>
    </row>
    <row r="824435" spans="12:13" x14ac:dyDescent="0.25">
      <c r="L824435" s="472"/>
      <c r="M824435" s="472"/>
    </row>
    <row r="824436" spans="12:13" x14ac:dyDescent="0.25">
      <c r="L824436" s="472"/>
      <c r="M824436" s="472"/>
    </row>
    <row r="824437" spans="12:13" x14ac:dyDescent="0.25">
      <c r="L824437" s="472"/>
      <c r="M824437" s="472"/>
    </row>
    <row r="824509" spans="12:13" x14ac:dyDescent="0.25">
      <c r="L824509" s="472"/>
      <c r="M824509" s="472"/>
    </row>
    <row r="824510" spans="12:13" x14ac:dyDescent="0.25">
      <c r="L824510" s="472"/>
      <c r="M824510" s="472"/>
    </row>
    <row r="824511" spans="12:13" x14ac:dyDescent="0.25">
      <c r="L824511" s="472"/>
      <c r="M824511" s="472"/>
    </row>
    <row r="824583" spans="12:13" x14ac:dyDescent="0.25">
      <c r="L824583" s="472"/>
      <c r="M824583" s="472"/>
    </row>
    <row r="824584" spans="12:13" x14ac:dyDescent="0.25">
      <c r="L824584" s="472"/>
      <c r="M824584" s="472"/>
    </row>
    <row r="824585" spans="12:13" x14ac:dyDescent="0.25">
      <c r="L824585" s="472"/>
      <c r="M824585" s="472"/>
    </row>
    <row r="824657" spans="12:13" x14ac:dyDescent="0.25">
      <c r="L824657" s="472"/>
      <c r="M824657" s="472"/>
    </row>
    <row r="824658" spans="12:13" x14ac:dyDescent="0.25">
      <c r="L824658" s="472"/>
      <c r="M824658" s="472"/>
    </row>
    <row r="824659" spans="12:13" x14ac:dyDescent="0.25">
      <c r="L824659" s="472"/>
      <c r="M824659" s="472"/>
    </row>
    <row r="824731" spans="12:13" x14ac:dyDescent="0.25">
      <c r="L824731" s="472"/>
      <c r="M824731" s="472"/>
    </row>
    <row r="824732" spans="12:13" x14ac:dyDescent="0.25">
      <c r="L824732" s="472"/>
      <c r="M824732" s="472"/>
    </row>
    <row r="824733" spans="12:13" x14ac:dyDescent="0.25">
      <c r="L824733" s="472"/>
      <c r="M824733" s="472"/>
    </row>
    <row r="824805" spans="12:13" x14ac:dyDescent="0.25">
      <c r="L824805" s="472"/>
      <c r="M824805" s="472"/>
    </row>
    <row r="824806" spans="12:13" x14ac:dyDescent="0.25">
      <c r="L824806" s="472"/>
      <c r="M824806" s="472"/>
    </row>
    <row r="824807" spans="12:13" x14ac:dyDescent="0.25">
      <c r="L824807" s="472"/>
      <c r="M824807" s="472"/>
    </row>
    <row r="824879" spans="12:13" x14ac:dyDescent="0.25">
      <c r="L824879" s="472"/>
      <c r="M824879" s="472"/>
    </row>
    <row r="824880" spans="12:13" x14ac:dyDescent="0.25">
      <c r="L824880" s="472"/>
      <c r="M824880" s="472"/>
    </row>
    <row r="824881" spans="12:13" x14ac:dyDescent="0.25">
      <c r="L824881" s="472"/>
      <c r="M824881" s="472"/>
    </row>
    <row r="824953" spans="12:13" x14ac:dyDescent="0.25">
      <c r="L824953" s="472"/>
      <c r="M824953" s="472"/>
    </row>
    <row r="824954" spans="12:13" x14ac:dyDescent="0.25">
      <c r="L824954" s="472"/>
      <c r="M824954" s="472"/>
    </row>
    <row r="824955" spans="12:13" x14ac:dyDescent="0.25">
      <c r="L824955" s="472"/>
      <c r="M824955" s="472"/>
    </row>
    <row r="825027" spans="12:13" x14ac:dyDescent="0.25">
      <c r="L825027" s="472"/>
      <c r="M825027" s="472"/>
    </row>
    <row r="825028" spans="12:13" x14ac:dyDescent="0.25">
      <c r="L825028" s="472"/>
      <c r="M825028" s="472"/>
    </row>
    <row r="825029" spans="12:13" x14ac:dyDescent="0.25">
      <c r="L825029" s="472"/>
      <c r="M825029" s="472"/>
    </row>
    <row r="825101" spans="12:13" x14ac:dyDescent="0.25">
      <c r="L825101" s="472"/>
      <c r="M825101" s="472"/>
    </row>
    <row r="825102" spans="12:13" x14ac:dyDescent="0.25">
      <c r="L825102" s="472"/>
      <c r="M825102" s="472"/>
    </row>
    <row r="825103" spans="12:13" x14ac:dyDescent="0.25">
      <c r="L825103" s="472"/>
      <c r="M825103" s="472"/>
    </row>
    <row r="825175" spans="12:13" x14ac:dyDescent="0.25">
      <c r="L825175" s="472"/>
      <c r="M825175" s="472"/>
    </row>
    <row r="825176" spans="12:13" x14ac:dyDescent="0.25">
      <c r="L825176" s="472"/>
      <c r="M825176" s="472"/>
    </row>
    <row r="825177" spans="12:13" x14ac:dyDescent="0.25">
      <c r="L825177" s="472"/>
      <c r="M825177" s="472"/>
    </row>
    <row r="825249" spans="12:13" x14ac:dyDescent="0.25">
      <c r="L825249" s="472"/>
      <c r="M825249" s="472"/>
    </row>
    <row r="825250" spans="12:13" x14ac:dyDescent="0.25">
      <c r="L825250" s="472"/>
      <c r="M825250" s="472"/>
    </row>
    <row r="825251" spans="12:13" x14ac:dyDescent="0.25">
      <c r="L825251" s="472"/>
      <c r="M825251" s="472"/>
    </row>
    <row r="825323" spans="12:13" x14ac:dyDescent="0.25">
      <c r="L825323" s="472"/>
      <c r="M825323" s="472"/>
    </row>
    <row r="825324" spans="12:13" x14ac:dyDescent="0.25">
      <c r="L825324" s="472"/>
      <c r="M825324" s="472"/>
    </row>
    <row r="825325" spans="12:13" x14ac:dyDescent="0.25">
      <c r="L825325" s="472"/>
      <c r="M825325" s="472"/>
    </row>
    <row r="825397" spans="12:13" x14ac:dyDescent="0.25">
      <c r="L825397" s="472"/>
      <c r="M825397" s="472"/>
    </row>
    <row r="825398" spans="12:13" x14ac:dyDescent="0.25">
      <c r="L825398" s="472"/>
      <c r="M825398" s="472"/>
    </row>
    <row r="825399" spans="12:13" x14ac:dyDescent="0.25">
      <c r="L825399" s="472"/>
      <c r="M825399" s="472"/>
    </row>
    <row r="825471" spans="12:13" x14ac:dyDescent="0.25">
      <c r="L825471" s="472"/>
      <c r="M825471" s="472"/>
    </row>
    <row r="825472" spans="12:13" x14ac:dyDescent="0.25">
      <c r="L825472" s="472"/>
      <c r="M825472" s="472"/>
    </row>
    <row r="825473" spans="12:13" x14ac:dyDescent="0.25">
      <c r="L825473" s="472"/>
      <c r="M825473" s="472"/>
    </row>
    <row r="825545" spans="12:13" x14ac:dyDescent="0.25">
      <c r="L825545" s="472"/>
      <c r="M825545" s="472"/>
    </row>
    <row r="825546" spans="12:13" x14ac:dyDescent="0.25">
      <c r="L825546" s="472"/>
      <c r="M825546" s="472"/>
    </row>
    <row r="825547" spans="12:13" x14ac:dyDescent="0.25">
      <c r="L825547" s="472"/>
      <c r="M825547" s="472"/>
    </row>
    <row r="825619" spans="12:13" x14ac:dyDescent="0.25">
      <c r="L825619" s="472"/>
      <c r="M825619" s="472"/>
    </row>
    <row r="825620" spans="12:13" x14ac:dyDescent="0.25">
      <c r="L825620" s="472"/>
      <c r="M825620" s="472"/>
    </row>
    <row r="825621" spans="12:13" x14ac:dyDescent="0.25">
      <c r="L825621" s="472"/>
      <c r="M825621" s="472"/>
    </row>
    <row r="825693" spans="12:13" x14ac:dyDescent="0.25">
      <c r="L825693" s="472"/>
      <c r="M825693" s="472"/>
    </row>
    <row r="825694" spans="12:13" x14ac:dyDescent="0.25">
      <c r="L825694" s="472"/>
      <c r="M825694" s="472"/>
    </row>
    <row r="825695" spans="12:13" x14ac:dyDescent="0.25">
      <c r="L825695" s="472"/>
      <c r="M825695" s="472"/>
    </row>
    <row r="825767" spans="12:13" x14ac:dyDescent="0.25">
      <c r="L825767" s="472"/>
      <c r="M825767" s="472"/>
    </row>
    <row r="825768" spans="12:13" x14ac:dyDescent="0.25">
      <c r="L825768" s="472"/>
      <c r="M825768" s="472"/>
    </row>
    <row r="825769" spans="12:13" x14ac:dyDescent="0.25">
      <c r="L825769" s="472"/>
      <c r="M825769" s="472"/>
    </row>
    <row r="825841" spans="12:13" x14ac:dyDescent="0.25">
      <c r="L825841" s="472"/>
      <c r="M825841" s="472"/>
    </row>
    <row r="825842" spans="12:13" x14ac:dyDescent="0.25">
      <c r="L825842" s="472"/>
      <c r="M825842" s="472"/>
    </row>
    <row r="825843" spans="12:13" x14ac:dyDescent="0.25">
      <c r="L825843" s="472"/>
      <c r="M825843" s="472"/>
    </row>
    <row r="825915" spans="12:13" x14ac:dyDescent="0.25">
      <c r="L825915" s="472"/>
      <c r="M825915" s="472"/>
    </row>
    <row r="825916" spans="12:13" x14ac:dyDescent="0.25">
      <c r="L825916" s="472"/>
      <c r="M825916" s="472"/>
    </row>
    <row r="825917" spans="12:13" x14ac:dyDescent="0.25">
      <c r="L825917" s="472"/>
      <c r="M825917" s="472"/>
    </row>
    <row r="825989" spans="12:13" x14ac:dyDescent="0.25">
      <c r="L825989" s="472"/>
      <c r="M825989" s="472"/>
    </row>
    <row r="825990" spans="12:13" x14ac:dyDescent="0.25">
      <c r="L825990" s="472"/>
      <c r="M825990" s="472"/>
    </row>
    <row r="825991" spans="12:13" x14ac:dyDescent="0.25">
      <c r="L825991" s="472"/>
      <c r="M825991" s="472"/>
    </row>
    <row r="826063" spans="12:13" x14ac:dyDescent="0.25">
      <c r="L826063" s="472"/>
      <c r="M826063" s="472"/>
    </row>
    <row r="826064" spans="12:13" x14ac:dyDescent="0.25">
      <c r="L826064" s="472"/>
      <c r="M826064" s="472"/>
    </row>
    <row r="826065" spans="12:13" x14ac:dyDescent="0.25">
      <c r="L826065" s="472"/>
      <c r="M826065" s="472"/>
    </row>
    <row r="826137" spans="12:13" x14ac:dyDescent="0.25">
      <c r="L826137" s="472"/>
      <c r="M826137" s="472"/>
    </row>
    <row r="826138" spans="12:13" x14ac:dyDescent="0.25">
      <c r="L826138" s="472"/>
      <c r="M826138" s="472"/>
    </row>
    <row r="826139" spans="12:13" x14ac:dyDescent="0.25">
      <c r="L826139" s="472"/>
      <c r="M826139" s="472"/>
    </row>
    <row r="826211" spans="12:13" x14ac:dyDescent="0.25">
      <c r="L826211" s="472"/>
      <c r="M826211" s="472"/>
    </row>
    <row r="826212" spans="12:13" x14ac:dyDescent="0.25">
      <c r="L826212" s="472"/>
      <c r="M826212" s="472"/>
    </row>
    <row r="826213" spans="12:13" x14ac:dyDescent="0.25">
      <c r="L826213" s="472"/>
      <c r="M826213" s="472"/>
    </row>
    <row r="826285" spans="12:13" x14ac:dyDescent="0.25">
      <c r="L826285" s="472"/>
      <c r="M826285" s="472"/>
    </row>
    <row r="826286" spans="12:13" x14ac:dyDescent="0.25">
      <c r="L826286" s="472"/>
      <c r="M826286" s="472"/>
    </row>
    <row r="826287" spans="12:13" x14ac:dyDescent="0.25">
      <c r="L826287" s="472"/>
      <c r="M826287" s="472"/>
    </row>
    <row r="826359" spans="12:13" x14ac:dyDescent="0.25">
      <c r="L826359" s="472"/>
      <c r="M826359" s="472"/>
    </row>
    <row r="826360" spans="12:13" x14ac:dyDescent="0.25">
      <c r="L826360" s="472"/>
      <c r="M826360" s="472"/>
    </row>
    <row r="826361" spans="12:13" x14ac:dyDescent="0.25">
      <c r="L826361" s="472"/>
      <c r="M826361" s="472"/>
    </row>
    <row r="826433" spans="12:13" x14ac:dyDescent="0.25">
      <c r="L826433" s="472"/>
      <c r="M826433" s="472"/>
    </row>
    <row r="826434" spans="12:13" x14ac:dyDescent="0.25">
      <c r="L826434" s="472"/>
      <c r="M826434" s="472"/>
    </row>
    <row r="826435" spans="12:13" x14ac:dyDescent="0.25">
      <c r="L826435" s="472"/>
      <c r="M826435" s="472"/>
    </row>
    <row r="826507" spans="12:13" x14ac:dyDescent="0.25">
      <c r="L826507" s="472"/>
      <c r="M826507" s="472"/>
    </row>
    <row r="826508" spans="12:13" x14ac:dyDescent="0.25">
      <c r="L826508" s="472"/>
      <c r="M826508" s="472"/>
    </row>
    <row r="826509" spans="12:13" x14ac:dyDescent="0.25">
      <c r="L826509" s="472"/>
      <c r="M826509" s="472"/>
    </row>
    <row r="826581" spans="12:13" x14ac:dyDescent="0.25">
      <c r="L826581" s="472"/>
      <c r="M826581" s="472"/>
    </row>
    <row r="826582" spans="12:13" x14ac:dyDescent="0.25">
      <c r="L826582" s="472"/>
      <c r="M826582" s="472"/>
    </row>
    <row r="826583" spans="12:13" x14ac:dyDescent="0.25">
      <c r="L826583" s="472"/>
      <c r="M826583" s="472"/>
    </row>
    <row r="826655" spans="12:13" x14ac:dyDescent="0.25">
      <c r="L826655" s="472"/>
      <c r="M826655" s="472"/>
    </row>
    <row r="826656" spans="12:13" x14ac:dyDescent="0.25">
      <c r="L826656" s="472"/>
      <c r="M826656" s="472"/>
    </row>
    <row r="826657" spans="12:13" x14ac:dyDescent="0.25">
      <c r="L826657" s="472"/>
      <c r="M826657" s="472"/>
    </row>
    <row r="826729" spans="12:13" x14ac:dyDescent="0.25">
      <c r="L826729" s="472"/>
      <c r="M826729" s="472"/>
    </row>
    <row r="826730" spans="12:13" x14ac:dyDescent="0.25">
      <c r="L826730" s="472"/>
      <c r="M826730" s="472"/>
    </row>
    <row r="826731" spans="12:13" x14ac:dyDescent="0.25">
      <c r="L826731" s="472"/>
      <c r="M826731" s="472"/>
    </row>
    <row r="826803" spans="12:13" x14ac:dyDescent="0.25">
      <c r="L826803" s="472"/>
      <c r="M826803" s="472"/>
    </row>
    <row r="826804" spans="12:13" x14ac:dyDescent="0.25">
      <c r="L826804" s="472"/>
      <c r="M826804" s="472"/>
    </row>
    <row r="826805" spans="12:13" x14ac:dyDescent="0.25">
      <c r="L826805" s="472"/>
      <c r="M826805" s="472"/>
    </row>
    <row r="826877" spans="12:13" x14ac:dyDescent="0.25">
      <c r="L826877" s="472"/>
      <c r="M826877" s="472"/>
    </row>
    <row r="826878" spans="12:13" x14ac:dyDescent="0.25">
      <c r="L826878" s="472"/>
      <c r="M826878" s="472"/>
    </row>
    <row r="826879" spans="12:13" x14ac:dyDescent="0.25">
      <c r="L826879" s="472"/>
      <c r="M826879" s="472"/>
    </row>
    <row r="826951" spans="12:13" x14ac:dyDescent="0.25">
      <c r="L826951" s="472"/>
      <c r="M826951" s="472"/>
    </row>
    <row r="826952" spans="12:13" x14ac:dyDescent="0.25">
      <c r="L826952" s="472"/>
      <c r="M826952" s="472"/>
    </row>
    <row r="826953" spans="12:13" x14ac:dyDescent="0.25">
      <c r="L826953" s="472"/>
      <c r="M826953" s="472"/>
    </row>
    <row r="827025" spans="12:13" x14ac:dyDescent="0.25">
      <c r="L827025" s="472"/>
      <c r="M827025" s="472"/>
    </row>
    <row r="827026" spans="12:13" x14ac:dyDescent="0.25">
      <c r="L827026" s="472"/>
      <c r="M827026" s="472"/>
    </row>
    <row r="827027" spans="12:13" x14ac:dyDescent="0.25">
      <c r="L827027" s="472"/>
      <c r="M827027" s="472"/>
    </row>
    <row r="827099" spans="12:13" x14ac:dyDescent="0.25">
      <c r="L827099" s="472"/>
      <c r="M827099" s="472"/>
    </row>
    <row r="827100" spans="12:13" x14ac:dyDescent="0.25">
      <c r="L827100" s="472"/>
      <c r="M827100" s="472"/>
    </row>
    <row r="827101" spans="12:13" x14ac:dyDescent="0.25">
      <c r="L827101" s="472"/>
      <c r="M827101" s="472"/>
    </row>
    <row r="827173" spans="12:13" x14ac:dyDescent="0.25">
      <c r="L827173" s="472"/>
      <c r="M827173" s="472"/>
    </row>
    <row r="827174" spans="12:13" x14ac:dyDescent="0.25">
      <c r="L827174" s="472"/>
      <c r="M827174" s="472"/>
    </row>
    <row r="827175" spans="12:13" x14ac:dyDescent="0.25">
      <c r="L827175" s="472"/>
      <c r="M827175" s="472"/>
    </row>
    <row r="827247" spans="12:13" x14ac:dyDescent="0.25">
      <c r="L827247" s="472"/>
      <c r="M827247" s="472"/>
    </row>
    <row r="827248" spans="12:13" x14ac:dyDescent="0.25">
      <c r="L827248" s="472"/>
      <c r="M827248" s="472"/>
    </row>
    <row r="827249" spans="12:13" x14ac:dyDescent="0.25">
      <c r="L827249" s="472"/>
      <c r="M827249" s="472"/>
    </row>
    <row r="827321" spans="12:13" x14ac:dyDescent="0.25">
      <c r="L827321" s="472"/>
      <c r="M827321" s="472"/>
    </row>
    <row r="827322" spans="12:13" x14ac:dyDescent="0.25">
      <c r="L827322" s="472"/>
      <c r="M827322" s="472"/>
    </row>
    <row r="827323" spans="12:13" x14ac:dyDescent="0.25">
      <c r="L827323" s="472"/>
      <c r="M827323" s="472"/>
    </row>
    <row r="827395" spans="12:13" x14ac:dyDescent="0.25">
      <c r="L827395" s="472"/>
      <c r="M827395" s="472"/>
    </row>
    <row r="827396" spans="12:13" x14ac:dyDescent="0.25">
      <c r="L827396" s="472"/>
      <c r="M827396" s="472"/>
    </row>
    <row r="827397" spans="12:13" x14ac:dyDescent="0.25">
      <c r="L827397" s="472"/>
      <c r="M827397" s="472"/>
    </row>
    <row r="827469" spans="12:13" x14ac:dyDescent="0.25">
      <c r="L827469" s="472"/>
      <c r="M827469" s="472"/>
    </row>
    <row r="827470" spans="12:13" x14ac:dyDescent="0.25">
      <c r="L827470" s="472"/>
      <c r="M827470" s="472"/>
    </row>
    <row r="827471" spans="12:13" x14ac:dyDescent="0.25">
      <c r="L827471" s="472"/>
      <c r="M827471" s="472"/>
    </row>
    <row r="827543" spans="12:13" x14ac:dyDescent="0.25">
      <c r="L827543" s="472"/>
      <c r="M827543" s="472"/>
    </row>
    <row r="827544" spans="12:13" x14ac:dyDescent="0.25">
      <c r="L827544" s="472"/>
      <c r="M827544" s="472"/>
    </row>
    <row r="827545" spans="12:13" x14ac:dyDescent="0.25">
      <c r="L827545" s="472"/>
      <c r="M827545" s="472"/>
    </row>
    <row r="827617" spans="12:13" x14ac:dyDescent="0.25">
      <c r="L827617" s="472"/>
      <c r="M827617" s="472"/>
    </row>
    <row r="827618" spans="12:13" x14ac:dyDescent="0.25">
      <c r="L827618" s="472"/>
      <c r="M827618" s="472"/>
    </row>
    <row r="827619" spans="12:13" x14ac:dyDescent="0.25">
      <c r="L827619" s="472"/>
      <c r="M827619" s="472"/>
    </row>
    <row r="827691" spans="12:13" x14ac:dyDescent="0.25">
      <c r="L827691" s="472"/>
      <c r="M827691" s="472"/>
    </row>
    <row r="827692" spans="12:13" x14ac:dyDescent="0.25">
      <c r="L827692" s="472"/>
      <c r="M827692" s="472"/>
    </row>
    <row r="827693" spans="12:13" x14ac:dyDescent="0.25">
      <c r="L827693" s="472"/>
      <c r="M827693" s="472"/>
    </row>
    <row r="827765" spans="12:13" x14ac:dyDescent="0.25">
      <c r="L827765" s="472"/>
      <c r="M827765" s="472"/>
    </row>
    <row r="827766" spans="12:13" x14ac:dyDescent="0.25">
      <c r="L827766" s="472"/>
      <c r="M827766" s="472"/>
    </row>
    <row r="827767" spans="12:13" x14ac:dyDescent="0.25">
      <c r="L827767" s="472"/>
      <c r="M827767" s="472"/>
    </row>
    <row r="827839" spans="12:13" x14ac:dyDescent="0.25">
      <c r="L827839" s="472"/>
      <c r="M827839" s="472"/>
    </row>
    <row r="827840" spans="12:13" x14ac:dyDescent="0.25">
      <c r="L827840" s="472"/>
      <c r="M827840" s="472"/>
    </row>
    <row r="827841" spans="12:13" x14ac:dyDescent="0.25">
      <c r="L827841" s="472"/>
      <c r="M827841" s="472"/>
    </row>
    <row r="827913" spans="12:13" x14ac:dyDescent="0.25">
      <c r="L827913" s="472"/>
      <c r="M827913" s="472"/>
    </row>
    <row r="827914" spans="12:13" x14ac:dyDescent="0.25">
      <c r="L827914" s="472"/>
      <c r="M827914" s="472"/>
    </row>
    <row r="827915" spans="12:13" x14ac:dyDescent="0.25">
      <c r="L827915" s="472"/>
      <c r="M827915" s="472"/>
    </row>
    <row r="827987" spans="12:13" x14ac:dyDescent="0.25">
      <c r="L827987" s="472"/>
      <c r="M827987" s="472"/>
    </row>
    <row r="827988" spans="12:13" x14ac:dyDescent="0.25">
      <c r="L827988" s="472"/>
      <c r="M827988" s="472"/>
    </row>
    <row r="827989" spans="12:13" x14ac:dyDescent="0.25">
      <c r="L827989" s="472"/>
      <c r="M827989" s="472"/>
    </row>
    <row r="828061" spans="12:13" x14ac:dyDescent="0.25">
      <c r="L828061" s="472"/>
      <c r="M828061" s="472"/>
    </row>
    <row r="828062" spans="12:13" x14ac:dyDescent="0.25">
      <c r="L828062" s="472"/>
      <c r="M828062" s="472"/>
    </row>
    <row r="828063" spans="12:13" x14ac:dyDescent="0.25">
      <c r="L828063" s="472"/>
      <c r="M828063" s="472"/>
    </row>
    <row r="828135" spans="12:13" x14ac:dyDescent="0.25">
      <c r="L828135" s="472"/>
      <c r="M828135" s="472"/>
    </row>
    <row r="828136" spans="12:13" x14ac:dyDescent="0.25">
      <c r="L828136" s="472"/>
      <c r="M828136" s="472"/>
    </row>
    <row r="828137" spans="12:13" x14ac:dyDescent="0.25">
      <c r="L828137" s="472"/>
      <c r="M828137" s="472"/>
    </row>
    <row r="828209" spans="12:13" x14ac:dyDescent="0.25">
      <c r="L828209" s="472"/>
      <c r="M828209" s="472"/>
    </row>
    <row r="828210" spans="12:13" x14ac:dyDescent="0.25">
      <c r="L828210" s="472"/>
      <c r="M828210" s="472"/>
    </row>
    <row r="828211" spans="12:13" x14ac:dyDescent="0.25">
      <c r="L828211" s="472"/>
      <c r="M828211" s="472"/>
    </row>
    <row r="828283" spans="12:13" x14ac:dyDescent="0.25">
      <c r="L828283" s="472"/>
      <c r="M828283" s="472"/>
    </row>
    <row r="828284" spans="12:13" x14ac:dyDescent="0.25">
      <c r="L828284" s="472"/>
      <c r="M828284" s="472"/>
    </row>
    <row r="828285" spans="12:13" x14ac:dyDescent="0.25">
      <c r="L828285" s="472"/>
      <c r="M828285" s="472"/>
    </row>
    <row r="828357" spans="12:13" x14ac:dyDescent="0.25">
      <c r="L828357" s="472"/>
      <c r="M828357" s="472"/>
    </row>
    <row r="828358" spans="12:13" x14ac:dyDescent="0.25">
      <c r="L828358" s="472"/>
      <c r="M828358" s="472"/>
    </row>
    <row r="828359" spans="12:13" x14ac:dyDescent="0.25">
      <c r="L828359" s="472"/>
      <c r="M828359" s="472"/>
    </row>
    <row r="828431" spans="12:13" x14ac:dyDescent="0.25">
      <c r="L828431" s="472"/>
      <c r="M828431" s="472"/>
    </row>
    <row r="828432" spans="12:13" x14ac:dyDescent="0.25">
      <c r="L828432" s="472"/>
      <c r="M828432" s="472"/>
    </row>
    <row r="828433" spans="12:13" x14ac:dyDescent="0.25">
      <c r="L828433" s="472"/>
      <c r="M828433" s="472"/>
    </row>
    <row r="828505" spans="12:13" x14ac:dyDescent="0.25">
      <c r="L828505" s="472"/>
      <c r="M828505" s="472"/>
    </row>
    <row r="828506" spans="12:13" x14ac:dyDescent="0.25">
      <c r="L828506" s="472"/>
      <c r="M828506" s="472"/>
    </row>
    <row r="828507" spans="12:13" x14ac:dyDescent="0.25">
      <c r="L828507" s="472"/>
      <c r="M828507" s="472"/>
    </row>
    <row r="828579" spans="12:13" x14ac:dyDescent="0.25">
      <c r="L828579" s="472"/>
      <c r="M828579" s="472"/>
    </row>
    <row r="828580" spans="12:13" x14ac:dyDescent="0.25">
      <c r="L828580" s="472"/>
      <c r="M828580" s="472"/>
    </row>
    <row r="828581" spans="12:13" x14ac:dyDescent="0.25">
      <c r="L828581" s="472"/>
      <c r="M828581" s="472"/>
    </row>
    <row r="828653" spans="12:13" x14ac:dyDescent="0.25">
      <c r="L828653" s="472"/>
      <c r="M828653" s="472"/>
    </row>
    <row r="828654" spans="12:13" x14ac:dyDescent="0.25">
      <c r="L828654" s="472"/>
      <c r="M828654" s="472"/>
    </row>
    <row r="828655" spans="12:13" x14ac:dyDescent="0.25">
      <c r="L828655" s="472"/>
      <c r="M828655" s="472"/>
    </row>
    <row r="828727" spans="12:13" x14ac:dyDescent="0.25">
      <c r="L828727" s="472"/>
      <c r="M828727" s="472"/>
    </row>
    <row r="828728" spans="12:13" x14ac:dyDescent="0.25">
      <c r="L828728" s="472"/>
      <c r="M828728" s="472"/>
    </row>
    <row r="828729" spans="12:13" x14ac:dyDescent="0.25">
      <c r="L828729" s="472"/>
      <c r="M828729" s="472"/>
    </row>
    <row r="828801" spans="12:13" x14ac:dyDescent="0.25">
      <c r="L828801" s="472"/>
      <c r="M828801" s="472"/>
    </row>
    <row r="828802" spans="12:13" x14ac:dyDescent="0.25">
      <c r="L828802" s="472"/>
      <c r="M828802" s="472"/>
    </row>
    <row r="828803" spans="12:13" x14ac:dyDescent="0.25">
      <c r="L828803" s="472"/>
      <c r="M828803" s="472"/>
    </row>
    <row r="828875" spans="12:13" x14ac:dyDescent="0.25">
      <c r="L828875" s="472"/>
      <c r="M828875" s="472"/>
    </row>
    <row r="828876" spans="12:13" x14ac:dyDescent="0.25">
      <c r="L828876" s="472"/>
      <c r="M828876" s="472"/>
    </row>
    <row r="828877" spans="12:13" x14ac:dyDescent="0.25">
      <c r="L828877" s="472"/>
      <c r="M828877" s="472"/>
    </row>
    <row r="828949" spans="12:13" x14ac:dyDescent="0.25">
      <c r="L828949" s="472"/>
      <c r="M828949" s="472"/>
    </row>
    <row r="828950" spans="12:13" x14ac:dyDescent="0.25">
      <c r="L828950" s="472"/>
      <c r="M828950" s="472"/>
    </row>
    <row r="828951" spans="12:13" x14ac:dyDescent="0.25">
      <c r="L828951" s="472"/>
      <c r="M828951" s="472"/>
    </row>
    <row r="829023" spans="12:13" x14ac:dyDescent="0.25">
      <c r="L829023" s="472"/>
      <c r="M829023" s="472"/>
    </row>
    <row r="829024" spans="12:13" x14ac:dyDescent="0.25">
      <c r="L829024" s="472"/>
      <c r="M829024" s="472"/>
    </row>
    <row r="829025" spans="12:13" x14ac:dyDescent="0.25">
      <c r="L829025" s="472"/>
      <c r="M829025" s="472"/>
    </row>
    <row r="829097" spans="12:13" x14ac:dyDescent="0.25">
      <c r="L829097" s="472"/>
      <c r="M829097" s="472"/>
    </row>
    <row r="829098" spans="12:13" x14ac:dyDescent="0.25">
      <c r="L829098" s="472"/>
      <c r="M829098" s="472"/>
    </row>
    <row r="829099" spans="12:13" x14ac:dyDescent="0.25">
      <c r="L829099" s="472"/>
      <c r="M829099" s="472"/>
    </row>
    <row r="829171" spans="12:13" x14ac:dyDescent="0.25">
      <c r="L829171" s="472"/>
      <c r="M829171" s="472"/>
    </row>
    <row r="829172" spans="12:13" x14ac:dyDescent="0.25">
      <c r="L829172" s="472"/>
      <c r="M829172" s="472"/>
    </row>
    <row r="829173" spans="12:13" x14ac:dyDescent="0.25">
      <c r="L829173" s="472"/>
      <c r="M829173" s="472"/>
    </row>
    <row r="829245" spans="12:13" x14ac:dyDescent="0.25">
      <c r="L829245" s="472"/>
      <c r="M829245" s="472"/>
    </row>
    <row r="829246" spans="12:13" x14ac:dyDescent="0.25">
      <c r="L829246" s="472"/>
      <c r="M829246" s="472"/>
    </row>
    <row r="829247" spans="12:13" x14ac:dyDescent="0.25">
      <c r="L829247" s="472"/>
      <c r="M829247" s="472"/>
    </row>
    <row r="829319" spans="12:13" x14ac:dyDescent="0.25">
      <c r="L829319" s="472"/>
      <c r="M829319" s="472"/>
    </row>
    <row r="829320" spans="12:13" x14ac:dyDescent="0.25">
      <c r="L829320" s="472"/>
      <c r="M829320" s="472"/>
    </row>
    <row r="829321" spans="12:13" x14ac:dyDescent="0.25">
      <c r="L829321" s="472"/>
      <c r="M829321" s="472"/>
    </row>
    <row r="829393" spans="12:13" x14ac:dyDescent="0.25">
      <c r="L829393" s="472"/>
      <c r="M829393" s="472"/>
    </row>
    <row r="829394" spans="12:13" x14ac:dyDescent="0.25">
      <c r="L829394" s="472"/>
      <c r="M829394" s="472"/>
    </row>
    <row r="829395" spans="12:13" x14ac:dyDescent="0.25">
      <c r="L829395" s="472"/>
      <c r="M829395" s="472"/>
    </row>
    <row r="829467" spans="12:13" x14ac:dyDescent="0.25">
      <c r="L829467" s="472"/>
      <c r="M829467" s="472"/>
    </row>
    <row r="829468" spans="12:13" x14ac:dyDescent="0.25">
      <c r="L829468" s="472"/>
      <c r="M829468" s="472"/>
    </row>
    <row r="829469" spans="12:13" x14ac:dyDescent="0.25">
      <c r="L829469" s="472"/>
      <c r="M829469" s="472"/>
    </row>
    <row r="829541" spans="12:13" x14ac:dyDescent="0.25">
      <c r="L829541" s="472"/>
      <c r="M829541" s="472"/>
    </row>
    <row r="829542" spans="12:13" x14ac:dyDescent="0.25">
      <c r="L829542" s="472"/>
      <c r="M829542" s="472"/>
    </row>
    <row r="829543" spans="12:13" x14ac:dyDescent="0.25">
      <c r="L829543" s="472"/>
      <c r="M829543" s="472"/>
    </row>
    <row r="829615" spans="12:13" x14ac:dyDescent="0.25">
      <c r="L829615" s="472"/>
      <c r="M829615" s="472"/>
    </row>
    <row r="829616" spans="12:13" x14ac:dyDescent="0.25">
      <c r="L829616" s="472"/>
      <c r="M829616" s="472"/>
    </row>
    <row r="829617" spans="12:13" x14ac:dyDescent="0.25">
      <c r="L829617" s="472"/>
      <c r="M829617" s="472"/>
    </row>
    <row r="829689" spans="12:13" x14ac:dyDescent="0.25">
      <c r="L829689" s="472"/>
      <c r="M829689" s="472"/>
    </row>
    <row r="829690" spans="12:13" x14ac:dyDescent="0.25">
      <c r="L829690" s="472"/>
      <c r="M829690" s="472"/>
    </row>
    <row r="829691" spans="12:13" x14ac:dyDescent="0.25">
      <c r="L829691" s="472"/>
      <c r="M829691" s="472"/>
    </row>
    <row r="829763" spans="12:13" x14ac:dyDescent="0.25">
      <c r="L829763" s="472"/>
      <c r="M829763" s="472"/>
    </row>
    <row r="829764" spans="12:13" x14ac:dyDescent="0.25">
      <c r="L829764" s="472"/>
      <c r="M829764" s="472"/>
    </row>
    <row r="829765" spans="12:13" x14ac:dyDescent="0.25">
      <c r="L829765" s="472"/>
      <c r="M829765" s="472"/>
    </row>
    <row r="829837" spans="12:13" x14ac:dyDescent="0.25">
      <c r="L829837" s="472"/>
      <c r="M829837" s="472"/>
    </row>
    <row r="829838" spans="12:13" x14ac:dyDescent="0.25">
      <c r="L829838" s="472"/>
      <c r="M829838" s="472"/>
    </row>
    <row r="829839" spans="12:13" x14ac:dyDescent="0.25">
      <c r="L829839" s="472"/>
      <c r="M829839" s="472"/>
    </row>
    <row r="829911" spans="12:13" x14ac:dyDescent="0.25">
      <c r="L829911" s="472"/>
      <c r="M829911" s="472"/>
    </row>
    <row r="829912" spans="12:13" x14ac:dyDescent="0.25">
      <c r="L829912" s="472"/>
      <c r="M829912" s="472"/>
    </row>
    <row r="829913" spans="12:13" x14ac:dyDescent="0.25">
      <c r="L829913" s="472"/>
      <c r="M829913" s="472"/>
    </row>
    <row r="829985" spans="12:13" x14ac:dyDescent="0.25">
      <c r="L829985" s="472"/>
      <c r="M829985" s="472"/>
    </row>
    <row r="829986" spans="12:13" x14ac:dyDescent="0.25">
      <c r="L829986" s="472"/>
      <c r="M829986" s="472"/>
    </row>
    <row r="829987" spans="12:13" x14ac:dyDescent="0.25">
      <c r="L829987" s="472"/>
      <c r="M829987" s="472"/>
    </row>
    <row r="830059" spans="12:13" x14ac:dyDescent="0.25">
      <c r="L830059" s="472"/>
      <c r="M830059" s="472"/>
    </row>
    <row r="830060" spans="12:13" x14ac:dyDescent="0.25">
      <c r="L830060" s="472"/>
      <c r="M830060" s="472"/>
    </row>
    <row r="830061" spans="12:13" x14ac:dyDescent="0.25">
      <c r="L830061" s="472"/>
      <c r="M830061" s="472"/>
    </row>
    <row r="830133" spans="12:13" x14ac:dyDescent="0.25">
      <c r="L830133" s="472"/>
      <c r="M830133" s="472"/>
    </row>
    <row r="830134" spans="12:13" x14ac:dyDescent="0.25">
      <c r="L830134" s="472"/>
      <c r="M830134" s="472"/>
    </row>
    <row r="830135" spans="12:13" x14ac:dyDescent="0.25">
      <c r="L830135" s="472"/>
      <c r="M830135" s="472"/>
    </row>
    <row r="830207" spans="12:13" x14ac:dyDescent="0.25">
      <c r="L830207" s="472"/>
      <c r="M830207" s="472"/>
    </row>
    <row r="830208" spans="12:13" x14ac:dyDescent="0.25">
      <c r="L830208" s="472"/>
      <c r="M830208" s="472"/>
    </row>
    <row r="830209" spans="12:13" x14ac:dyDescent="0.25">
      <c r="L830209" s="472"/>
      <c r="M830209" s="472"/>
    </row>
    <row r="830281" spans="12:13" x14ac:dyDescent="0.25">
      <c r="L830281" s="472"/>
      <c r="M830281" s="472"/>
    </row>
    <row r="830282" spans="12:13" x14ac:dyDescent="0.25">
      <c r="L830282" s="472"/>
      <c r="M830282" s="472"/>
    </row>
    <row r="830283" spans="12:13" x14ac:dyDescent="0.25">
      <c r="L830283" s="472"/>
      <c r="M830283" s="472"/>
    </row>
    <row r="830355" spans="12:13" x14ac:dyDescent="0.25">
      <c r="L830355" s="472"/>
      <c r="M830355" s="472"/>
    </row>
    <row r="830356" spans="12:13" x14ac:dyDescent="0.25">
      <c r="L830356" s="472"/>
      <c r="M830356" s="472"/>
    </row>
    <row r="830357" spans="12:13" x14ac:dyDescent="0.25">
      <c r="L830357" s="472"/>
      <c r="M830357" s="472"/>
    </row>
    <row r="830429" spans="12:13" x14ac:dyDescent="0.25">
      <c r="L830429" s="472"/>
      <c r="M830429" s="472"/>
    </row>
    <row r="830430" spans="12:13" x14ac:dyDescent="0.25">
      <c r="L830430" s="472"/>
      <c r="M830430" s="472"/>
    </row>
    <row r="830431" spans="12:13" x14ac:dyDescent="0.25">
      <c r="L830431" s="472"/>
      <c r="M830431" s="472"/>
    </row>
    <row r="830503" spans="12:13" x14ac:dyDescent="0.25">
      <c r="L830503" s="472"/>
      <c r="M830503" s="472"/>
    </row>
    <row r="830504" spans="12:13" x14ac:dyDescent="0.25">
      <c r="L830504" s="472"/>
      <c r="M830504" s="472"/>
    </row>
    <row r="830505" spans="12:13" x14ac:dyDescent="0.25">
      <c r="L830505" s="472"/>
      <c r="M830505" s="472"/>
    </row>
    <row r="830577" spans="12:13" x14ac:dyDescent="0.25">
      <c r="L830577" s="472"/>
      <c r="M830577" s="472"/>
    </row>
    <row r="830578" spans="12:13" x14ac:dyDescent="0.25">
      <c r="L830578" s="472"/>
      <c r="M830578" s="472"/>
    </row>
    <row r="830579" spans="12:13" x14ac:dyDescent="0.25">
      <c r="L830579" s="472"/>
      <c r="M830579" s="472"/>
    </row>
    <row r="830651" spans="12:13" x14ac:dyDescent="0.25">
      <c r="L830651" s="472"/>
      <c r="M830651" s="472"/>
    </row>
    <row r="830652" spans="12:13" x14ac:dyDescent="0.25">
      <c r="L830652" s="472"/>
      <c r="M830652" s="472"/>
    </row>
    <row r="830653" spans="12:13" x14ac:dyDescent="0.25">
      <c r="L830653" s="472"/>
      <c r="M830653" s="472"/>
    </row>
    <row r="830725" spans="12:13" x14ac:dyDescent="0.25">
      <c r="L830725" s="472"/>
      <c r="M830725" s="472"/>
    </row>
    <row r="830726" spans="12:13" x14ac:dyDescent="0.25">
      <c r="L830726" s="472"/>
      <c r="M830726" s="472"/>
    </row>
    <row r="830727" spans="12:13" x14ac:dyDescent="0.25">
      <c r="L830727" s="472"/>
      <c r="M830727" s="472"/>
    </row>
    <row r="830799" spans="12:13" x14ac:dyDescent="0.25">
      <c r="L830799" s="472"/>
      <c r="M830799" s="472"/>
    </row>
    <row r="830800" spans="12:13" x14ac:dyDescent="0.25">
      <c r="L830800" s="472"/>
      <c r="M830800" s="472"/>
    </row>
    <row r="830801" spans="12:13" x14ac:dyDescent="0.25">
      <c r="L830801" s="472"/>
      <c r="M830801" s="472"/>
    </row>
    <row r="830873" spans="12:13" x14ac:dyDescent="0.25">
      <c r="L830873" s="472"/>
      <c r="M830873" s="472"/>
    </row>
    <row r="830874" spans="12:13" x14ac:dyDescent="0.25">
      <c r="L830874" s="472"/>
      <c r="M830874" s="472"/>
    </row>
    <row r="830875" spans="12:13" x14ac:dyDescent="0.25">
      <c r="L830875" s="472"/>
      <c r="M830875" s="472"/>
    </row>
    <row r="830947" spans="12:13" x14ac:dyDescent="0.25">
      <c r="L830947" s="472"/>
      <c r="M830947" s="472"/>
    </row>
    <row r="830948" spans="12:13" x14ac:dyDescent="0.25">
      <c r="L830948" s="472"/>
      <c r="M830948" s="472"/>
    </row>
    <row r="830949" spans="12:13" x14ac:dyDescent="0.25">
      <c r="L830949" s="472"/>
      <c r="M830949" s="472"/>
    </row>
    <row r="831021" spans="12:13" x14ac:dyDescent="0.25">
      <c r="L831021" s="472"/>
      <c r="M831021" s="472"/>
    </row>
    <row r="831022" spans="12:13" x14ac:dyDescent="0.25">
      <c r="L831022" s="472"/>
      <c r="M831022" s="472"/>
    </row>
    <row r="831023" spans="12:13" x14ac:dyDescent="0.25">
      <c r="L831023" s="472"/>
      <c r="M831023" s="472"/>
    </row>
    <row r="831095" spans="12:13" x14ac:dyDescent="0.25">
      <c r="L831095" s="472"/>
      <c r="M831095" s="472"/>
    </row>
    <row r="831096" spans="12:13" x14ac:dyDescent="0.25">
      <c r="L831096" s="472"/>
      <c r="M831096" s="472"/>
    </row>
    <row r="831097" spans="12:13" x14ac:dyDescent="0.25">
      <c r="L831097" s="472"/>
      <c r="M831097" s="472"/>
    </row>
    <row r="831169" spans="12:13" x14ac:dyDescent="0.25">
      <c r="L831169" s="472"/>
      <c r="M831169" s="472"/>
    </row>
    <row r="831170" spans="12:13" x14ac:dyDescent="0.25">
      <c r="L831170" s="472"/>
      <c r="M831170" s="472"/>
    </row>
    <row r="831171" spans="12:13" x14ac:dyDescent="0.25">
      <c r="L831171" s="472"/>
      <c r="M831171" s="472"/>
    </row>
    <row r="831243" spans="12:13" x14ac:dyDescent="0.25">
      <c r="L831243" s="472"/>
      <c r="M831243" s="472"/>
    </row>
    <row r="831244" spans="12:13" x14ac:dyDescent="0.25">
      <c r="L831244" s="472"/>
      <c r="M831244" s="472"/>
    </row>
    <row r="831245" spans="12:13" x14ac:dyDescent="0.25">
      <c r="L831245" s="472"/>
      <c r="M831245" s="472"/>
    </row>
    <row r="831317" spans="12:13" x14ac:dyDescent="0.25">
      <c r="L831317" s="472"/>
      <c r="M831317" s="472"/>
    </row>
    <row r="831318" spans="12:13" x14ac:dyDescent="0.25">
      <c r="L831318" s="472"/>
      <c r="M831318" s="472"/>
    </row>
    <row r="831319" spans="12:13" x14ac:dyDescent="0.25">
      <c r="L831319" s="472"/>
      <c r="M831319" s="472"/>
    </row>
    <row r="831391" spans="12:13" x14ac:dyDescent="0.25">
      <c r="L831391" s="472"/>
      <c r="M831391" s="472"/>
    </row>
    <row r="831392" spans="12:13" x14ac:dyDescent="0.25">
      <c r="L831392" s="472"/>
      <c r="M831392" s="472"/>
    </row>
    <row r="831393" spans="12:13" x14ac:dyDescent="0.25">
      <c r="L831393" s="472"/>
      <c r="M831393" s="472"/>
    </row>
    <row r="831465" spans="12:13" x14ac:dyDescent="0.25">
      <c r="L831465" s="472"/>
      <c r="M831465" s="472"/>
    </row>
    <row r="831466" spans="12:13" x14ac:dyDescent="0.25">
      <c r="L831466" s="472"/>
      <c r="M831466" s="472"/>
    </row>
    <row r="831467" spans="12:13" x14ac:dyDescent="0.25">
      <c r="L831467" s="472"/>
      <c r="M831467" s="472"/>
    </row>
    <row r="831539" spans="12:13" x14ac:dyDescent="0.25">
      <c r="L831539" s="472"/>
      <c r="M831539" s="472"/>
    </row>
    <row r="831540" spans="12:13" x14ac:dyDescent="0.25">
      <c r="L831540" s="472"/>
      <c r="M831540" s="472"/>
    </row>
    <row r="831541" spans="12:13" x14ac:dyDescent="0.25">
      <c r="L831541" s="472"/>
      <c r="M831541" s="472"/>
    </row>
    <row r="831613" spans="12:13" x14ac:dyDescent="0.25">
      <c r="L831613" s="472"/>
      <c r="M831613" s="472"/>
    </row>
    <row r="831614" spans="12:13" x14ac:dyDescent="0.25">
      <c r="L831614" s="472"/>
      <c r="M831614" s="472"/>
    </row>
    <row r="831615" spans="12:13" x14ac:dyDescent="0.25">
      <c r="L831615" s="472"/>
      <c r="M831615" s="472"/>
    </row>
    <row r="831687" spans="12:13" x14ac:dyDescent="0.25">
      <c r="L831687" s="472"/>
      <c r="M831687" s="472"/>
    </row>
    <row r="831688" spans="12:13" x14ac:dyDescent="0.25">
      <c r="L831688" s="472"/>
      <c r="M831688" s="472"/>
    </row>
    <row r="831689" spans="12:13" x14ac:dyDescent="0.25">
      <c r="L831689" s="472"/>
      <c r="M831689" s="472"/>
    </row>
    <row r="831761" spans="12:13" x14ac:dyDescent="0.25">
      <c r="L831761" s="472"/>
      <c r="M831761" s="472"/>
    </row>
    <row r="831762" spans="12:13" x14ac:dyDescent="0.25">
      <c r="L831762" s="472"/>
      <c r="M831762" s="472"/>
    </row>
    <row r="831763" spans="12:13" x14ac:dyDescent="0.25">
      <c r="L831763" s="472"/>
      <c r="M831763" s="472"/>
    </row>
    <row r="831835" spans="12:13" x14ac:dyDescent="0.25">
      <c r="L831835" s="472"/>
      <c r="M831835" s="472"/>
    </row>
    <row r="831836" spans="12:13" x14ac:dyDescent="0.25">
      <c r="L831836" s="472"/>
      <c r="M831836" s="472"/>
    </row>
    <row r="831837" spans="12:13" x14ac:dyDescent="0.25">
      <c r="L831837" s="472"/>
      <c r="M831837" s="472"/>
    </row>
    <row r="831909" spans="12:13" x14ac:dyDescent="0.25">
      <c r="L831909" s="472"/>
      <c r="M831909" s="472"/>
    </row>
    <row r="831910" spans="12:13" x14ac:dyDescent="0.25">
      <c r="L831910" s="472"/>
      <c r="M831910" s="472"/>
    </row>
    <row r="831911" spans="12:13" x14ac:dyDescent="0.25">
      <c r="L831911" s="472"/>
      <c r="M831911" s="472"/>
    </row>
    <row r="831983" spans="12:13" x14ac:dyDescent="0.25">
      <c r="L831983" s="472"/>
      <c r="M831983" s="472"/>
    </row>
    <row r="831984" spans="12:13" x14ac:dyDescent="0.25">
      <c r="L831984" s="472"/>
      <c r="M831984" s="472"/>
    </row>
    <row r="831985" spans="12:13" x14ac:dyDescent="0.25">
      <c r="L831985" s="472"/>
      <c r="M831985" s="472"/>
    </row>
    <row r="832057" spans="12:13" x14ac:dyDescent="0.25">
      <c r="L832057" s="472"/>
      <c r="M832057" s="472"/>
    </row>
    <row r="832058" spans="12:13" x14ac:dyDescent="0.25">
      <c r="L832058" s="472"/>
      <c r="M832058" s="472"/>
    </row>
    <row r="832059" spans="12:13" x14ac:dyDescent="0.25">
      <c r="L832059" s="472"/>
      <c r="M832059" s="472"/>
    </row>
    <row r="832131" spans="12:13" x14ac:dyDescent="0.25">
      <c r="L832131" s="472"/>
      <c r="M832131" s="472"/>
    </row>
    <row r="832132" spans="12:13" x14ac:dyDescent="0.25">
      <c r="L832132" s="472"/>
      <c r="M832132" s="472"/>
    </row>
    <row r="832133" spans="12:13" x14ac:dyDescent="0.25">
      <c r="L832133" s="472"/>
      <c r="M832133" s="472"/>
    </row>
    <row r="832205" spans="12:13" x14ac:dyDescent="0.25">
      <c r="L832205" s="472"/>
      <c r="M832205" s="472"/>
    </row>
    <row r="832206" spans="12:13" x14ac:dyDescent="0.25">
      <c r="L832206" s="472"/>
      <c r="M832206" s="472"/>
    </row>
    <row r="832207" spans="12:13" x14ac:dyDescent="0.25">
      <c r="L832207" s="472"/>
      <c r="M832207" s="472"/>
    </row>
    <row r="832279" spans="12:13" x14ac:dyDescent="0.25">
      <c r="L832279" s="472"/>
      <c r="M832279" s="472"/>
    </row>
    <row r="832280" spans="12:13" x14ac:dyDescent="0.25">
      <c r="L832280" s="472"/>
      <c r="M832280" s="472"/>
    </row>
    <row r="832281" spans="12:13" x14ac:dyDescent="0.25">
      <c r="L832281" s="472"/>
      <c r="M832281" s="472"/>
    </row>
    <row r="832353" spans="12:13" x14ac:dyDescent="0.25">
      <c r="L832353" s="472"/>
      <c r="M832353" s="472"/>
    </row>
    <row r="832354" spans="12:13" x14ac:dyDescent="0.25">
      <c r="L832354" s="472"/>
      <c r="M832354" s="472"/>
    </row>
    <row r="832355" spans="12:13" x14ac:dyDescent="0.25">
      <c r="L832355" s="472"/>
      <c r="M832355" s="472"/>
    </row>
    <row r="832427" spans="12:13" x14ac:dyDescent="0.25">
      <c r="L832427" s="472"/>
      <c r="M832427" s="472"/>
    </row>
    <row r="832428" spans="12:13" x14ac:dyDescent="0.25">
      <c r="L832428" s="472"/>
      <c r="M832428" s="472"/>
    </row>
    <row r="832429" spans="12:13" x14ac:dyDescent="0.25">
      <c r="L832429" s="472"/>
      <c r="M832429" s="472"/>
    </row>
    <row r="832501" spans="12:13" x14ac:dyDescent="0.25">
      <c r="L832501" s="472"/>
      <c r="M832501" s="472"/>
    </row>
    <row r="832502" spans="12:13" x14ac:dyDescent="0.25">
      <c r="L832502" s="472"/>
      <c r="M832502" s="472"/>
    </row>
    <row r="832503" spans="12:13" x14ac:dyDescent="0.25">
      <c r="L832503" s="472"/>
      <c r="M832503" s="472"/>
    </row>
    <row r="832575" spans="12:13" x14ac:dyDescent="0.25">
      <c r="L832575" s="472"/>
      <c r="M832575" s="472"/>
    </row>
    <row r="832576" spans="12:13" x14ac:dyDescent="0.25">
      <c r="L832576" s="472"/>
      <c r="M832576" s="472"/>
    </row>
    <row r="832577" spans="12:13" x14ac:dyDescent="0.25">
      <c r="L832577" s="472"/>
      <c r="M832577" s="472"/>
    </row>
    <row r="832649" spans="12:13" x14ac:dyDescent="0.25">
      <c r="L832649" s="472"/>
      <c r="M832649" s="472"/>
    </row>
    <row r="832650" spans="12:13" x14ac:dyDescent="0.25">
      <c r="L832650" s="472"/>
      <c r="M832650" s="472"/>
    </row>
    <row r="832651" spans="12:13" x14ac:dyDescent="0.25">
      <c r="L832651" s="472"/>
      <c r="M832651" s="472"/>
    </row>
    <row r="832723" spans="12:13" x14ac:dyDescent="0.25">
      <c r="L832723" s="472"/>
      <c r="M832723" s="472"/>
    </row>
    <row r="832724" spans="12:13" x14ac:dyDescent="0.25">
      <c r="L832724" s="472"/>
      <c r="M832724" s="472"/>
    </row>
    <row r="832725" spans="12:13" x14ac:dyDescent="0.25">
      <c r="L832725" s="472"/>
      <c r="M832725" s="472"/>
    </row>
    <row r="832797" spans="12:13" x14ac:dyDescent="0.25">
      <c r="L832797" s="472"/>
      <c r="M832797" s="472"/>
    </row>
    <row r="832798" spans="12:13" x14ac:dyDescent="0.25">
      <c r="L832798" s="472"/>
      <c r="M832798" s="472"/>
    </row>
    <row r="832799" spans="12:13" x14ac:dyDescent="0.25">
      <c r="L832799" s="472"/>
      <c r="M832799" s="472"/>
    </row>
    <row r="832871" spans="12:13" x14ac:dyDescent="0.25">
      <c r="L832871" s="472"/>
      <c r="M832871" s="472"/>
    </row>
    <row r="832872" spans="12:13" x14ac:dyDescent="0.25">
      <c r="L832872" s="472"/>
      <c r="M832872" s="472"/>
    </row>
    <row r="832873" spans="12:13" x14ac:dyDescent="0.25">
      <c r="L832873" s="472"/>
      <c r="M832873" s="472"/>
    </row>
    <row r="832945" spans="12:13" x14ac:dyDescent="0.25">
      <c r="L832945" s="472"/>
      <c r="M832945" s="472"/>
    </row>
    <row r="832946" spans="12:13" x14ac:dyDescent="0.25">
      <c r="L832946" s="472"/>
      <c r="M832946" s="472"/>
    </row>
    <row r="832947" spans="12:13" x14ac:dyDescent="0.25">
      <c r="L832947" s="472"/>
      <c r="M832947" s="472"/>
    </row>
    <row r="833019" spans="12:13" x14ac:dyDescent="0.25">
      <c r="L833019" s="472"/>
      <c r="M833019" s="472"/>
    </row>
    <row r="833020" spans="12:13" x14ac:dyDescent="0.25">
      <c r="L833020" s="472"/>
      <c r="M833020" s="472"/>
    </row>
    <row r="833021" spans="12:13" x14ac:dyDescent="0.25">
      <c r="L833021" s="472"/>
      <c r="M833021" s="472"/>
    </row>
    <row r="833093" spans="12:13" x14ac:dyDescent="0.25">
      <c r="L833093" s="472"/>
      <c r="M833093" s="472"/>
    </row>
    <row r="833094" spans="12:13" x14ac:dyDescent="0.25">
      <c r="L833094" s="472"/>
      <c r="M833094" s="472"/>
    </row>
    <row r="833095" spans="12:13" x14ac:dyDescent="0.25">
      <c r="L833095" s="472"/>
      <c r="M833095" s="472"/>
    </row>
    <row r="833167" spans="12:13" x14ac:dyDescent="0.25">
      <c r="L833167" s="472"/>
      <c r="M833167" s="472"/>
    </row>
    <row r="833168" spans="12:13" x14ac:dyDescent="0.25">
      <c r="L833168" s="472"/>
      <c r="M833168" s="472"/>
    </row>
    <row r="833169" spans="12:13" x14ac:dyDescent="0.25">
      <c r="L833169" s="472"/>
      <c r="M833169" s="472"/>
    </row>
    <row r="833241" spans="12:13" x14ac:dyDescent="0.25">
      <c r="L833241" s="472"/>
      <c r="M833241" s="472"/>
    </row>
    <row r="833242" spans="12:13" x14ac:dyDescent="0.25">
      <c r="L833242" s="472"/>
      <c r="M833242" s="472"/>
    </row>
    <row r="833243" spans="12:13" x14ac:dyDescent="0.25">
      <c r="L833243" s="472"/>
      <c r="M833243" s="472"/>
    </row>
    <row r="833315" spans="12:13" x14ac:dyDescent="0.25">
      <c r="L833315" s="472"/>
      <c r="M833315" s="472"/>
    </row>
    <row r="833316" spans="12:13" x14ac:dyDescent="0.25">
      <c r="L833316" s="472"/>
      <c r="M833316" s="472"/>
    </row>
    <row r="833317" spans="12:13" x14ac:dyDescent="0.25">
      <c r="L833317" s="472"/>
      <c r="M833317" s="472"/>
    </row>
    <row r="833389" spans="12:13" x14ac:dyDescent="0.25">
      <c r="L833389" s="472"/>
      <c r="M833389" s="472"/>
    </row>
    <row r="833390" spans="12:13" x14ac:dyDescent="0.25">
      <c r="L833390" s="472"/>
      <c r="M833390" s="472"/>
    </row>
    <row r="833391" spans="12:13" x14ac:dyDescent="0.25">
      <c r="L833391" s="472"/>
      <c r="M833391" s="472"/>
    </row>
    <row r="833463" spans="12:13" x14ac:dyDescent="0.25">
      <c r="L833463" s="472"/>
      <c r="M833463" s="472"/>
    </row>
    <row r="833464" spans="12:13" x14ac:dyDescent="0.25">
      <c r="L833464" s="472"/>
      <c r="M833464" s="472"/>
    </row>
    <row r="833465" spans="12:13" x14ac:dyDescent="0.25">
      <c r="L833465" s="472"/>
      <c r="M833465" s="472"/>
    </row>
    <row r="833537" spans="12:13" x14ac:dyDescent="0.25">
      <c r="L833537" s="472"/>
      <c r="M833537" s="472"/>
    </row>
    <row r="833538" spans="12:13" x14ac:dyDescent="0.25">
      <c r="L833538" s="472"/>
      <c r="M833538" s="472"/>
    </row>
    <row r="833539" spans="12:13" x14ac:dyDescent="0.25">
      <c r="L833539" s="472"/>
      <c r="M833539" s="472"/>
    </row>
    <row r="833611" spans="12:13" x14ac:dyDescent="0.25">
      <c r="L833611" s="472"/>
      <c r="M833611" s="472"/>
    </row>
    <row r="833612" spans="12:13" x14ac:dyDescent="0.25">
      <c r="L833612" s="472"/>
      <c r="M833612" s="472"/>
    </row>
    <row r="833613" spans="12:13" x14ac:dyDescent="0.25">
      <c r="L833613" s="472"/>
      <c r="M833613" s="472"/>
    </row>
    <row r="833685" spans="12:13" x14ac:dyDescent="0.25">
      <c r="L833685" s="472"/>
      <c r="M833685" s="472"/>
    </row>
    <row r="833686" spans="12:13" x14ac:dyDescent="0.25">
      <c r="L833686" s="472"/>
      <c r="M833686" s="472"/>
    </row>
    <row r="833687" spans="12:13" x14ac:dyDescent="0.25">
      <c r="L833687" s="472"/>
      <c r="M833687" s="472"/>
    </row>
    <row r="833759" spans="12:13" x14ac:dyDescent="0.25">
      <c r="L833759" s="472"/>
      <c r="M833759" s="472"/>
    </row>
    <row r="833760" spans="12:13" x14ac:dyDescent="0.25">
      <c r="L833760" s="472"/>
      <c r="M833760" s="472"/>
    </row>
    <row r="833761" spans="12:13" x14ac:dyDescent="0.25">
      <c r="L833761" s="472"/>
      <c r="M833761" s="472"/>
    </row>
    <row r="833833" spans="12:13" x14ac:dyDescent="0.25">
      <c r="L833833" s="472"/>
      <c r="M833833" s="472"/>
    </row>
    <row r="833834" spans="12:13" x14ac:dyDescent="0.25">
      <c r="L833834" s="472"/>
      <c r="M833834" s="472"/>
    </row>
    <row r="833835" spans="12:13" x14ac:dyDescent="0.25">
      <c r="L833835" s="472"/>
      <c r="M833835" s="472"/>
    </row>
    <row r="833907" spans="12:13" x14ac:dyDescent="0.25">
      <c r="L833907" s="472"/>
      <c r="M833907" s="472"/>
    </row>
    <row r="833908" spans="12:13" x14ac:dyDescent="0.25">
      <c r="L833908" s="472"/>
      <c r="M833908" s="472"/>
    </row>
    <row r="833909" spans="12:13" x14ac:dyDescent="0.25">
      <c r="L833909" s="472"/>
      <c r="M833909" s="472"/>
    </row>
    <row r="833981" spans="12:13" x14ac:dyDescent="0.25">
      <c r="L833981" s="472"/>
      <c r="M833981" s="472"/>
    </row>
    <row r="833982" spans="12:13" x14ac:dyDescent="0.25">
      <c r="L833982" s="472"/>
      <c r="M833982" s="472"/>
    </row>
    <row r="833983" spans="12:13" x14ac:dyDescent="0.25">
      <c r="L833983" s="472"/>
      <c r="M833983" s="472"/>
    </row>
    <row r="834055" spans="12:13" x14ac:dyDescent="0.25">
      <c r="L834055" s="472"/>
      <c r="M834055" s="472"/>
    </row>
    <row r="834056" spans="12:13" x14ac:dyDescent="0.25">
      <c r="L834056" s="472"/>
      <c r="M834056" s="472"/>
    </row>
    <row r="834057" spans="12:13" x14ac:dyDescent="0.25">
      <c r="L834057" s="472"/>
      <c r="M834057" s="472"/>
    </row>
    <row r="834129" spans="12:13" x14ac:dyDescent="0.25">
      <c r="L834129" s="472"/>
      <c r="M834129" s="472"/>
    </row>
    <row r="834130" spans="12:13" x14ac:dyDescent="0.25">
      <c r="L834130" s="472"/>
      <c r="M834130" s="472"/>
    </row>
    <row r="834131" spans="12:13" x14ac:dyDescent="0.25">
      <c r="L834131" s="472"/>
      <c r="M834131" s="472"/>
    </row>
    <row r="834203" spans="12:13" x14ac:dyDescent="0.25">
      <c r="L834203" s="472"/>
      <c r="M834203" s="472"/>
    </row>
    <row r="834204" spans="12:13" x14ac:dyDescent="0.25">
      <c r="L834204" s="472"/>
      <c r="M834204" s="472"/>
    </row>
    <row r="834205" spans="12:13" x14ac:dyDescent="0.25">
      <c r="L834205" s="472"/>
      <c r="M834205" s="472"/>
    </row>
    <row r="834277" spans="12:13" x14ac:dyDescent="0.25">
      <c r="L834277" s="472"/>
      <c r="M834277" s="472"/>
    </row>
    <row r="834278" spans="12:13" x14ac:dyDescent="0.25">
      <c r="L834278" s="472"/>
      <c r="M834278" s="472"/>
    </row>
    <row r="834279" spans="12:13" x14ac:dyDescent="0.25">
      <c r="L834279" s="472"/>
      <c r="M834279" s="472"/>
    </row>
    <row r="834351" spans="12:13" x14ac:dyDescent="0.25">
      <c r="L834351" s="472"/>
      <c r="M834351" s="472"/>
    </row>
    <row r="834352" spans="12:13" x14ac:dyDescent="0.25">
      <c r="L834352" s="472"/>
      <c r="M834352" s="472"/>
    </row>
    <row r="834353" spans="12:13" x14ac:dyDescent="0.25">
      <c r="L834353" s="472"/>
      <c r="M834353" s="472"/>
    </row>
    <row r="834425" spans="12:13" x14ac:dyDescent="0.25">
      <c r="L834425" s="472"/>
      <c r="M834425" s="472"/>
    </row>
    <row r="834426" spans="12:13" x14ac:dyDescent="0.25">
      <c r="L834426" s="472"/>
      <c r="M834426" s="472"/>
    </row>
    <row r="834427" spans="12:13" x14ac:dyDescent="0.25">
      <c r="L834427" s="472"/>
      <c r="M834427" s="472"/>
    </row>
    <row r="834499" spans="12:13" x14ac:dyDescent="0.25">
      <c r="L834499" s="472"/>
      <c r="M834499" s="472"/>
    </row>
    <row r="834500" spans="12:13" x14ac:dyDescent="0.25">
      <c r="L834500" s="472"/>
      <c r="M834500" s="472"/>
    </row>
    <row r="834501" spans="12:13" x14ac:dyDescent="0.25">
      <c r="L834501" s="472"/>
      <c r="M834501" s="472"/>
    </row>
    <row r="834573" spans="12:13" x14ac:dyDescent="0.25">
      <c r="L834573" s="472"/>
      <c r="M834573" s="472"/>
    </row>
    <row r="834574" spans="12:13" x14ac:dyDescent="0.25">
      <c r="L834574" s="472"/>
      <c r="M834574" s="472"/>
    </row>
    <row r="834575" spans="12:13" x14ac:dyDescent="0.25">
      <c r="L834575" s="472"/>
      <c r="M834575" s="472"/>
    </row>
    <row r="834647" spans="12:13" x14ac:dyDescent="0.25">
      <c r="L834647" s="472"/>
      <c r="M834647" s="472"/>
    </row>
    <row r="834648" spans="12:13" x14ac:dyDescent="0.25">
      <c r="L834648" s="472"/>
      <c r="M834648" s="472"/>
    </row>
    <row r="834649" spans="12:13" x14ac:dyDescent="0.25">
      <c r="L834649" s="472"/>
      <c r="M834649" s="472"/>
    </row>
    <row r="834721" spans="12:13" x14ac:dyDescent="0.25">
      <c r="L834721" s="472"/>
      <c r="M834721" s="472"/>
    </row>
    <row r="834722" spans="12:13" x14ac:dyDescent="0.25">
      <c r="L834722" s="472"/>
      <c r="M834722" s="472"/>
    </row>
    <row r="834723" spans="12:13" x14ac:dyDescent="0.25">
      <c r="L834723" s="472"/>
      <c r="M834723" s="472"/>
    </row>
    <row r="834795" spans="12:13" x14ac:dyDescent="0.25">
      <c r="L834795" s="472"/>
      <c r="M834795" s="472"/>
    </row>
    <row r="834796" spans="12:13" x14ac:dyDescent="0.25">
      <c r="L834796" s="472"/>
      <c r="M834796" s="472"/>
    </row>
    <row r="834797" spans="12:13" x14ac:dyDescent="0.25">
      <c r="L834797" s="472"/>
      <c r="M834797" s="472"/>
    </row>
    <row r="834869" spans="12:13" x14ac:dyDescent="0.25">
      <c r="L834869" s="472"/>
      <c r="M834869" s="472"/>
    </row>
    <row r="834870" spans="12:13" x14ac:dyDescent="0.25">
      <c r="L834870" s="472"/>
      <c r="M834870" s="472"/>
    </row>
    <row r="834871" spans="12:13" x14ac:dyDescent="0.25">
      <c r="L834871" s="472"/>
      <c r="M834871" s="472"/>
    </row>
    <row r="834943" spans="12:13" x14ac:dyDescent="0.25">
      <c r="L834943" s="472"/>
      <c r="M834943" s="472"/>
    </row>
    <row r="834944" spans="12:13" x14ac:dyDescent="0.25">
      <c r="L834944" s="472"/>
      <c r="M834944" s="472"/>
    </row>
    <row r="834945" spans="12:13" x14ac:dyDescent="0.25">
      <c r="L834945" s="472"/>
      <c r="M834945" s="472"/>
    </row>
    <row r="835017" spans="12:13" x14ac:dyDescent="0.25">
      <c r="L835017" s="472"/>
      <c r="M835017" s="472"/>
    </row>
    <row r="835018" spans="12:13" x14ac:dyDescent="0.25">
      <c r="L835018" s="472"/>
      <c r="M835018" s="472"/>
    </row>
    <row r="835019" spans="12:13" x14ac:dyDescent="0.25">
      <c r="L835019" s="472"/>
      <c r="M835019" s="472"/>
    </row>
    <row r="835091" spans="12:13" x14ac:dyDescent="0.25">
      <c r="L835091" s="472"/>
      <c r="M835091" s="472"/>
    </row>
    <row r="835092" spans="12:13" x14ac:dyDescent="0.25">
      <c r="L835092" s="472"/>
      <c r="M835092" s="472"/>
    </row>
    <row r="835093" spans="12:13" x14ac:dyDescent="0.25">
      <c r="L835093" s="472"/>
      <c r="M835093" s="472"/>
    </row>
    <row r="835165" spans="12:13" x14ac:dyDescent="0.25">
      <c r="L835165" s="472"/>
      <c r="M835165" s="472"/>
    </row>
    <row r="835166" spans="12:13" x14ac:dyDescent="0.25">
      <c r="L835166" s="472"/>
      <c r="M835166" s="472"/>
    </row>
    <row r="835167" spans="12:13" x14ac:dyDescent="0.25">
      <c r="L835167" s="472"/>
      <c r="M835167" s="472"/>
    </row>
    <row r="835239" spans="12:13" x14ac:dyDescent="0.25">
      <c r="L835239" s="472"/>
      <c r="M835239" s="472"/>
    </row>
    <row r="835240" spans="12:13" x14ac:dyDescent="0.25">
      <c r="L835240" s="472"/>
      <c r="M835240" s="472"/>
    </row>
    <row r="835241" spans="12:13" x14ac:dyDescent="0.25">
      <c r="L835241" s="472"/>
      <c r="M835241" s="472"/>
    </row>
    <row r="835313" spans="12:13" x14ac:dyDescent="0.25">
      <c r="L835313" s="472"/>
      <c r="M835313" s="472"/>
    </row>
    <row r="835314" spans="12:13" x14ac:dyDescent="0.25">
      <c r="L835314" s="472"/>
      <c r="M835314" s="472"/>
    </row>
    <row r="835315" spans="12:13" x14ac:dyDescent="0.25">
      <c r="L835315" s="472"/>
      <c r="M835315" s="472"/>
    </row>
    <row r="835387" spans="12:13" x14ac:dyDescent="0.25">
      <c r="L835387" s="472"/>
      <c r="M835387" s="472"/>
    </row>
    <row r="835388" spans="12:13" x14ac:dyDescent="0.25">
      <c r="L835388" s="472"/>
      <c r="M835388" s="472"/>
    </row>
    <row r="835389" spans="12:13" x14ac:dyDescent="0.25">
      <c r="L835389" s="472"/>
      <c r="M835389" s="472"/>
    </row>
    <row r="835461" spans="12:13" x14ac:dyDescent="0.25">
      <c r="L835461" s="472"/>
      <c r="M835461" s="472"/>
    </row>
    <row r="835462" spans="12:13" x14ac:dyDescent="0.25">
      <c r="L835462" s="472"/>
      <c r="M835462" s="472"/>
    </row>
    <row r="835463" spans="12:13" x14ac:dyDescent="0.25">
      <c r="L835463" s="472"/>
      <c r="M835463" s="472"/>
    </row>
    <row r="835535" spans="12:13" x14ac:dyDescent="0.25">
      <c r="L835535" s="472"/>
      <c r="M835535" s="472"/>
    </row>
    <row r="835536" spans="12:13" x14ac:dyDescent="0.25">
      <c r="L835536" s="472"/>
      <c r="M835536" s="472"/>
    </row>
    <row r="835537" spans="12:13" x14ac:dyDescent="0.25">
      <c r="L835537" s="472"/>
      <c r="M835537" s="472"/>
    </row>
    <row r="835609" spans="12:13" x14ac:dyDescent="0.25">
      <c r="L835609" s="472"/>
      <c r="M835609" s="472"/>
    </row>
    <row r="835610" spans="12:13" x14ac:dyDescent="0.25">
      <c r="L835610" s="472"/>
      <c r="M835610" s="472"/>
    </row>
    <row r="835611" spans="12:13" x14ac:dyDescent="0.25">
      <c r="L835611" s="472"/>
      <c r="M835611" s="472"/>
    </row>
    <row r="835683" spans="12:13" x14ac:dyDescent="0.25">
      <c r="L835683" s="472"/>
      <c r="M835683" s="472"/>
    </row>
    <row r="835684" spans="12:13" x14ac:dyDescent="0.25">
      <c r="L835684" s="472"/>
      <c r="M835684" s="472"/>
    </row>
    <row r="835685" spans="12:13" x14ac:dyDescent="0.25">
      <c r="L835685" s="472"/>
      <c r="M835685" s="472"/>
    </row>
    <row r="835757" spans="12:13" x14ac:dyDescent="0.25">
      <c r="L835757" s="472"/>
      <c r="M835757" s="472"/>
    </row>
    <row r="835758" spans="12:13" x14ac:dyDescent="0.25">
      <c r="L835758" s="472"/>
      <c r="M835758" s="472"/>
    </row>
    <row r="835759" spans="12:13" x14ac:dyDescent="0.25">
      <c r="L835759" s="472"/>
      <c r="M835759" s="472"/>
    </row>
    <row r="835831" spans="12:13" x14ac:dyDescent="0.25">
      <c r="L835831" s="472"/>
      <c r="M835831" s="472"/>
    </row>
    <row r="835832" spans="12:13" x14ac:dyDescent="0.25">
      <c r="L835832" s="472"/>
      <c r="M835832" s="472"/>
    </row>
    <row r="835833" spans="12:13" x14ac:dyDescent="0.25">
      <c r="L835833" s="472"/>
      <c r="M835833" s="472"/>
    </row>
    <row r="835905" spans="12:13" x14ac:dyDescent="0.25">
      <c r="L835905" s="472"/>
      <c r="M835905" s="472"/>
    </row>
    <row r="835906" spans="12:13" x14ac:dyDescent="0.25">
      <c r="L835906" s="472"/>
      <c r="M835906" s="472"/>
    </row>
    <row r="835907" spans="12:13" x14ac:dyDescent="0.25">
      <c r="L835907" s="472"/>
      <c r="M835907" s="472"/>
    </row>
    <row r="835979" spans="12:13" x14ac:dyDescent="0.25">
      <c r="L835979" s="472"/>
      <c r="M835979" s="472"/>
    </row>
    <row r="835980" spans="12:13" x14ac:dyDescent="0.25">
      <c r="L835980" s="472"/>
      <c r="M835980" s="472"/>
    </row>
    <row r="835981" spans="12:13" x14ac:dyDescent="0.25">
      <c r="L835981" s="472"/>
      <c r="M835981" s="472"/>
    </row>
    <row r="836053" spans="12:13" x14ac:dyDescent="0.25">
      <c r="L836053" s="472"/>
      <c r="M836053" s="472"/>
    </row>
    <row r="836054" spans="12:13" x14ac:dyDescent="0.25">
      <c r="L836054" s="472"/>
      <c r="M836054" s="472"/>
    </row>
    <row r="836055" spans="12:13" x14ac:dyDescent="0.25">
      <c r="L836055" s="472"/>
      <c r="M836055" s="472"/>
    </row>
    <row r="836127" spans="12:13" x14ac:dyDescent="0.25">
      <c r="L836127" s="472"/>
      <c r="M836127" s="472"/>
    </row>
    <row r="836128" spans="12:13" x14ac:dyDescent="0.25">
      <c r="L836128" s="472"/>
      <c r="M836128" s="472"/>
    </row>
    <row r="836129" spans="12:13" x14ac:dyDescent="0.25">
      <c r="L836129" s="472"/>
      <c r="M836129" s="472"/>
    </row>
    <row r="836201" spans="12:13" x14ac:dyDescent="0.25">
      <c r="L836201" s="472"/>
      <c r="M836201" s="472"/>
    </row>
    <row r="836202" spans="12:13" x14ac:dyDescent="0.25">
      <c r="L836202" s="472"/>
      <c r="M836202" s="472"/>
    </row>
    <row r="836203" spans="12:13" x14ac:dyDescent="0.25">
      <c r="L836203" s="472"/>
      <c r="M836203" s="472"/>
    </row>
    <row r="836275" spans="12:13" x14ac:dyDescent="0.25">
      <c r="L836275" s="472"/>
      <c r="M836275" s="472"/>
    </row>
    <row r="836276" spans="12:13" x14ac:dyDescent="0.25">
      <c r="L836276" s="472"/>
      <c r="M836276" s="472"/>
    </row>
    <row r="836277" spans="12:13" x14ac:dyDescent="0.25">
      <c r="L836277" s="472"/>
      <c r="M836277" s="472"/>
    </row>
    <row r="836349" spans="12:13" x14ac:dyDescent="0.25">
      <c r="L836349" s="472"/>
      <c r="M836349" s="472"/>
    </row>
    <row r="836350" spans="12:13" x14ac:dyDescent="0.25">
      <c r="L836350" s="472"/>
      <c r="M836350" s="472"/>
    </row>
    <row r="836351" spans="12:13" x14ac:dyDescent="0.25">
      <c r="L836351" s="472"/>
      <c r="M836351" s="472"/>
    </row>
    <row r="836423" spans="12:13" x14ac:dyDescent="0.25">
      <c r="L836423" s="472"/>
      <c r="M836423" s="472"/>
    </row>
    <row r="836424" spans="12:13" x14ac:dyDescent="0.25">
      <c r="L836424" s="472"/>
      <c r="M836424" s="472"/>
    </row>
    <row r="836425" spans="12:13" x14ac:dyDescent="0.25">
      <c r="L836425" s="472"/>
      <c r="M836425" s="472"/>
    </row>
    <row r="836497" spans="12:13" x14ac:dyDescent="0.25">
      <c r="L836497" s="472"/>
      <c r="M836497" s="472"/>
    </row>
    <row r="836498" spans="12:13" x14ac:dyDescent="0.25">
      <c r="L836498" s="472"/>
      <c r="M836498" s="472"/>
    </row>
    <row r="836499" spans="12:13" x14ac:dyDescent="0.25">
      <c r="L836499" s="472"/>
      <c r="M836499" s="472"/>
    </row>
    <row r="836571" spans="12:13" x14ac:dyDescent="0.25">
      <c r="L836571" s="472"/>
      <c r="M836571" s="472"/>
    </row>
    <row r="836572" spans="12:13" x14ac:dyDescent="0.25">
      <c r="L836572" s="472"/>
      <c r="M836572" s="472"/>
    </row>
    <row r="836573" spans="12:13" x14ac:dyDescent="0.25">
      <c r="L836573" s="472"/>
      <c r="M836573" s="472"/>
    </row>
    <row r="836645" spans="12:13" x14ac:dyDescent="0.25">
      <c r="L836645" s="472"/>
      <c r="M836645" s="472"/>
    </row>
    <row r="836646" spans="12:13" x14ac:dyDescent="0.25">
      <c r="L836646" s="472"/>
      <c r="M836646" s="472"/>
    </row>
    <row r="836647" spans="12:13" x14ac:dyDescent="0.25">
      <c r="L836647" s="472"/>
      <c r="M836647" s="472"/>
    </row>
    <row r="836719" spans="12:13" x14ac:dyDescent="0.25">
      <c r="L836719" s="472"/>
      <c r="M836719" s="472"/>
    </row>
    <row r="836720" spans="12:13" x14ac:dyDescent="0.25">
      <c r="L836720" s="472"/>
      <c r="M836720" s="472"/>
    </row>
    <row r="836721" spans="12:13" x14ac:dyDescent="0.25">
      <c r="L836721" s="472"/>
      <c r="M836721" s="472"/>
    </row>
    <row r="836793" spans="12:13" x14ac:dyDescent="0.25">
      <c r="L836793" s="472"/>
      <c r="M836793" s="472"/>
    </row>
    <row r="836794" spans="12:13" x14ac:dyDescent="0.25">
      <c r="L836794" s="472"/>
      <c r="M836794" s="472"/>
    </row>
    <row r="836795" spans="12:13" x14ac:dyDescent="0.25">
      <c r="L836795" s="472"/>
      <c r="M836795" s="472"/>
    </row>
    <row r="836867" spans="12:13" x14ac:dyDescent="0.25">
      <c r="L836867" s="472"/>
      <c r="M836867" s="472"/>
    </row>
    <row r="836868" spans="12:13" x14ac:dyDescent="0.25">
      <c r="L836868" s="472"/>
      <c r="M836868" s="472"/>
    </row>
    <row r="836869" spans="12:13" x14ac:dyDescent="0.25">
      <c r="L836869" s="472"/>
      <c r="M836869" s="472"/>
    </row>
    <row r="836941" spans="12:13" x14ac:dyDescent="0.25">
      <c r="L836941" s="472"/>
      <c r="M836941" s="472"/>
    </row>
    <row r="836942" spans="12:13" x14ac:dyDescent="0.25">
      <c r="L836942" s="472"/>
      <c r="M836942" s="472"/>
    </row>
    <row r="836943" spans="12:13" x14ac:dyDescent="0.25">
      <c r="L836943" s="472"/>
      <c r="M836943" s="472"/>
    </row>
    <row r="837015" spans="12:13" x14ac:dyDescent="0.25">
      <c r="L837015" s="472"/>
      <c r="M837015" s="472"/>
    </row>
    <row r="837016" spans="12:13" x14ac:dyDescent="0.25">
      <c r="L837016" s="472"/>
      <c r="M837016" s="472"/>
    </row>
    <row r="837017" spans="12:13" x14ac:dyDescent="0.25">
      <c r="L837017" s="472"/>
      <c r="M837017" s="472"/>
    </row>
    <row r="837089" spans="12:13" x14ac:dyDescent="0.25">
      <c r="L837089" s="472"/>
      <c r="M837089" s="472"/>
    </row>
    <row r="837090" spans="12:13" x14ac:dyDescent="0.25">
      <c r="L837090" s="472"/>
      <c r="M837090" s="472"/>
    </row>
    <row r="837091" spans="12:13" x14ac:dyDescent="0.25">
      <c r="L837091" s="472"/>
      <c r="M837091" s="472"/>
    </row>
    <row r="837163" spans="12:13" x14ac:dyDescent="0.25">
      <c r="L837163" s="472"/>
      <c r="M837163" s="472"/>
    </row>
    <row r="837164" spans="12:13" x14ac:dyDescent="0.25">
      <c r="L837164" s="472"/>
      <c r="M837164" s="472"/>
    </row>
    <row r="837165" spans="12:13" x14ac:dyDescent="0.25">
      <c r="L837165" s="472"/>
      <c r="M837165" s="472"/>
    </row>
    <row r="837237" spans="12:13" x14ac:dyDescent="0.25">
      <c r="L837237" s="472"/>
      <c r="M837237" s="472"/>
    </row>
    <row r="837238" spans="12:13" x14ac:dyDescent="0.25">
      <c r="L837238" s="472"/>
      <c r="M837238" s="472"/>
    </row>
    <row r="837239" spans="12:13" x14ac:dyDescent="0.25">
      <c r="L837239" s="472"/>
      <c r="M837239" s="472"/>
    </row>
    <row r="837311" spans="12:13" x14ac:dyDescent="0.25">
      <c r="L837311" s="472"/>
      <c r="M837311" s="472"/>
    </row>
    <row r="837312" spans="12:13" x14ac:dyDescent="0.25">
      <c r="L837312" s="472"/>
      <c r="M837312" s="472"/>
    </row>
    <row r="837313" spans="12:13" x14ac:dyDescent="0.25">
      <c r="L837313" s="472"/>
      <c r="M837313" s="472"/>
    </row>
    <row r="837385" spans="12:13" x14ac:dyDescent="0.25">
      <c r="L837385" s="472"/>
      <c r="M837385" s="472"/>
    </row>
    <row r="837386" spans="12:13" x14ac:dyDescent="0.25">
      <c r="L837386" s="472"/>
      <c r="M837386" s="472"/>
    </row>
    <row r="837387" spans="12:13" x14ac:dyDescent="0.25">
      <c r="L837387" s="472"/>
      <c r="M837387" s="472"/>
    </row>
    <row r="837459" spans="12:13" x14ac:dyDescent="0.25">
      <c r="L837459" s="472"/>
      <c r="M837459" s="472"/>
    </row>
    <row r="837460" spans="12:13" x14ac:dyDescent="0.25">
      <c r="L837460" s="472"/>
      <c r="M837460" s="472"/>
    </row>
    <row r="837461" spans="12:13" x14ac:dyDescent="0.25">
      <c r="L837461" s="472"/>
      <c r="M837461" s="472"/>
    </row>
    <row r="837533" spans="12:13" x14ac:dyDescent="0.25">
      <c r="L837533" s="472"/>
      <c r="M837533" s="472"/>
    </row>
    <row r="837534" spans="12:13" x14ac:dyDescent="0.25">
      <c r="L837534" s="472"/>
      <c r="M837534" s="472"/>
    </row>
    <row r="837535" spans="12:13" x14ac:dyDescent="0.25">
      <c r="L837535" s="472"/>
      <c r="M837535" s="472"/>
    </row>
    <row r="837607" spans="12:13" x14ac:dyDescent="0.25">
      <c r="L837607" s="472"/>
      <c r="M837607" s="472"/>
    </row>
    <row r="837608" spans="12:13" x14ac:dyDescent="0.25">
      <c r="L837608" s="472"/>
      <c r="M837608" s="472"/>
    </row>
    <row r="837609" spans="12:13" x14ac:dyDescent="0.25">
      <c r="L837609" s="472"/>
      <c r="M837609" s="472"/>
    </row>
    <row r="837681" spans="12:13" x14ac:dyDescent="0.25">
      <c r="L837681" s="472"/>
      <c r="M837681" s="472"/>
    </row>
    <row r="837682" spans="12:13" x14ac:dyDescent="0.25">
      <c r="L837682" s="472"/>
      <c r="M837682" s="472"/>
    </row>
    <row r="837683" spans="12:13" x14ac:dyDescent="0.25">
      <c r="L837683" s="472"/>
      <c r="M837683" s="472"/>
    </row>
    <row r="837755" spans="12:13" x14ac:dyDescent="0.25">
      <c r="L837755" s="472"/>
      <c r="M837755" s="472"/>
    </row>
    <row r="837756" spans="12:13" x14ac:dyDescent="0.25">
      <c r="L837756" s="472"/>
      <c r="M837756" s="472"/>
    </row>
    <row r="837757" spans="12:13" x14ac:dyDescent="0.25">
      <c r="L837757" s="472"/>
      <c r="M837757" s="472"/>
    </row>
    <row r="837829" spans="12:13" x14ac:dyDescent="0.25">
      <c r="L837829" s="472"/>
      <c r="M837829" s="472"/>
    </row>
    <row r="837830" spans="12:13" x14ac:dyDescent="0.25">
      <c r="L837830" s="472"/>
      <c r="M837830" s="472"/>
    </row>
    <row r="837831" spans="12:13" x14ac:dyDescent="0.25">
      <c r="L837831" s="472"/>
      <c r="M837831" s="472"/>
    </row>
    <row r="837903" spans="12:13" x14ac:dyDescent="0.25">
      <c r="L837903" s="472"/>
      <c r="M837903" s="472"/>
    </row>
    <row r="837904" spans="12:13" x14ac:dyDescent="0.25">
      <c r="L837904" s="472"/>
      <c r="M837904" s="472"/>
    </row>
    <row r="837905" spans="12:13" x14ac:dyDescent="0.25">
      <c r="L837905" s="472"/>
      <c r="M837905" s="472"/>
    </row>
    <row r="837977" spans="12:13" x14ac:dyDescent="0.25">
      <c r="L837977" s="472"/>
      <c r="M837977" s="472"/>
    </row>
    <row r="837978" spans="12:13" x14ac:dyDescent="0.25">
      <c r="L837978" s="472"/>
      <c r="M837978" s="472"/>
    </row>
    <row r="837979" spans="12:13" x14ac:dyDescent="0.25">
      <c r="L837979" s="472"/>
      <c r="M837979" s="472"/>
    </row>
    <row r="838051" spans="12:13" x14ac:dyDescent="0.25">
      <c r="L838051" s="472"/>
      <c r="M838051" s="472"/>
    </row>
    <row r="838052" spans="12:13" x14ac:dyDescent="0.25">
      <c r="L838052" s="472"/>
      <c r="M838052" s="472"/>
    </row>
    <row r="838053" spans="12:13" x14ac:dyDescent="0.25">
      <c r="L838053" s="472"/>
      <c r="M838053" s="472"/>
    </row>
    <row r="838125" spans="12:13" x14ac:dyDescent="0.25">
      <c r="L838125" s="472"/>
      <c r="M838125" s="472"/>
    </row>
    <row r="838126" spans="12:13" x14ac:dyDescent="0.25">
      <c r="L838126" s="472"/>
      <c r="M838126" s="472"/>
    </row>
    <row r="838127" spans="12:13" x14ac:dyDescent="0.25">
      <c r="L838127" s="472"/>
      <c r="M838127" s="472"/>
    </row>
    <row r="838199" spans="12:13" x14ac:dyDescent="0.25">
      <c r="L838199" s="472"/>
      <c r="M838199" s="472"/>
    </row>
    <row r="838200" spans="12:13" x14ac:dyDescent="0.25">
      <c r="L838200" s="472"/>
      <c r="M838200" s="472"/>
    </row>
    <row r="838201" spans="12:13" x14ac:dyDescent="0.25">
      <c r="L838201" s="472"/>
      <c r="M838201" s="472"/>
    </row>
    <row r="838273" spans="12:13" x14ac:dyDescent="0.25">
      <c r="L838273" s="472"/>
      <c r="M838273" s="472"/>
    </row>
    <row r="838274" spans="12:13" x14ac:dyDescent="0.25">
      <c r="L838274" s="472"/>
      <c r="M838274" s="472"/>
    </row>
    <row r="838275" spans="12:13" x14ac:dyDescent="0.25">
      <c r="L838275" s="472"/>
      <c r="M838275" s="472"/>
    </row>
    <row r="838347" spans="12:13" x14ac:dyDescent="0.25">
      <c r="L838347" s="472"/>
      <c r="M838347" s="472"/>
    </row>
    <row r="838348" spans="12:13" x14ac:dyDescent="0.25">
      <c r="L838348" s="472"/>
      <c r="M838348" s="472"/>
    </row>
    <row r="838349" spans="12:13" x14ac:dyDescent="0.25">
      <c r="L838349" s="472"/>
      <c r="M838349" s="472"/>
    </row>
    <row r="838421" spans="12:13" x14ac:dyDescent="0.25">
      <c r="L838421" s="472"/>
      <c r="M838421" s="472"/>
    </row>
    <row r="838422" spans="12:13" x14ac:dyDescent="0.25">
      <c r="L838422" s="472"/>
      <c r="M838422" s="472"/>
    </row>
    <row r="838423" spans="12:13" x14ac:dyDescent="0.25">
      <c r="L838423" s="472"/>
      <c r="M838423" s="472"/>
    </row>
    <row r="838495" spans="12:13" x14ac:dyDescent="0.25">
      <c r="L838495" s="472"/>
      <c r="M838495" s="472"/>
    </row>
    <row r="838496" spans="12:13" x14ac:dyDescent="0.25">
      <c r="L838496" s="472"/>
      <c r="M838496" s="472"/>
    </row>
    <row r="838497" spans="12:13" x14ac:dyDescent="0.25">
      <c r="L838497" s="472"/>
      <c r="M838497" s="472"/>
    </row>
    <row r="838569" spans="12:13" x14ac:dyDescent="0.25">
      <c r="L838569" s="472"/>
      <c r="M838569" s="472"/>
    </row>
    <row r="838570" spans="12:13" x14ac:dyDescent="0.25">
      <c r="L838570" s="472"/>
      <c r="M838570" s="472"/>
    </row>
    <row r="838571" spans="12:13" x14ac:dyDescent="0.25">
      <c r="L838571" s="472"/>
      <c r="M838571" s="472"/>
    </row>
    <row r="838643" spans="12:13" x14ac:dyDescent="0.25">
      <c r="L838643" s="472"/>
      <c r="M838643" s="472"/>
    </row>
    <row r="838644" spans="12:13" x14ac:dyDescent="0.25">
      <c r="L838644" s="472"/>
      <c r="M838644" s="472"/>
    </row>
    <row r="838645" spans="12:13" x14ac:dyDescent="0.25">
      <c r="L838645" s="472"/>
      <c r="M838645" s="472"/>
    </row>
    <row r="838717" spans="12:13" x14ac:dyDescent="0.25">
      <c r="L838717" s="472"/>
      <c r="M838717" s="472"/>
    </row>
    <row r="838718" spans="12:13" x14ac:dyDescent="0.25">
      <c r="L838718" s="472"/>
      <c r="M838718" s="472"/>
    </row>
    <row r="838719" spans="12:13" x14ac:dyDescent="0.25">
      <c r="L838719" s="472"/>
      <c r="M838719" s="472"/>
    </row>
    <row r="838791" spans="12:13" x14ac:dyDescent="0.25">
      <c r="L838791" s="472"/>
      <c r="M838791" s="472"/>
    </row>
    <row r="838792" spans="12:13" x14ac:dyDescent="0.25">
      <c r="L838792" s="472"/>
      <c r="M838792" s="472"/>
    </row>
    <row r="838793" spans="12:13" x14ac:dyDescent="0.25">
      <c r="L838793" s="472"/>
      <c r="M838793" s="472"/>
    </row>
    <row r="838865" spans="12:13" x14ac:dyDescent="0.25">
      <c r="L838865" s="472"/>
      <c r="M838865" s="472"/>
    </row>
    <row r="838866" spans="12:13" x14ac:dyDescent="0.25">
      <c r="L838866" s="472"/>
      <c r="M838866" s="472"/>
    </row>
    <row r="838867" spans="12:13" x14ac:dyDescent="0.25">
      <c r="L838867" s="472"/>
      <c r="M838867" s="472"/>
    </row>
    <row r="838939" spans="12:13" x14ac:dyDescent="0.25">
      <c r="L838939" s="472"/>
      <c r="M838939" s="472"/>
    </row>
    <row r="838940" spans="12:13" x14ac:dyDescent="0.25">
      <c r="L838940" s="472"/>
      <c r="M838940" s="472"/>
    </row>
    <row r="838941" spans="12:13" x14ac:dyDescent="0.25">
      <c r="L838941" s="472"/>
      <c r="M838941" s="472"/>
    </row>
    <row r="839013" spans="12:13" x14ac:dyDescent="0.25">
      <c r="L839013" s="472"/>
      <c r="M839013" s="472"/>
    </row>
    <row r="839014" spans="12:13" x14ac:dyDescent="0.25">
      <c r="L839014" s="472"/>
      <c r="M839014" s="472"/>
    </row>
    <row r="839015" spans="12:13" x14ac:dyDescent="0.25">
      <c r="L839015" s="472"/>
      <c r="M839015" s="472"/>
    </row>
    <row r="839087" spans="12:13" x14ac:dyDescent="0.25">
      <c r="L839087" s="472"/>
      <c r="M839087" s="472"/>
    </row>
    <row r="839088" spans="12:13" x14ac:dyDescent="0.25">
      <c r="L839088" s="472"/>
      <c r="M839088" s="472"/>
    </row>
    <row r="839089" spans="12:13" x14ac:dyDescent="0.25">
      <c r="L839089" s="472"/>
      <c r="M839089" s="472"/>
    </row>
    <row r="839161" spans="12:13" x14ac:dyDescent="0.25">
      <c r="L839161" s="472"/>
      <c r="M839161" s="472"/>
    </row>
    <row r="839162" spans="12:13" x14ac:dyDescent="0.25">
      <c r="L839162" s="472"/>
      <c r="M839162" s="472"/>
    </row>
    <row r="839163" spans="12:13" x14ac:dyDescent="0.25">
      <c r="L839163" s="472"/>
      <c r="M839163" s="472"/>
    </row>
    <row r="839235" spans="12:13" x14ac:dyDescent="0.25">
      <c r="L839235" s="472"/>
      <c r="M839235" s="472"/>
    </row>
    <row r="839236" spans="12:13" x14ac:dyDescent="0.25">
      <c r="L839236" s="472"/>
      <c r="M839236" s="472"/>
    </row>
    <row r="839237" spans="12:13" x14ac:dyDescent="0.25">
      <c r="L839237" s="472"/>
      <c r="M839237" s="472"/>
    </row>
    <row r="839309" spans="12:13" x14ac:dyDescent="0.25">
      <c r="L839309" s="472"/>
      <c r="M839309" s="472"/>
    </row>
    <row r="839310" spans="12:13" x14ac:dyDescent="0.25">
      <c r="L839310" s="472"/>
      <c r="M839310" s="472"/>
    </row>
    <row r="839311" spans="12:13" x14ac:dyDescent="0.25">
      <c r="L839311" s="472"/>
      <c r="M839311" s="472"/>
    </row>
    <row r="839383" spans="12:13" x14ac:dyDescent="0.25">
      <c r="L839383" s="472"/>
      <c r="M839383" s="472"/>
    </row>
    <row r="839384" spans="12:13" x14ac:dyDescent="0.25">
      <c r="L839384" s="472"/>
      <c r="M839384" s="472"/>
    </row>
    <row r="839385" spans="12:13" x14ac:dyDescent="0.25">
      <c r="L839385" s="472"/>
      <c r="M839385" s="472"/>
    </row>
    <row r="839457" spans="12:13" x14ac:dyDescent="0.25">
      <c r="L839457" s="472"/>
      <c r="M839457" s="472"/>
    </row>
    <row r="839458" spans="12:13" x14ac:dyDescent="0.25">
      <c r="L839458" s="472"/>
      <c r="M839458" s="472"/>
    </row>
    <row r="839459" spans="12:13" x14ac:dyDescent="0.25">
      <c r="L839459" s="472"/>
      <c r="M839459" s="472"/>
    </row>
    <row r="839531" spans="12:13" x14ac:dyDescent="0.25">
      <c r="L839531" s="472"/>
      <c r="M839531" s="472"/>
    </row>
    <row r="839532" spans="12:13" x14ac:dyDescent="0.25">
      <c r="L839532" s="472"/>
      <c r="M839532" s="472"/>
    </row>
    <row r="839533" spans="12:13" x14ac:dyDescent="0.25">
      <c r="L839533" s="472"/>
      <c r="M839533" s="472"/>
    </row>
    <row r="839605" spans="12:13" x14ac:dyDescent="0.25">
      <c r="L839605" s="472"/>
      <c r="M839605" s="472"/>
    </row>
    <row r="839606" spans="12:13" x14ac:dyDescent="0.25">
      <c r="L839606" s="472"/>
      <c r="M839606" s="472"/>
    </row>
    <row r="839607" spans="12:13" x14ac:dyDescent="0.25">
      <c r="L839607" s="472"/>
      <c r="M839607" s="472"/>
    </row>
    <row r="839679" spans="12:13" x14ac:dyDescent="0.25">
      <c r="L839679" s="472"/>
      <c r="M839679" s="472"/>
    </row>
    <row r="839680" spans="12:13" x14ac:dyDescent="0.25">
      <c r="L839680" s="472"/>
      <c r="M839680" s="472"/>
    </row>
    <row r="839681" spans="12:13" x14ac:dyDescent="0.25">
      <c r="L839681" s="472"/>
      <c r="M839681" s="472"/>
    </row>
    <row r="839753" spans="12:13" x14ac:dyDescent="0.25">
      <c r="L839753" s="472"/>
      <c r="M839753" s="472"/>
    </row>
    <row r="839754" spans="12:13" x14ac:dyDescent="0.25">
      <c r="L839754" s="472"/>
      <c r="M839754" s="472"/>
    </row>
    <row r="839755" spans="12:13" x14ac:dyDescent="0.25">
      <c r="L839755" s="472"/>
      <c r="M839755" s="472"/>
    </row>
    <row r="839827" spans="12:13" x14ac:dyDescent="0.25">
      <c r="L839827" s="472"/>
      <c r="M839827" s="472"/>
    </row>
    <row r="839828" spans="12:13" x14ac:dyDescent="0.25">
      <c r="L839828" s="472"/>
      <c r="M839828" s="472"/>
    </row>
    <row r="839829" spans="12:13" x14ac:dyDescent="0.25">
      <c r="L839829" s="472"/>
      <c r="M839829" s="472"/>
    </row>
    <row r="839901" spans="12:13" x14ac:dyDescent="0.25">
      <c r="L839901" s="472"/>
      <c r="M839901" s="472"/>
    </row>
    <row r="839902" spans="12:13" x14ac:dyDescent="0.25">
      <c r="L839902" s="472"/>
      <c r="M839902" s="472"/>
    </row>
    <row r="839903" spans="12:13" x14ac:dyDescent="0.25">
      <c r="L839903" s="472"/>
      <c r="M839903" s="472"/>
    </row>
    <row r="839975" spans="12:13" x14ac:dyDescent="0.25">
      <c r="L839975" s="472"/>
      <c r="M839975" s="472"/>
    </row>
    <row r="839976" spans="12:13" x14ac:dyDescent="0.25">
      <c r="L839976" s="472"/>
      <c r="M839976" s="472"/>
    </row>
    <row r="839977" spans="12:13" x14ac:dyDescent="0.25">
      <c r="L839977" s="472"/>
      <c r="M839977" s="472"/>
    </row>
    <row r="840049" spans="12:13" x14ac:dyDescent="0.25">
      <c r="L840049" s="472"/>
      <c r="M840049" s="472"/>
    </row>
    <row r="840050" spans="12:13" x14ac:dyDescent="0.25">
      <c r="L840050" s="472"/>
      <c r="M840050" s="472"/>
    </row>
    <row r="840051" spans="12:13" x14ac:dyDescent="0.25">
      <c r="L840051" s="472"/>
      <c r="M840051" s="472"/>
    </row>
    <row r="840123" spans="12:13" x14ac:dyDescent="0.25">
      <c r="L840123" s="472"/>
      <c r="M840123" s="472"/>
    </row>
    <row r="840124" spans="12:13" x14ac:dyDescent="0.25">
      <c r="L840124" s="472"/>
      <c r="M840124" s="472"/>
    </row>
    <row r="840125" spans="12:13" x14ac:dyDescent="0.25">
      <c r="L840125" s="472"/>
      <c r="M840125" s="472"/>
    </row>
    <row r="840197" spans="12:13" x14ac:dyDescent="0.25">
      <c r="L840197" s="472"/>
      <c r="M840197" s="472"/>
    </row>
    <row r="840198" spans="12:13" x14ac:dyDescent="0.25">
      <c r="L840198" s="472"/>
      <c r="M840198" s="472"/>
    </row>
    <row r="840199" spans="12:13" x14ac:dyDescent="0.25">
      <c r="L840199" s="472"/>
      <c r="M840199" s="472"/>
    </row>
    <row r="840271" spans="12:13" x14ac:dyDescent="0.25">
      <c r="L840271" s="472"/>
      <c r="M840271" s="472"/>
    </row>
    <row r="840272" spans="12:13" x14ac:dyDescent="0.25">
      <c r="L840272" s="472"/>
      <c r="M840272" s="472"/>
    </row>
    <row r="840273" spans="12:13" x14ac:dyDescent="0.25">
      <c r="L840273" s="472"/>
      <c r="M840273" s="472"/>
    </row>
    <row r="840345" spans="12:13" x14ac:dyDescent="0.25">
      <c r="L840345" s="472"/>
      <c r="M840345" s="472"/>
    </row>
    <row r="840346" spans="12:13" x14ac:dyDescent="0.25">
      <c r="L840346" s="472"/>
      <c r="M840346" s="472"/>
    </row>
    <row r="840347" spans="12:13" x14ac:dyDescent="0.25">
      <c r="L840347" s="472"/>
      <c r="M840347" s="472"/>
    </row>
    <row r="840419" spans="12:13" x14ac:dyDescent="0.25">
      <c r="L840419" s="472"/>
      <c r="M840419" s="472"/>
    </row>
    <row r="840420" spans="12:13" x14ac:dyDescent="0.25">
      <c r="L840420" s="472"/>
      <c r="M840420" s="472"/>
    </row>
    <row r="840421" spans="12:13" x14ac:dyDescent="0.25">
      <c r="L840421" s="472"/>
      <c r="M840421" s="472"/>
    </row>
    <row r="840493" spans="12:13" x14ac:dyDescent="0.25">
      <c r="L840493" s="472"/>
      <c r="M840493" s="472"/>
    </row>
    <row r="840494" spans="12:13" x14ac:dyDescent="0.25">
      <c r="L840494" s="472"/>
      <c r="M840494" s="472"/>
    </row>
    <row r="840495" spans="12:13" x14ac:dyDescent="0.25">
      <c r="L840495" s="472"/>
      <c r="M840495" s="472"/>
    </row>
    <row r="840567" spans="12:13" x14ac:dyDescent="0.25">
      <c r="L840567" s="472"/>
      <c r="M840567" s="472"/>
    </row>
    <row r="840568" spans="12:13" x14ac:dyDescent="0.25">
      <c r="L840568" s="472"/>
      <c r="M840568" s="472"/>
    </row>
    <row r="840569" spans="12:13" x14ac:dyDescent="0.25">
      <c r="L840569" s="472"/>
      <c r="M840569" s="472"/>
    </row>
    <row r="840641" spans="12:13" x14ac:dyDescent="0.25">
      <c r="L840641" s="472"/>
      <c r="M840641" s="472"/>
    </row>
    <row r="840642" spans="12:13" x14ac:dyDescent="0.25">
      <c r="L840642" s="472"/>
      <c r="M840642" s="472"/>
    </row>
    <row r="840643" spans="12:13" x14ac:dyDescent="0.25">
      <c r="L840643" s="472"/>
      <c r="M840643" s="472"/>
    </row>
    <row r="840715" spans="12:13" x14ac:dyDescent="0.25">
      <c r="L840715" s="472"/>
      <c r="M840715" s="472"/>
    </row>
    <row r="840716" spans="12:13" x14ac:dyDescent="0.25">
      <c r="L840716" s="472"/>
      <c r="M840716" s="472"/>
    </row>
    <row r="840717" spans="12:13" x14ac:dyDescent="0.25">
      <c r="L840717" s="472"/>
      <c r="M840717" s="472"/>
    </row>
    <row r="840789" spans="12:13" x14ac:dyDescent="0.25">
      <c r="L840789" s="472"/>
      <c r="M840789" s="472"/>
    </row>
    <row r="840790" spans="12:13" x14ac:dyDescent="0.25">
      <c r="L840790" s="472"/>
      <c r="M840790" s="472"/>
    </row>
    <row r="840791" spans="12:13" x14ac:dyDescent="0.25">
      <c r="L840791" s="472"/>
      <c r="M840791" s="472"/>
    </row>
    <row r="840863" spans="12:13" x14ac:dyDescent="0.25">
      <c r="L840863" s="472"/>
      <c r="M840863" s="472"/>
    </row>
    <row r="840864" spans="12:13" x14ac:dyDescent="0.25">
      <c r="L840864" s="472"/>
      <c r="M840864" s="472"/>
    </row>
    <row r="840865" spans="12:13" x14ac:dyDescent="0.25">
      <c r="L840865" s="472"/>
      <c r="M840865" s="472"/>
    </row>
    <row r="840937" spans="12:13" x14ac:dyDescent="0.25">
      <c r="L840937" s="472"/>
      <c r="M840937" s="472"/>
    </row>
    <row r="840938" spans="12:13" x14ac:dyDescent="0.25">
      <c r="L840938" s="472"/>
      <c r="M840938" s="472"/>
    </row>
    <row r="840939" spans="12:13" x14ac:dyDescent="0.25">
      <c r="L840939" s="472"/>
      <c r="M840939" s="472"/>
    </row>
    <row r="841011" spans="12:13" x14ac:dyDescent="0.25">
      <c r="L841011" s="472"/>
      <c r="M841011" s="472"/>
    </row>
    <row r="841012" spans="12:13" x14ac:dyDescent="0.25">
      <c r="L841012" s="472"/>
      <c r="M841012" s="472"/>
    </row>
    <row r="841013" spans="12:13" x14ac:dyDescent="0.25">
      <c r="L841013" s="472"/>
      <c r="M841013" s="472"/>
    </row>
    <row r="841085" spans="12:13" x14ac:dyDescent="0.25">
      <c r="L841085" s="472"/>
      <c r="M841085" s="472"/>
    </row>
    <row r="841086" spans="12:13" x14ac:dyDescent="0.25">
      <c r="L841086" s="472"/>
      <c r="M841086" s="472"/>
    </row>
    <row r="841087" spans="12:13" x14ac:dyDescent="0.25">
      <c r="L841087" s="472"/>
      <c r="M841087" s="472"/>
    </row>
    <row r="841159" spans="12:13" x14ac:dyDescent="0.25">
      <c r="L841159" s="472"/>
      <c r="M841159" s="472"/>
    </row>
    <row r="841160" spans="12:13" x14ac:dyDescent="0.25">
      <c r="L841160" s="472"/>
      <c r="M841160" s="472"/>
    </row>
    <row r="841161" spans="12:13" x14ac:dyDescent="0.25">
      <c r="L841161" s="472"/>
      <c r="M841161" s="472"/>
    </row>
    <row r="841233" spans="12:13" x14ac:dyDescent="0.25">
      <c r="L841233" s="472"/>
      <c r="M841233" s="472"/>
    </row>
    <row r="841234" spans="12:13" x14ac:dyDescent="0.25">
      <c r="L841234" s="472"/>
      <c r="M841234" s="472"/>
    </row>
    <row r="841235" spans="12:13" x14ac:dyDescent="0.25">
      <c r="L841235" s="472"/>
      <c r="M841235" s="472"/>
    </row>
    <row r="841307" spans="12:13" x14ac:dyDescent="0.25">
      <c r="L841307" s="472"/>
      <c r="M841307" s="472"/>
    </row>
    <row r="841308" spans="12:13" x14ac:dyDescent="0.25">
      <c r="L841308" s="472"/>
      <c r="M841308" s="472"/>
    </row>
    <row r="841309" spans="12:13" x14ac:dyDescent="0.25">
      <c r="L841309" s="472"/>
      <c r="M841309" s="472"/>
    </row>
    <row r="841381" spans="12:13" x14ac:dyDescent="0.25">
      <c r="L841381" s="472"/>
      <c r="M841381" s="472"/>
    </row>
    <row r="841382" spans="12:13" x14ac:dyDescent="0.25">
      <c r="L841382" s="472"/>
      <c r="M841382" s="472"/>
    </row>
    <row r="841383" spans="12:13" x14ac:dyDescent="0.25">
      <c r="L841383" s="472"/>
      <c r="M841383" s="472"/>
    </row>
    <row r="841455" spans="12:13" x14ac:dyDescent="0.25">
      <c r="L841455" s="472"/>
      <c r="M841455" s="472"/>
    </row>
    <row r="841456" spans="12:13" x14ac:dyDescent="0.25">
      <c r="L841456" s="472"/>
      <c r="M841456" s="472"/>
    </row>
    <row r="841457" spans="12:13" x14ac:dyDescent="0.25">
      <c r="L841457" s="472"/>
      <c r="M841457" s="472"/>
    </row>
    <row r="841529" spans="12:13" x14ac:dyDescent="0.25">
      <c r="L841529" s="472"/>
      <c r="M841529" s="472"/>
    </row>
    <row r="841530" spans="12:13" x14ac:dyDescent="0.25">
      <c r="L841530" s="472"/>
      <c r="M841530" s="472"/>
    </row>
    <row r="841531" spans="12:13" x14ac:dyDescent="0.25">
      <c r="L841531" s="472"/>
      <c r="M841531" s="472"/>
    </row>
    <row r="841603" spans="12:13" x14ac:dyDescent="0.25">
      <c r="L841603" s="472"/>
      <c r="M841603" s="472"/>
    </row>
    <row r="841604" spans="12:13" x14ac:dyDescent="0.25">
      <c r="L841604" s="472"/>
      <c r="M841604" s="472"/>
    </row>
    <row r="841605" spans="12:13" x14ac:dyDescent="0.25">
      <c r="L841605" s="472"/>
      <c r="M841605" s="472"/>
    </row>
    <row r="841677" spans="12:13" x14ac:dyDescent="0.25">
      <c r="L841677" s="472"/>
      <c r="M841677" s="472"/>
    </row>
    <row r="841678" spans="12:13" x14ac:dyDescent="0.25">
      <c r="L841678" s="472"/>
      <c r="M841678" s="472"/>
    </row>
    <row r="841679" spans="12:13" x14ac:dyDescent="0.25">
      <c r="L841679" s="472"/>
      <c r="M841679" s="472"/>
    </row>
    <row r="841751" spans="12:13" x14ac:dyDescent="0.25">
      <c r="L841751" s="472"/>
      <c r="M841751" s="472"/>
    </row>
    <row r="841752" spans="12:13" x14ac:dyDescent="0.25">
      <c r="L841752" s="472"/>
      <c r="M841752" s="472"/>
    </row>
    <row r="841753" spans="12:13" x14ac:dyDescent="0.25">
      <c r="L841753" s="472"/>
      <c r="M841753" s="472"/>
    </row>
    <row r="841825" spans="12:13" x14ac:dyDescent="0.25">
      <c r="L841825" s="472"/>
      <c r="M841825" s="472"/>
    </row>
    <row r="841826" spans="12:13" x14ac:dyDescent="0.25">
      <c r="L841826" s="472"/>
      <c r="M841826" s="472"/>
    </row>
    <row r="841827" spans="12:13" x14ac:dyDescent="0.25">
      <c r="L841827" s="472"/>
      <c r="M841827" s="472"/>
    </row>
    <row r="841899" spans="12:13" x14ac:dyDescent="0.25">
      <c r="L841899" s="472"/>
      <c r="M841899" s="472"/>
    </row>
    <row r="841900" spans="12:13" x14ac:dyDescent="0.25">
      <c r="L841900" s="472"/>
      <c r="M841900" s="472"/>
    </row>
    <row r="841901" spans="12:13" x14ac:dyDescent="0.25">
      <c r="L841901" s="472"/>
      <c r="M841901" s="472"/>
    </row>
    <row r="841973" spans="12:13" x14ac:dyDescent="0.25">
      <c r="L841973" s="472"/>
      <c r="M841973" s="472"/>
    </row>
    <row r="841974" spans="12:13" x14ac:dyDescent="0.25">
      <c r="L841974" s="472"/>
      <c r="M841974" s="472"/>
    </row>
    <row r="841975" spans="12:13" x14ac:dyDescent="0.25">
      <c r="L841975" s="472"/>
      <c r="M841975" s="472"/>
    </row>
    <row r="842047" spans="12:13" x14ac:dyDescent="0.25">
      <c r="L842047" s="472"/>
      <c r="M842047" s="472"/>
    </row>
    <row r="842048" spans="12:13" x14ac:dyDescent="0.25">
      <c r="L842048" s="472"/>
      <c r="M842048" s="472"/>
    </row>
    <row r="842049" spans="12:13" x14ac:dyDescent="0.25">
      <c r="L842049" s="472"/>
      <c r="M842049" s="472"/>
    </row>
    <row r="842121" spans="12:13" x14ac:dyDescent="0.25">
      <c r="L842121" s="472"/>
      <c r="M842121" s="472"/>
    </row>
    <row r="842122" spans="12:13" x14ac:dyDescent="0.25">
      <c r="L842122" s="472"/>
      <c r="M842122" s="472"/>
    </row>
    <row r="842123" spans="12:13" x14ac:dyDescent="0.25">
      <c r="L842123" s="472"/>
      <c r="M842123" s="472"/>
    </row>
    <row r="842195" spans="12:13" x14ac:dyDescent="0.25">
      <c r="L842195" s="472"/>
      <c r="M842195" s="472"/>
    </row>
    <row r="842196" spans="12:13" x14ac:dyDescent="0.25">
      <c r="L842196" s="472"/>
      <c r="M842196" s="472"/>
    </row>
    <row r="842197" spans="12:13" x14ac:dyDescent="0.25">
      <c r="L842197" s="472"/>
      <c r="M842197" s="472"/>
    </row>
    <row r="842269" spans="12:13" x14ac:dyDescent="0.25">
      <c r="L842269" s="472"/>
      <c r="M842269" s="472"/>
    </row>
    <row r="842270" spans="12:13" x14ac:dyDescent="0.25">
      <c r="L842270" s="472"/>
      <c r="M842270" s="472"/>
    </row>
    <row r="842271" spans="12:13" x14ac:dyDescent="0.25">
      <c r="L842271" s="472"/>
      <c r="M842271" s="472"/>
    </row>
    <row r="842343" spans="12:13" x14ac:dyDescent="0.25">
      <c r="L842343" s="472"/>
      <c r="M842343" s="472"/>
    </row>
    <row r="842344" spans="12:13" x14ac:dyDescent="0.25">
      <c r="L842344" s="472"/>
      <c r="M842344" s="472"/>
    </row>
    <row r="842345" spans="12:13" x14ac:dyDescent="0.25">
      <c r="L842345" s="472"/>
      <c r="M842345" s="472"/>
    </row>
    <row r="842417" spans="12:13" x14ac:dyDescent="0.25">
      <c r="L842417" s="472"/>
      <c r="M842417" s="472"/>
    </row>
    <row r="842418" spans="12:13" x14ac:dyDescent="0.25">
      <c r="L842418" s="472"/>
      <c r="M842418" s="472"/>
    </row>
    <row r="842419" spans="12:13" x14ac:dyDescent="0.25">
      <c r="L842419" s="472"/>
      <c r="M842419" s="472"/>
    </row>
    <row r="842491" spans="12:13" x14ac:dyDescent="0.25">
      <c r="L842491" s="472"/>
      <c r="M842491" s="472"/>
    </row>
    <row r="842492" spans="12:13" x14ac:dyDescent="0.25">
      <c r="L842492" s="472"/>
      <c r="M842492" s="472"/>
    </row>
    <row r="842493" spans="12:13" x14ac:dyDescent="0.25">
      <c r="L842493" s="472"/>
      <c r="M842493" s="472"/>
    </row>
    <row r="842565" spans="12:13" x14ac:dyDescent="0.25">
      <c r="L842565" s="472"/>
      <c r="M842565" s="472"/>
    </row>
    <row r="842566" spans="12:13" x14ac:dyDescent="0.25">
      <c r="L842566" s="472"/>
      <c r="M842566" s="472"/>
    </row>
    <row r="842567" spans="12:13" x14ac:dyDescent="0.25">
      <c r="L842567" s="472"/>
      <c r="M842567" s="472"/>
    </row>
    <row r="842639" spans="12:13" x14ac:dyDescent="0.25">
      <c r="L842639" s="472"/>
      <c r="M842639" s="472"/>
    </row>
    <row r="842640" spans="12:13" x14ac:dyDescent="0.25">
      <c r="L842640" s="472"/>
      <c r="M842640" s="472"/>
    </row>
    <row r="842641" spans="12:13" x14ac:dyDescent="0.25">
      <c r="L842641" s="472"/>
      <c r="M842641" s="472"/>
    </row>
    <row r="842713" spans="12:13" x14ac:dyDescent="0.25">
      <c r="L842713" s="472"/>
      <c r="M842713" s="472"/>
    </row>
    <row r="842714" spans="12:13" x14ac:dyDescent="0.25">
      <c r="L842714" s="472"/>
      <c r="M842714" s="472"/>
    </row>
    <row r="842715" spans="12:13" x14ac:dyDescent="0.25">
      <c r="L842715" s="472"/>
      <c r="M842715" s="472"/>
    </row>
    <row r="842787" spans="12:13" x14ac:dyDescent="0.25">
      <c r="L842787" s="472"/>
      <c r="M842787" s="472"/>
    </row>
    <row r="842788" spans="12:13" x14ac:dyDescent="0.25">
      <c r="L842788" s="472"/>
      <c r="M842788" s="472"/>
    </row>
    <row r="842789" spans="12:13" x14ac:dyDescent="0.25">
      <c r="L842789" s="472"/>
      <c r="M842789" s="472"/>
    </row>
    <row r="842861" spans="12:13" x14ac:dyDescent="0.25">
      <c r="L842861" s="472"/>
      <c r="M842861" s="472"/>
    </row>
    <row r="842862" spans="12:13" x14ac:dyDescent="0.25">
      <c r="L842862" s="472"/>
      <c r="M842862" s="472"/>
    </row>
    <row r="842863" spans="12:13" x14ac:dyDescent="0.25">
      <c r="L842863" s="472"/>
      <c r="M842863" s="472"/>
    </row>
    <row r="842935" spans="12:13" x14ac:dyDescent="0.25">
      <c r="L842935" s="472"/>
      <c r="M842935" s="472"/>
    </row>
    <row r="842936" spans="12:13" x14ac:dyDescent="0.25">
      <c r="L842936" s="472"/>
      <c r="M842936" s="472"/>
    </row>
    <row r="842937" spans="12:13" x14ac:dyDescent="0.25">
      <c r="L842937" s="472"/>
      <c r="M842937" s="472"/>
    </row>
    <row r="843009" spans="12:13" x14ac:dyDescent="0.25">
      <c r="L843009" s="472"/>
      <c r="M843009" s="472"/>
    </row>
    <row r="843010" spans="12:13" x14ac:dyDescent="0.25">
      <c r="L843010" s="472"/>
      <c r="M843010" s="472"/>
    </row>
    <row r="843011" spans="12:13" x14ac:dyDescent="0.25">
      <c r="L843011" s="472"/>
      <c r="M843011" s="472"/>
    </row>
    <row r="843083" spans="12:13" x14ac:dyDescent="0.25">
      <c r="L843083" s="472"/>
      <c r="M843083" s="472"/>
    </row>
    <row r="843084" spans="12:13" x14ac:dyDescent="0.25">
      <c r="L843084" s="472"/>
      <c r="M843084" s="472"/>
    </row>
    <row r="843085" spans="12:13" x14ac:dyDescent="0.25">
      <c r="L843085" s="472"/>
      <c r="M843085" s="472"/>
    </row>
    <row r="843157" spans="12:13" x14ac:dyDescent="0.25">
      <c r="L843157" s="472"/>
      <c r="M843157" s="472"/>
    </row>
    <row r="843158" spans="12:13" x14ac:dyDescent="0.25">
      <c r="L843158" s="472"/>
      <c r="M843158" s="472"/>
    </row>
    <row r="843159" spans="12:13" x14ac:dyDescent="0.25">
      <c r="L843159" s="472"/>
      <c r="M843159" s="472"/>
    </row>
    <row r="843231" spans="12:13" x14ac:dyDescent="0.25">
      <c r="L843231" s="472"/>
      <c r="M843231" s="472"/>
    </row>
    <row r="843232" spans="12:13" x14ac:dyDescent="0.25">
      <c r="L843232" s="472"/>
      <c r="M843232" s="472"/>
    </row>
    <row r="843233" spans="12:13" x14ac:dyDescent="0.25">
      <c r="L843233" s="472"/>
      <c r="M843233" s="472"/>
    </row>
    <row r="843305" spans="12:13" x14ac:dyDescent="0.25">
      <c r="L843305" s="472"/>
      <c r="M843305" s="472"/>
    </row>
    <row r="843306" spans="12:13" x14ac:dyDescent="0.25">
      <c r="L843306" s="472"/>
      <c r="M843306" s="472"/>
    </row>
    <row r="843307" spans="12:13" x14ac:dyDescent="0.25">
      <c r="L843307" s="472"/>
      <c r="M843307" s="472"/>
    </row>
    <row r="843379" spans="12:13" x14ac:dyDescent="0.25">
      <c r="L843379" s="472"/>
      <c r="M843379" s="472"/>
    </row>
    <row r="843380" spans="12:13" x14ac:dyDescent="0.25">
      <c r="L843380" s="472"/>
      <c r="M843380" s="472"/>
    </row>
    <row r="843381" spans="12:13" x14ac:dyDescent="0.25">
      <c r="L843381" s="472"/>
      <c r="M843381" s="472"/>
    </row>
    <row r="843453" spans="12:13" x14ac:dyDescent="0.25">
      <c r="L843453" s="472"/>
      <c r="M843453" s="472"/>
    </row>
    <row r="843454" spans="12:13" x14ac:dyDescent="0.25">
      <c r="L843454" s="472"/>
      <c r="M843454" s="472"/>
    </row>
    <row r="843455" spans="12:13" x14ac:dyDescent="0.25">
      <c r="L843455" s="472"/>
      <c r="M843455" s="472"/>
    </row>
    <row r="843527" spans="12:13" x14ac:dyDescent="0.25">
      <c r="L843527" s="472"/>
      <c r="M843527" s="472"/>
    </row>
    <row r="843528" spans="12:13" x14ac:dyDescent="0.25">
      <c r="L843528" s="472"/>
      <c r="M843528" s="472"/>
    </row>
    <row r="843529" spans="12:13" x14ac:dyDescent="0.25">
      <c r="L843529" s="472"/>
      <c r="M843529" s="472"/>
    </row>
    <row r="843601" spans="12:13" x14ac:dyDescent="0.25">
      <c r="L843601" s="472"/>
      <c r="M843601" s="472"/>
    </row>
    <row r="843602" spans="12:13" x14ac:dyDescent="0.25">
      <c r="L843602" s="472"/>
      <c r="M843602" s="472"/>
    </row>
    <row r="843603" spans="12:13" x14ac:dyDescent="0.25">
      <c r="L843603" s="472"/>
      <c r="M843603" s="472"/>
    </row>
    <row r="843675" spans="12:13" x14ac:dyDescent="0.25">
      <c r="L843675" s="472"/>
      <c r="M843675" s="472"/>
    </row>
    <row r="843676" spans="12:13" x14ac:dyDescent="0.25">
      <c r="L843676" s="472"/>
      <c r="M843676" s="472"/>
    </row>
    <row r="843677" spans="12:13" x14ac:dyDescent="0.25">
      <c r="L843677" s="472"/>
      <c r="M843677" s="472"/>
    </row>
    <row r="843749" spans="12:13" x14ac:dyDescent="0.25">
      <c r="L843749" s="472"/>
      <c r="M843749" s="472"/>
    </row>
    <row r="843750" spans="12:13" x14ac:dyDescent="0.25">
      <c r="L843750" s="472"/>
      <c r="M843750" s="472"/>
    </row>
    <row r="843751" spans="12:13" x14ac:dyDescent="0.25">
      <c r="L843751" s="472"/>
      <c r="M843751" s="472"/>
    </row>
    <row r="843823" spans="12:13" x14ac:dyDescent="0.25">
      <c r="L843823" s="472"/>
      <c r="M843823" s="472"/>
    </row>
    <row r="843824" spans="12:13" x14ac:dyDescent="0.25">
      <c r="L843824" s="472"/>
      <c r="M843824" s="472"/>
    </row>
    <row r="843825" spans="12:13" x14ac:dyDescent="0.25">
      <c r="L843825" s="472"/>
      <c r="M843825" s="472"/>
    </row>
    <row r="843897" spans="12:13" x14ac:dyDescent="0.25">
      <c r="L843897" s="472"/>
      <c r="M843897" s="472"/>
    </row>
    <row r="843898" spans="12:13" x14ac:dyDescent="0.25">
      <c r="L843898" s="472"/>
      <c r="M843898" s="472"/>
    </row>
    <row r="843899" spans="12:13" x14ac:dyDescent="0.25">
      <c r="L843899" s="472"/>
      <c r="M843899" s="472"/>
    </row>
    <row r="843971" spans="12:13" x14ac:dyDescent="0.25">
      <c r="L843971" s="472"/>
      <c r="M843971" s="472"/>
    </row>
    <row r="843972" spans="12:13" x14ac:dyDescent="0.25">
      <c r="L843972" s="472"/>
      <c r="M843972" s="472"/>
    </row>
    <row r="843973" spans="12:13" x14ac:dyDescent="0.25">
      <c r="L843973" s="472"/>
      <c r="M843973" s="472"/>
    </row>
    <row r="844045" spans="12:13" x14ac:dyDescent="0.25">
      <c r="L844045" s="472"/>
      <c r="M844045" s="472"/>
    </row>
    <row r="844046" spans="12:13" x14ac:dyDescent="0.25">
      <c r="L844046" s="472"/>
      <c r="M844046" s="472"/>
    </row>
    <row r="844047" spans="12:13" x14ac:dyDescent="0.25">
      <c r="L844047" s="472"/>
      <c r="M844047" s="472"/>
    </row>
    <row r="844119" spans="12:13" x14ac:dyDescent="0.25">
      <c r="L844119" s="472"/>
      <c r="M844119" s="472"/>
    </row>
    <row r="844120" spans="12:13" x14ac:dyDescent="0.25">
      <c r="L844120" s="472"/>
      <c r="M844120" s="472"/>
    </row>
    <row r="844121" spans="12:13" x14ac:dyDescent="0.25">
      <c r="L844121" s="472"/>
      <c r="M844121" s="472"/>
    </row>
    <row r="844193" spans="12:13" x14ac:dyDescent="0.25">
      <c r="L844193" s="472"/>
      <c r="M844193" s="472"/>
    </row>
    <row r="844194" spans="12:13" x14ac:dyDescent="0.25">
      <c r="L844194" s="472"/>
      <c r="M844194" s="472"/>
    </row>
    <row r="844195" spans="12:13" x14ac:dyDescent="0.25">
      <c r="L844195" s="472"/>
      <c r="M844195" s="472"/>
    </row>
    <row r="844267" spans="12:13" x14ac:dyDescent="0.25">
      <c r="L844267" s="472"/>
      <c r="M844267" s="472"/>
    </row>
    <row r="844268" spans="12:13" x14ac:dyDescent="0.25">
      <c r="L844268" s="472"/>
      <c r="M844268" s="472"/>
    </row>
    <row r="844269" spans="12:13" x14ac:dyDescent="0.25">
      <c r="L844269" s="472"/>
      <c r="M844269" s="472"/>
    </row>
    <row r="844341" spans="12:13" x14ac:dyDescent="0.25">
      <c r="L844341" s="472"/>
      <c r="M844341" s="472"/>
    </row>
    <row r="844342" spans="12:13" x14ac:dyDescent="0.25">
      <c r="L844342" s="472"/>
      <c r="M844342" s="472"/>
    </row>
    <row r="844343" spans="12:13" x14ac:dyDescent="0.25">
      <c r="L844343" s="472"/>
      <c r="M844343" s="472"/>
    </row>
    <row r="844415" spans="12:13" x14ac:dyDescent="0.25">
      <c r="L844415" s="472"/>
      <c r="M844415" s="472"/>
    </row>
    <row r="844416" spans="12:13" x14ac:dyDescent="0.25">
      <c r="L844416" s="472"/>
      <c r="M844416" s="472"/>
    </row>
    <row r="844417" spans="12:13" x14ac:dyDescent="0.25">
      <c r="L844417" s="472"/>
      <c r="M844417" s="472"/>
    </row>
    <row r="844489" spans="12:13" x14ac:dyDescent="0.25">
      <c r="L844489" s="472"/>
      <c r="M844489" s="472"/>
    </row>
    <row r="844490" spans="12:13" x14ac:dyDescent="0.25">
      <c r="L844490" s="472"/>
      <c r="M844490" s="472"/>
    </row>
    <row r="844491" spans="12:13" x14ac:dyDescent="0.25">
      <c r="L844491" s="472"/>
      <c r="M844491" s="472"/>
    </row>
    <row r="844563" spans="12:13" x14ac:dyDescent="0.25">
      <c r="L844563" s="472"/>
      <c r="M844563" s="472"/>
    </row>
    <row r="844564" spans="12:13" x14ac:dyDescent="0.25">
      <c r="L844564" s="472"/>
      <c r="M844564" s="472"/>
    </row>
    <row r="844565" spans="12:13" x14ac:dyDescent="0.25">
      <c r="L844565" s="472"/>
      <c r="M844565" s="472"/>
    </row>
    <row r="844637" spans="12:13" x14ac:dyDescent="0.25">
      <c r="L844637" s="472"/>
      <c r="M844637" s="472"/>
    </row>
    <row r="844638" spans="12:13" x14ac:dyDescent="0.25">
      <c r="L844638" s="472"/>
      <c r="M844638" s="472"/>
    </row>
    <row r="844639" spans="12:13" x14ac:dyDescent="0.25">
      <c r="L844639" s="472"/>
      <c r="M844639" s="472"/>
    </row>
    <row r="844711" spans="12:13" x14ac:dyDescent="0.25">
      <c r="L844711" s="472"/>
      <c r="M844711" s="472"/>
    </row>
    <row r="844712" spans="12:13" x14ac:dyDescent="0.25">
      <c r="L844712" s="472"/>
      <c r="M844712" s="472"/>
    </row>
    <row r="844713" spans="12:13" x14ac:dyDescent="0.25">
      <c r="L844713" s="472"/>
      <c r="M844713" s="472"/>
    </row>
    <row r="844785" spans="12:13" x14ac:dyDescent="0.25">
      <c r="L844785" s="472"/>
      <c r="M844785" s="472"/>
    </row>
    <row r="844786" spans="12:13" x14ac:dyDescent="0.25">
      <c r="L844786" s="472"/>
      <c r="M844786" s="472"/>
    </row>
    <row r="844787" spans="12:13" x14ac:dyDescent="0.25">
      <c r="L844787" s="472"/>
      <c r="M844787" s="472"/>
    </row>
    <row r="844859" spans="12:13" x14ac:dyDescent="0.25">
      <c r="L844859" s="472"/>
      <c r="M844859" s="472"/>
    </row>
    <row r="844860" spans="12:13" x14ac:dyDescent="0.25">
      <c r="L844860" s="472"/>
      <c r="M844860" s="472"/>
    </row>
    <row r="844861" spans="12:13" x14ac:dyDescent="0.25">
      <c r="L844861" s="472"/>
      <c r="M844861" s="472"/>
    </row>
    <row r="844933" spans="12:13" x14ac:dyDescent="0.25">
      <c r="L844933" s="472"/>
      <c r="M844933" s="472"/>
    </row>
    <row r="844934" spans="12:13" x14ac:dyDescent="0.25">
      <c r="L844934" s="472"/>
      <c r="M844934" s="472"/>
    </row>
    <row r="844935" spans="12:13" x14ac:dyDescent="0.25">
      <c r="L844935" s="472"/>
      <c r="M844935" s="472"/>
    </row>
    <row r="845007" spans="12:13" x14ac:dyDescent="0.25">
      <c r="L845007" s="472"/>
      <c r="M845007" s="472"/>
    </row>
    <row r="845008" spans="12:13" x14ac:dyDescent="0.25">
      <c r="L845008" s="472"/>
      <c r="M845008" s="472"/>
    </row>
    <row r="845009" spans="12:13" x14ac:dyDescent="0.25">
      <c r="L845009" s="472"/>
      <c r="M845009" s="472"/>
    </row>
    <row r="845081" spans="12:13" x14ac:dyDescent="0.25">
      <c r="L845081" s="472"/>
      <c r="M845081" s="472"/>
    </row>
    <row r="845082" spans="12:13" x14ac:dyDescent="0.25">
      <c r="L845082" s="472"/>
      <c r="M845082" s="472"/>
    </row>
    <row r="845083" spans="12:13" x14ac:dyDescent="0.25">
      <c r="L845083" s="472"/>
      <c r="M845083" s="472"/>
    </row>
    <row r="845155" spans="12:13" x14ac:dyDescent="0.25">
      <c r="L845155" s="472"/>
      <c r="M845155" s="472"/>
    </row>
    <row r="845156" spans="12:13" x14ac:dyDescent="0.25">
      <c r="L845156" s="472"/>
      <c r="M845156" s="472"/>
    </row>
    <row r="845157" spans="12:13" x14ac:dyDescent="0.25">
      <c r="L845157" s="472"/>
      <c r="M845157" s="472"/>
    </row>
    <row r="845229" spans="12:13" x14ac:dyDescent="0.25">
      <c r="L845229" s="472"/>
      <c r="M845229" s="472"/>
    </row>
    <row r="845230" spans="12:13" x14ac:dyDescent="0.25">
      <c r="L845230" s="472"/>
      <c r="M845230" s="472"/>
    </row>
    <row r="845231" spans="12:13" x14ac:dyDescent="0.25">
      <c r="L845231" s="472"/>
      <c r="M845231" s="472"/>
    </row>
    <row r="845303" spans="12:13" x14ac:dyDescent="0.25">
      <c r="L845303" s="472"/>
      <c r="M845303" s="472"/>
    </row>
    <row r="845304" spans="12:13" x14ac:dyDescent="0.25">
      <c r="L845304" s="472"/>
      <c r="M845304" s="472"/>
    </row>
    <row r="845305" spans="12:13" x14ac:dyDescent="0.25">
      <c r="L845305" s="472"/>
      <c r="M845305" s="472"/>
    </row>
    <row r="845377" spans="12:13" x14ac:dyDescent="0.25">
      <c r="L845377" s="472"/>
      <c r="M845377" s="472"/>
    </row>
    <row r="845378" spans="12:13" x14ac:dyDescent="0.25">
      <c r="L845378" s="472"/>
      <c r="M845378" s="472"/>
    </row>
    <row r="845379" spans="12:13" x14ac:dyDescent="0.25">
      <c r="L845379" s="472"/>
      <c r="M845379" s="472"/>
    </row>
    <row r="845451" spans="12:13" x14ac:dyDescent="0.25">
      <c r="L845451" s="472"/>
      <c r="M845451" s="472"/>
    </row>
    <row r="845452" spans="12:13" x14ac:dyDescent="0.25">
      <c r="L845452" s="472"/>
      <c r="M845452" s="472"/>
    </row>
    <row r="845453" spans="12:13" x14ac:dyDescent="0.25">
      <c r="L845453" s="472"/>
      <c r="M845453" s="472"/>
    </row>
    <row r="845525" spans="12:13" x14ac:dyDescent="0.25">
      <c r="L845525" s="472"/>
      <c r="M845525" s="472"/>
    </row>
    <row r="845526" spans="12:13" x14ac:dyDescent="0.25">
      <c r="L845526" s="472"/>
      <c r="M845526" s="472"/>
    </row>
    <row r="845527" spans="12:13" x14ac:dyDescent="0.25">
      <c r="L845527" s="472"/>
      <c r="M845527" s="472"/>
    </row>
    <row r="845599" spans="12:13" x14ac:dyDescent="0.25">
      <c r="L845599" s="472"/>
      <c r="M845599" s="472"/>
    </row>
    <row r="845600" spans="12:13" x14ac:dyDescent="0.25">
      <c r="L845600" s="472"/>
      <c r="M845600" s="472"/>
    </row>
    <row r="845601" spans="12:13" x14ac:dyDescent="0.25">
      <c r="L845601" s="472"/>
      <c r="M845601" s="472"/>
    </row>
    <row r="845673" spans="12:13" x14ac:dyDescent="0.25">
      <c r="L845673" s="472"/>
      <c r="M845673" s="472"/>
    </row>
    <row r="845674" spans="12:13" x14ac:dyDescent="0.25">
      <c r="L845674" s="472"/>
      <c r="M845674" s="472"/>
    </row>
    <row r="845675" spans="12:13" x14ac:dyDescent="0.25">
      <c r="L845675" s="472"/>
      <c r="M845675" s="472"/>
    </row>
    <row r="845747" spans="12:13" x14ac:dyDescent="0.25">
      <c r="L845747" s="472"/>
      <c r="M845747" s="472"/>
    </row>
    <row r="845748" spans="12:13" x14ac:dyDescent="0.25">
      <c r="L845748" s="472"/>
      <c r="M845748" s="472"/>
    </row>
    <row r="845749" spans="12:13" x14ac:dyDescent="0.25">
      <c r="L845749" s="472"/>
      <c r="M845749" s="472"/>
    </row>
    <row r="845821" spans="12:13" x14ac:dyDescent="0.25">
      <c r="L845821" s="472"/>
      <c r="M845821" s="472"/>
    </row>
    <row r="845822" spans="12:13" x14ac:dyDescent="0.25">
      <c r="L845822" s="472"/>
      <c r="M845822" s="472"/>
    </row>
    <row r="845823" spans="12:13" x14ac:dyDescent="0.25">
      <c r="L845823" s="472"/>
      <c r="M845823" s="472"/>
    </row>
    <row r="845895" spans="12:13" x14ac:dyDescent="0.25">
      <c r="L845895" s="472"/>
      <c r="M845895" s="472"/>
    </row>
    <row r="845896" spans="12:13" x14ac:dyDescent="0.25">
      <c r="L845896" s="472"/>
      <c r="M845896" s="472"/>
    </row>
    <row r="845897" spans="12:13" x14ac:dyDescent="0.25">
      <c r="L845897" s="472"/>
      <c r="M845897" s="472"/>
    </row>
    <row r="845969" spans="12:13" x14ac:dyDescent="0.25">
      <c r="L845969" s="472"/>
      <c r="M845969" s="472"/>
    </row>
    <row r="845970" spans="12:13" x14ac:dyDescent="0.25">
      <c r="L845970" s="472"/>
      <c r="M845970" s="472"/>
    </row>
    <row r="845971" spans="12:13" x14ac:dyDescent="0.25">
      <c r="L845971" s="472"/>
      <c r="M845971" s="472"/>
    </row>
    <row r="846043" spans="12:13" x14ac:dyDescent="0.25">
      <c r="L846043" s="472"/>
      <c r="M846043" s="472"/>
    </row>
    <row r="846044" spans="12:13" x14ac:dyDescent="0.25">
      <c r="L846044" s="472"/>
      <c r="M846044" s="472"/>
    </row>
    <row r="846045" spans="12:13" x14ac:dyDescent="0.25">
      <c r="L846045" s="472"/>
      <c r="M846045" s="472"/>
    </row>
    <row r="846117" spans="12:13" x14ac:dyDescent="0.25">
      <c r="L846117" s="472"/>
      <c r="M846117" s="472"/>
    </row>
    <row r="846118" spans="12:13" x14ac:dyDescent="0.25">
      <c r="L846118" s="472"/>
      <c r="M846118" s="472"/>
    </row>
    <row r="846119" spans="12:13" x14ac:dyDescent="0.25">
      <c r="L846119" s="472"/>
      <c r="M846119" s="472"/>
    </row>
    <row r="846191" spans="12:13" x14ac:dyDescent="0.25">
      <c r="L846191" s="472"/>
      <c r="M846191" s="472"/>
    </row>
    <row r="846192" spans="12:13" x14ac:dyDescent="0.25">
      <c r="L846192" s="472"/>
      <c r="M846192" s="472"/>
    </row>
    <row r="846193" spans="12:13" x14ac:dyDescent="0.25">
      <c r="L846193" s="472"/>
      <c r="M846193" s="472"/>
    </row>
    <row r="846265" spans="12:13" x14ac:dyDescent="0.25">
      <c r="L846265" s="472"/>
      <c r="M846265" s="472"/>
    </row>
    <row r="846266" spans="12:13" x14ac:dyDescent="0.25">
      <c r="L846266" s="472"/>
      <c r="M846266" s="472"/>
    </row>
    <row r="846267" spans="12:13" x14ac:dyDescent="0.25">
      <c r="L846267" s="472"/>
      <c r="M846267" s="472"/>
    </row>
    <row r="846339" spans="12:13" x14ac:dyDescent="0.25">
      <c r="L846339" s="472"/>
      <c r="M846339" s="472"/>
    </row>
    <row r="846340" spans="12:13" x14ac:dyDescent="0.25">
      <c r="L846340" s="472"/>
      <c r="M846340" s="472"/>
    </row>
    <row r="846341" spans="12:13" x14ac:dyDescent="0.25">
      <c r="L846341" s="472"/>
      <c r="M846341" s="472"/>
    </row>
    <row r="846413" spans="12:13" x14ac:dyDescent="0.25">
      <c r="L846413" s="472"/>
      <c r="M846413" s="472"/>
    </row>
    <row r="846414" spans="12:13" x14ac:dyDescent="0.25">
      <c r="L846414" s="472"/>
      <c r="M846414" s="472"/>
    </row>
    <row r="846415" spans="12:13" x14ac:dyDescent="0.25">
      <c r="L846415" s="472"/>
      <c r="M846415" s="472"/>
    </row>
    <row r="846487" spans="12:13" x14ac:dyDescent="0.25">
      <c r="L846487" s="472"/>
      <c r="M846487" s="472"/>
    </row>
    <row r="846488" spans="12:13" x14ac:dyDescent="0.25">
      <c r="L846488" s="472"/>
      <c r="M846488" s="472"/>
    </row>
    <row r="846489" spans="12:13" x14ac:dyDescent="0.25">
      <c r="L846489" s="472"/>
      <c r="M846489" s="472"/>
    </row>
    <row r="846561" spans="12:13" x14ac:dyDescent="0.25">
      <c r="L846561" s="472"/>
      <c r="M846561" s="472"/>
    </row>
    <row r="846562" spans="12:13" x14ac:dyDescent="0.25">
      <c r="L846562" s="472"/>
      <c r="M846562" s="472"/>
    </row>
    <row r="846563" spans="12:13" x14ac:dyDescent="0.25">
      <c r="L846563" s="472"/>
      <c r="M846563" s="472"/>
    </row>
    <row r="846635" spans="12:13" x14ac:dyDescent="0.25">
      <c r="L846635" s="472"/>
      <c r="M846635" s="472"/>
    </row>
    <row r="846636" spans="12:13" x14ac:dyDescent="0.25">
      <c r="L846636" s="472"/>
      <c r="M846636" s="472"/>
    </row>
    <row r="846637" spans="12:13" x14ac:dyDescent="0.25">
      <c r="L846637" s="472"/>
      <c r="M846637" s="472"/>
    </row>
    <row r="846709" spans="12:13" x14ac:dyDescent="0.25">
      <c r="L846709" s="472"/>
      <c r="M846709" s="472"/>
    </row>
    <row r="846710" spans="12:13" x14ac:dyDescent="0.25">
      <c r="L846710" s="472"/>
      <c r="M846710" s="472"/>
    </row>
    <row r="846711" spans="12:13" x14ac:dyDescent="0.25">
      <c r="L846711" s="472"/>
      <c r="M846711" s="472"/>
    </row>
    <row r="846783" spans="12:13" x14ac:dyDescent="0.25">
      <c r="L846783" s="472"/>
      <c r="M846783" s="472"/>
    </row>
    <row r="846784" spans="12:13" x14ac:dyDescent="0.25">
      <c r="L846784" s="472"/>
      <c r="M846784" s="472"/>
    </row>
    <row r="846785" spans="12:13" x14ac:dyDescent="0.25">
      <c r="L846785" s="472"/>
      <c r="M846785" s="472"/>
    </row>
    <row r="846857" spans="12:13" x14ac:dyDescent="0.25">
      <c r="L846857" s="472"/>
      <c r="M846857" s="472"/>
    </row>
    <row r="846858" spans="12:13" x14ac:dyDescent="0.25">
      <c r="L846858" s="472"/>
      <c r="M846858" s="472"/>
    </row>
    <row r="846859" spans="12:13" x14ac:dyDescent="0.25">
      <c r="L846859" s="472"/>
      <c r="M846859" s="472"/>
    </row>
    <row r="846931" spans="12:13" x14ac:dyDescent="0.25">
      <c r="L846931" s="472"/>
      <c r="M846931" s="472"/>
    </row>
    <row r="846932" spans="12:13" x14ac:dyDescent="0.25">
      <c r="L846932" s="472"/>
      <c r="M846932" s="472"/>
    </row>
    <row r="846933" spans="12:13" x14ac:dyDescent="0.25">
      <c r="L846933" s="472"/>
      <c r="M846933" s="472"/>
    </row>
    <row r="847005" spans="12:13" x14ac:dyDescent="0.25">
      <c r="L847005" s="472"/>
      <c r="M847005" s="472"/>
    </row>
    <row r="847006" spans="12:13" x14ac:dyDescent="0.25">
      <c r="L847006" s="472"/>
      <c r="M847006" s="472"/>
    </row>
    <row r="847007" spans="12:13" x14ac:dyDescent="0.25">
      <c r="L847007" s="472"/>
      <c r="M847007" s="472"/>
    </row>
    <row r="847079" spans="12:13" x14ac:dyDescent="0.25">
      <c r="L847079" s="472"/>
      <c r="M847079" s="472"/>
    </row>
    <row r="847080" spans="12:13" x14ac:dyDescent="0.25">
      <c r="L847080" s="472"/>
      <c r="M847080" s="472"/>
    </row>
    <row r="847081" spans="12:13" x14ac:dyDescent="0.25">
      <c r="L847081" s="472"/>
      <c r="M847081" s="472"/>
    </row>
    <row r="847153" spans="12:13" x14ac:dyDescent="0.25">
      <c r="L847153" s="472"/>
      <c r="M847153" s="472"/>
    </row>
    <row r="847154" spans="12:13" x14ac:dyDescent="0.25">
      <c r="L847154" s="472"/>
      <c r="M847154" s="472"/>
    </row>
    <row r="847155" spans="12:13" x14ac:dyDescent="0.25">
      <c r="L847155" s="472"/>
      <c r="M847155" s="472"/>
    </row>
    <row r="847227" spans="12:13" x14ac:dyDescent="0.25">
      <c r="L847227" s="472"/>
      <c r="M847227" s="472"/>
    </row>
    <row r="847228" spans="12:13" x14ac:dyDescent="0.25">
      <c r="L847228" s="472"/>
      <c r="M847228" s="472"/>
    </row>
    <row r="847229" spans="12:13" x14ac:dyDescent="0.25">
      <c r="L847229" s="472"/>
      <c r="M847229" s="472"/>
    </row>
    <row r="847301" spans="12:13" x14ac:dyDescent="0.25">
      <c r="L847301" s="472"/>
      <c r="M847301" s="472"/>
    </row>
    <row r="847302" spans="12:13" x14ac:dyDescent="0.25">
      <c r="L847302" s="472"/>
      <c r="M847302" s="472"/>
    </row>
    <row r="847303" spans="12:13" x14ac:dyDescent="0.25">
      <c r="L847303" s="472"/>
      <c r="M847303" s="472"/>
    </row>
    <row r="847375" spans="12:13" x14ac:dyDescent="0.25">
      <c r="L847375" s="472"/>
      <c r="M847375" s="472"/>
    </row>
    <row r="847376" spans="12:13" x14ac:dyDescent="0.25">
      <c r="L847376" s="472"/>
      <c r="M847376" s="472"/>
    </row>
    <row r="847377" spans="12:13" x14ac:dyDescent="0.25">
      <c r="L847377" s="472"/>
      <c r="M847377" s="472"/>
    </row>
    <row r="847449" spans="12:13" x14ac:dyDescent="0.25">
      <c r="L847449" s="472"/>
      <c r="M847449" s="472"/>
    </row>
    <row r="847450" spans="12:13" x14ac:dyDescent="0.25">
      <c r="L847450" s="472"/>
      <c r="M847450" s="472"/>
    </row>
    <row r="847451" spans="12:13" x14ac:dyDescent="0.25">
      <c r="L847451" s="472"/>
      <c r="M847451" s="472"/>
    </row>
    <row r="847523" spans="12:13" x14ac:dyDescent="0.25">
      <c r="L847523" s="472"/>
      <c r="M847523" s="472"/>
    </row>
    <row r="847524" spans="12:13" x14ac:dyDescent="0.25">
      <c r="L847524" s="472"/>
      <c r="M847524" s="472"/>
    </row>
    <row r="847525" spans="12:13" x14ac:dyDescent="0.25">
      <c r="L847525" s="472"/>
      <c r="M847525" s="472"/>
    </row>
    <row r="847597" spans="12:13" x14ac:dyDescent="0.25">
      <c r="L847597" s="472"/>
      <c r="M847597" s="472"/>
    </row>
    <row r="847598" spans="12:13" x14ac:dyDescent="0.25">
      <c r="L847598" s="472"/>
      <c r="M847598" s="472"/>
    </row>
    <row r="847599" spans="12:13" x14ac:dyDescent="0.25">
      <c r="L847599" s="472"/>
      <c r="M847599" s="472"/>
    </row>
    <row r="847671" spans="12:13" x14ac:dyDescent="0.25">
      <c r="L847671" s="472"/>
      <c r="M847671" s="472"/>
    </row>
    <row r="847672" spans="12:13" x14ac:dyDescent="0.25">
      <c r="L847672" s="472"/>
      <c r="M847672" s="472"/>
    </row>
    <row r="847673" spans="12:13" x14ac:dyDescent="0.25">
      <c r="L847673" s="472"/>
      <c r="M847673" s="472"/>
    </row>
    <row r="847745" spans="12:13" x14ac:dyDescent="0.25">
      <c r="L847745" s="472"/>
      <c r="M847745" s="472"/>
    </row>
    <row r="847746" spans="12:13" x14ac:dyDescent="0.25">
      <c r="L847746" s="472"/>
      <c r="M847746" s="472"/>
    </row>
    <row r="847747" spans="12:13" x14ac:dyDescent="0.25">
      <c r="L847747" s="472"/>
      <c r="M847747" s="472"/>
    </row>
    <row r="847819" spans="12:13" x14ac:dyDescent="0.25">
      <c r="L847819" s="472"/>
      <c r="M847819" s="472"/>
    </row>
    <row r="847820" spans="12:13" x14ac:dyDescent="0.25">
      <c r="L847820" s="472"/>
      <c r="M847820" s="472"/>
    </row>
    <row r="847821" spans="12:13" x14ac:dyDescent="0.25">
      <c r="L847821" s="472"/>
      <c r="M847821" s="472"/>
    </row>
    <row r="847893" spans="12:13" x14ac:dyDescent="0.25">
      <c r="L847893" s="472"/>
      <c r="M847893" s="472"/>
    </row>
    <row r="847894" spans="12:13" x14ac:dyDescent="0.25">
      <c r="L847894" s="472"/>
      <c r="M847894" s="472"/>
    </row>
    <row r="847895" spans="12:13" x14ac:dyDescent="0.25">
      <c r="L847895" s="472"/>
      <c r="M847895" s="472"/>
    </row>
    <row r="847967" spans="12:13" x14ac:dyDescent="0.25">
      <c r="L847967" s="472"/>
      <c r="M847967" s="472"/>
    </row>
    <row r="847968" spans="12:13" x14ac:dyDescent="0.25">
      <c r="L847968" s="472"/>
      <c r="M847968" s="472"/>
    </row>
    <row r="847969" spans="12:13" x14ac:dyDescent="0.25">
      <c r="L847969" s="472"/>
      <c r="M847969" s="472"/>
    </row>
    <row r="848041" spans="12:13" x14ac:dyDescent="0.25">
      <c r="L848041" s="472"/>
      <c r="M848041" s="472"/>
    </row>
    <row r="848042" spans="12:13" x14ac:dyDescent="0.25">
      <c r="L848042" s="472"/>
      <c r="M848042" s="472"/>
    </row>
    <row r="848043" spans="12:13" x14ac:dyDescent="0.25">
      <c r="L848043" s="472"/>
      <c r="M848043" s="472"/>
    </row>
    <row r="848115" spans="12:13" x14ac:dyDescent="0.25">
      <c r="L848115" s="472"/>
      <c r="M848115" s="472"/>
    </row>
    <row r="848116" spans="12:13" x14ac:dyDescent="0.25">
      <c r="L848116" s="472"/>
      <c r="M848116" s="472"/>
    </row>
    <row r="848117" spans="12:13" x14ac:dyDescent="0.25">
      <c r="L848117" s="472"/>
      <c r="M848117" s="472"/>
    </row>
    <row r="848189" spans="12:13" x14ac:dyDescent="0.25">
      <c r="L848189" s="472"/>
      <c r="M848189" s="472"/>
    </row>
    <row r="848190" spans="12:13" x14ac:dyDescent="0.25">
      <c r="L848190" s="472"/>
      <c r="M848190" s="472"/>
    </row>
    <row r="848191" spans="12:13" x14ac:dyDescent="0.25">
      <c r="L848191" s="472"/>
      <c r="M848191" s="472"/>
    </row>
    <row r="848263" spans="12:13" x14ac:dyDescent="0.25">
      <c r="L848263" s="472"/>
      <c r="M848263" s="472"/>
    </row>
    <row r="848264" spans="12:13" x14ac:dyDescent="0.25">
      <c r="L848264" s="472"/>
      <c r="M848264" s="472"/>
    </row>
    <row r="848265" spans="12:13" x14ac:dyDescent="0.25">
      <c r="L848265" s="472"/>
      <c r="M848265" s="472"/>
    </row>
    <row r="848337" spans="12:13" x14ac:dyDescent="0.25">
      <c r="L848337" s="472"/>
      <c r="M848337" s="472"/>
    </row>
    <row r="848338" spans="12:13" x14ac:dyDescent="0.25">
      <c r="L848338" s="472"/>
      <c r="M848338" s="472"/>
    </row>
    <row r="848339" spans="12:13" x14ac:dyDescent="0.25">
      <c r="L848339" s="472"/>
      <c r="M848339" s="472"/>
    </row>
    <row r="848411" spans="12:13" x14ac:dyDescent="0.25">
      <c r="L848411" s="472"/>
      <c r="M848411" s="472"/>
    </row>
    <row r="848412" spans="12:13" x14ac:dyDescent="0.25">
      <c r="L848412" s="472"/>
      <c r="M848412" s="472"/>
    </row>
    <row r="848413" spans="12:13" x14ac:dyDescent="0.25">
      <c r="L848413" s="472"/>
      <c r="M848413" s="472"/>
    </row>
    <row r="848485" spans="12:13" x14ac:dyDescent="0.25">
      <c r="L848485" s="472"/>
      <c r="M848485" s="472"/>
    </row>
    <row r="848486" spans="12:13" x14ac:dyDescent="0.25">
      <c r="L848486" s="472"/>
      <c r="M848486" s="472"/>
    </row>
    <row r="848487" spans="12:13" x14ac:dyDescent="0.25">
      <c r="L848487" s="472"/>
      <c r="M848487" s="472"/>
    </row>
    <row r="848559" spans="12:13" x14ac:dyDescent="0.25">
      <c r="L848559" s="472"/>
      <c r="M848559" s="472"/>
    </row>
    <row r="848560" spans="12:13" x14ac:dyDescent="0.25">
      <c r="L848560" s="472"/>
      <c r="M848560" s="472"/>
    </row>
    <row r="848561" spans="12:13" x14ac:dyDescent="0.25">
      <c r="L848561" s="472"/>
      <c r="M848561" s="472"/>
    </row>
    <row r="848633" spans="12:13" x14ac:dyDescent="0.25">
      <c r="L848633" s="472"/>
      <c r="M848633" s="472"/>
    </row>
    <row r="848634" spans="12:13" x14ac:dyDescent="0.25">
      <c r="L848634" s="472"/>
      <c r="M848634" s="472"/>
    </row>
    <row r="848635" spans="12:13" x14ac:dyDescent="0.25">
      <c r="L848635" s="472"/>
      <c r="M848635" s="472"/>
    </row>
    <row r="848707" spans="12:13" x14ac:dyDescent="0.25">
      <c r="L848707" s="472"/>
      <c r="M848707" s="472"/>
    </row>
    <row r="848708" spans="12:13" x14ac:dyDescent="0.25">
      <c r="L848708" s="472"/>
      <c r="M848708" s="472"/>
    </row>
    <row r="848709" spans="12:13" x14ac:dyDescent="0.25">
      <c r="L848709" s="472"/>
      <c r="M848709" s="472"/>
    </row>
    <row r="848781" spans="12:13" x14ac:dyDescent="0.25">
      <c r="L848781" s="472"/>
      <c r="M848781" s="472"/>
    </row>
    <row r="848782" spans="12:13" x14ac:dyDescent="0.25">
      <c r="L848782" s="472"/>
      <c r="M848782" s="472"/>
    </row>
    <row r="848783" spans="12:13" x14ac:dyDescent="0.25">
      <c r="L848783" s="472"/>
      <c r="M848783" s="472"/>
    </row>
    <row r="848855" spans="12:13" x14ac:dyDescent="0.25">
      <c r="L848855" s="472"/>
      <c r="M848855" s="472"/>
    </row>
    <row r="848856" spans="12:13" x14ac:dyDescent="0.25">
      <c r="L848856" s="472"/>
      <c r="M848856" s="472"/>
    </row>
    <row r="848857" spans="12:13" x14ac:dyDescent="0.25">
      <c r="L848857" s="472"/>
      <c r="M848857" s="472"/>
    </row>
    <row r="848929" spans="12:13" x14ac:dyDescent="0.25">
      <c r="L848929" s="472"/>
      <c r="M848929" s="472"/>
    </row>
    <row r="848930" spans="12:13" x14ac:dyDescent="0.25">
      <c r="L848930" s="472"/>
      <c r="M848930" s="472"/>
    </row>
    <row r="848931" spans="12:13" x14ac:dyDescent="0.25">
      <c r="L848931" s="472"/>
      <c r="M848931" s="472"/>
    </row>
    <row r="849003" spans="12:13" x14ac:dyDescent="0.25">
      <c r="L849003" s="472"/>
      <c r="M849003" s="472"/>
    </row>
    <row r="849004" spans="12:13" x14ac:dyDescent="0.25">
      <c r="L849004" s="472"/>
      <c r="M849004" s="472"/>
    </row>
    <row r="849005" spans="12:13" x14ac:dyDescent="0.25">
      <c r="L849005" s="472"/>
      <c r="M849005" s="472"/>
    </row>
    <row r="849077" spans="12:13" x14ac:dyDescent="0.25">
      <c r="L849077" s="472"/>
      <c r="M849077" s="472"/>
    </row>
    <row r="849078" spans="12:13" x14ac:dyDescent="0.25">
      <c r="L849078" s="472"/>
      <c r="M849078" s="472"/>
    </row>
    <row r="849079" spans="12:13" x14ac:dyDescent="0.25">
      <c r="L849079" s="472"/>
      <c r="M849079" s="472"/>
    </row>
    <row r="849151" spans="12:13" x14ac:dyDescent="0.25">
      <c r="L849151" s="472"/>
      <c r="M849151" s="472"/>
    </row>
    <row r="849152" spans="12:13" x14ac:dyDescent="0.25">
      <c r="L849152" s="472"/>
      <c r="M849152" s="472"/>
    </row>
    <row r="849153" spans="12:13" x14ac:dyDescent="0.25">
      <c r="L849153" s="472"/>
      <c r="M849153" s="472"/>
    </row>
    <row r="849225" spans="12:13" x14ac:dyDescent="0.25">
      <c r="L849225" s="472"/>
      <c r="M849225" s="472"/>
    </row>
    <row r="849226" spans="12:13" x14ac:dyDescent="0.25">
      <c r="L849226" s="472"/>
      <c r="M849226" s="472"/>
    </row>
    <row r="849227" spans="12:13" x14ac:dyDescent="0.25">
      <c r="L849227" s="472"/>
      <c r="M849227" s="472"/>
    </row>
    <row r="849299" spans="12:13" x14ac:dyDescent="0.25">
      <c r="L849299" s="472"/>
      <c r="M849299" s="472"/>
    </row>
    <row r="849300" spans="12:13" x14ac:dyDescent="0.25">
      <c r="L849300" s="472"/>
      <c r="M849300" s="472"/>
    </row>
    <row r="849301" spans="12:13" x14ac:dyDescent="0.25">
      <c r="L849301" s="472"/>
      <c r="M849301" s="472"/>
    </row>
    <row r="849373" spans="12:13" x14ac:dyDescent="0.25">
      <c r="L849373" s="472"/>
      <c r="M849373" s="472"/>
    </row>
    <row r="849374" spans="12:13" x14ac:dyDescent="0.25">
      <c r="L849374" s="472"/>
      <c r="M849374" s="472"/>
    </row>
    <row r="849375" spans="12:13" x14ac:dyDescent="0.25">
      <c r="L849375" s="472"/>
      <c r="M849375" s="472"/>
    </row>
    <row r="849447" spans="12:13" x14ac:dyDescent="0.25">
      <c r="L849447" s="472"/>
      <c r="M849447" s="472"/>
    </row>
    <row r="849448" spans="12:13" x14ac:dyDescent="0.25">
      <c r="L849448" s="472"/>
      <c r="M849448" s="472"/>
    </row>
    <row r="849449" spans="12:13" x14ac:dyDescent="0.25">
      <c r="L849449" s="472"/>
      <c r="M849449" s="472"/>
    </row>
    <row r="849521" spans="12:13" x14ac:dyDescent="0.25">
      <c r="L849521" s="472"/>
      <c r="M849521" s="472"/>
    </row>
    <row r="849522" spans="12:13" x14ac:dyDescent="0.25">
      <c r="L849522" s="472"/>
      <c r="M849522" s="472"/>
    </row>
    <row r="849523" spans="12:13" x14ac:dyDescent="0.25">
      <c r="L849523" s="472"/>
      <c r="M849523" s="472"/>
    </row>
    <row r="849595" spans="12:13" x14ac:dyDescent="0.25">
      <c r="L849595" s="472"/>
      <c r="M849595" s="472"/>
    </row>
    <row r="849596" spans="12:13" x14ac:dyDescent="0.25">
      <c r="L849596" s="472"/>
      <c r="M849596" s="472"/>
    </row>
    <row r="849597" spans="12:13" x14ac:dyDescent="0.25">
      <c r="L849597" s="472"/>
      <c r="M849597" s="472"/>
    </row>
    <row r="849669" spans="12:13" x14ac:dyDescent="0.25">
      <c r="L849669" s="472"/>
      <c r="M849669" s="472"/>
    </row>
    <row r="849670" spans="12:13" x14ac:dyDescent="0.25">
      <c r="L849670" s="472"/>
      <c r="M849670" s="472"/>
    </row>
    <row r="849671" spans="12:13" x14ac:dyDescent="0.25">
      <c r="L849671" s="472"/>
      <c r="M849671" s="472"/>
    </row>
    <row r="849743" spans="12:13" x14ac:dyDescent="0.25">
      <c r="L849743" s="472"/>
      <c r="M849743" s="472"/>
    </row>
    <row r="849744" spans="12:13" x14ac:dyDescent="0.25">
      <c r="L849744" s="472"/>
      <c r="M849744" s="472"/>
    </row>
    <row r="849745" spans="12:13" x14ac:dyDescent="0.25">
      <c r="L849745" s="472"/>
      <c r="M849745" s="472"/>
    </row>
    <row r="849817" spans="12:13" x14ac:dyDescent="0.25">
      <c r="L849817" s="472"/>
      <c r="M849817" s="472"/>
    </row>
    <row r="849818" spans="12:13" x14ac:dyDescent="0.25">
      <c r="L849818" s="472"/>
      <c r="M849818" s="472"/>
    </row>
    <row r="849819" spans="12:13" x14ac:dyDescent="0.25">
      <c r="L849819" s="472"/>
      <c r="M849819" s="472"/>
    </row>
    <row r="849891" spans="12:13" x14ac:dyDescent="0.25">
      <c r="L849891" s="472"/>
      <c r="M849891" s="472"/>
    </row>
    <row r="849892" spans="12:13" x14ac:dyDescent="0.25">
      <c r="L849892" s="472"/>
      <c r="M849892" s="472"/>
    </row>
    <row r="849893" spans="12:13" x14ac:dyDescent="0.25">
      <c r="L849893" s="472"/>
      <c r="M849893" s="472"/>
    </row>
    <row r="849965" spans="12:13" x14ac:dyDescent="0.25">
      <c r="L849965" s="472"/>
      <c r="M849965" s="472"/>
    </row>
    <row r="849966" spans="12:13" x14ac:dyDescent="0.25">
      <c r="L849966" s="472"/>
      <c r="M849966" s="472"/>
    </row>
    <row r="849967" spans="12:13" x14ac:dyDescent="0.25">
      <c r="L849967" s="472"/>
      <c r="M849967" s="472"/>
    </row>
    <row r="850039" spans="12:13" x14ac:dyDescent="0.25">
      <c r="L850039" s="472"/>
      <c r="M850039" s="472"/>
    </row>
    <row r="850040" spans="12:13" x14ac:dyDescent="0.25">
      <c r="L850040" s="472"/>
      <c r="M850040" s="472"/>
    </row>
    <row r="850041" spans="12:13" x14ac:dyDescent="0.25">
      <c r="L850041" s="472"/>
      <c r="M850041" s="472"/>
    </row>
    <row r="850113" spans="12:13" x14ac:dyDescent="0.25">
      <c r="L850113" s="472"/>
      <c r="M850113" s="472"/>
    </row>
    <row r="850114" spans="12:13" x14ac:dyDescent="0.25">
      <c r="L850114" s="472"/>
      <c r="M850114" s="472"/>
    </row>
    <row r="850115" spans="12:13" x14ac:dyDescent="0.25">
      <c r="L850115" s="472"/>
      <c r="M850115" s="472"/>
    </row>
    <row r="850187" spans="12:13" x14ac:dyDescent="0.25">
      <c r="L850187" s="472"/>
      <c r="M850187" s="472"/>
    </row>
    <row r="850188" spans="12:13" x14ac:dyDescent="0.25">
      <c r="L850188" s="472"/>
      <c r="M850188" s="472"/>
    </row>
    <row r="850189" spans="12:13" x14ac:dyDescent="0.25">
      <c r="L850189" s="472"/>
      <c r="M850189" s="472"/>
    </row>
    <row r="850261" spans="12:13" x14ac:dyDescent="0.25">
      <c r="L850261" s="472"/>
      <c r="M850261" s="472"/>
    </row>
    <row r="850262" spans="12:13" x14ac:dyDescent="0.25">
      <c r="L850262" s="472"/>
      <c r="M850262" s="472"/>
    </row>
    <row r="850263" spans="12:13" x14ac:dyDescent="0.25">
      <c r="L850263" s="472"/>
      <c r="M850263" s="472"/>
    </row>
    <row r="850335" spans="12:13" x14ac:dyDescent="0.25">
      <c r="L850335" s="472"/>
      <c r="M850335" s="472"/>
    </row>
    <row r="850336" spans="12:13" x14ac:dyDescent="0.25">
      <c r="L850336" s="472"/>
      <c r="M850336" s="472"/>
    </row>
    <row r="850337" spans="12:13" x14ac:dyDescent="0.25">
      <c r="L850337" s="472"/>
      <c r="M850337" s="472"/>
    </row>
    <row r="850409" spans="12:13" x14ac:dyDescent="0.25">
      <c r="L850409" s="472"/>
      <c r="M850409" s="472"/>
    </row>
    <row r="850410" spans="12:13" x14ac:dyDescent="0.25">
      <c r="L850410" s="472"/>
      <c r="M850410" s="472"/>
    </row>
    <row r="850411" spans="12:13" x14ac:dyDescent="0.25">
      <c r="L850411" s="472"/>
      <c r="M850411" s="472"/>
    </row>
    <row r="850483" spans="12:13" x14ac:dyDescent="0.25">
      <c r="L850483" s="472"/>
      <c r="M850483" s="472"/>
    </row>
    <row r="850484" spans="12:13" x14ac:dyDescent="0.25">
      <c r="L850484" s="472"/>
      <c r="M850484" s="472"/>
    </row>
    <row r="850485" spans="12:13" x14ac:dyDescent="0.25">
      <c r="L850485" s="472"/>
      <c r="M850485" s="472"/>
    </row>
    <row r="850557" spans="12:13" x14ac:dyDescent="0.25">
      <c r="L850557" s="472"/>
      <c r="M850557" s="472"/>
    </row>
    <row r="850558" spans="12:13" x14ac:dyDescent="0.25">
      <c r="L850558" s="472"/>
      <c r="M850558" s="472"/>
    </row>
    <row r="850559" spans="12:13" x14ac:dyDescent="0.25">
      <c r="L850559" s="472"/>
      <c r="M850559" s="472"/>
    </row>
    <row r="850631" spans="12:13" x14ac:dyDescent="0.25">
      <c r="L850631" s="472"/>
      <c r="M850631" s="472"/>
    </row>
    <row r="850632" spans="12:13" x14ac:dyDescent="0.25">
      <c r="L850632" s="472"/>
      <c r="M850632" s="472"/>
    </row>
    <row r="850633" spans="12:13" x14ac:dyDescent="0.25">
      <c r="L850633" s="472"/>
      <c r="M850633" s="472"/>
    </row>
    <row r="850705" spans="12:13" x14ac:dyDescent="0.25">
      <c r="L850705" s="472"/>
      <c r="M850705" s="472"/>
    </row>
    <row r="850706" spans="12:13" x14ac:dyDescent="0.25">
      <c r="L850706" s="472"/>
      <c r="M850706" s="472"/>
    </row>
    <row r="850707" spans="12:13" x14ac:dyDescent="0.25">
      <c r="L850707" s="472"/>
      <c r="M850707" s="472"/>
    </row>
    <row r="850779" spans="12:13" x14ac:dyDescent="0.25">
      <c r="L850779" s="472"/>
      <c r="M850779" s="472"/>
    </row>
    <row r="850780" spans="12:13" x14ac:dyDescent="0.25">
      <c r="L850780" s="472"/>
      <c r="M850780" s="472"/>
    </row>
    <row r="850781" spans="12:13" x14ac:dyDescent="0.25">
      <c r="L850781" s="472"/>
      <c r="M850781" s="472"/>
    </row>
    <row r="850853" spans="12:13" x14ac:dyDescent="0.25">
      <c r="L850853" s="472"/>
      <c r="M850853" s="472"/>
    </row>
    <row r="850854" spans="12:13" x14ac:dyDescent="0.25">
      <c r="L850854" s="472"/>
      <c r="M850854" s="472"/>
    </row>
    <row r="850855" spans="12:13" x14ac:dyDescent="0.25">
      <c r="L850855" s="472"/>
      <c r="M850855" s="472"/>
    </row>
    <row r="850927" spans="12:13" x14ac:dyDescent="0.25">
      <c r="L850927" s="472"/>
      <c r="M850927" s="472"/>
    </row>
    <row r="850928" spans="12:13" x14ac:dyDescent="0.25">
      <c r="L850928" s="472"/>
      <c r="M850928" s="472"/>
    </row>
    <row r="850929" spans="12:13" x14ac:dyDescent="0.25">
      <c r="L850929" s="472"/>
      <c r="M850929" s="472"/>
    </row>
    <row r="851001" spans="12:13" x14ac:dyDescent="0.25">
      <c r="L851001" s="472"/>
      <c r="M851001" s="472"/>
    </row>
    <row r="851002" spans="12:13" x14ac:dyDescent="0.25">
      <c r="L851002" s="472"/>
      <c r="M851002" s="472"/>
    </row>
    <row r="851003" spans="12:13" x14ac:dyDescent="0.25">
      <c r="L851003" s="472"/>
      <c r="M851003" s="472"/>
    </row>
    <row r="851075" spans="12:13" x14ac:dyDescent="0.25">
      <c r="L851075" s="472"/>
      <c r="M851075" s="472"/>
    </row>
    <row r="851076" spans="12:13" x14ac:dyDescent="0.25">
      <c r="L851076" s="472"/>
      <c r="M851076" s="472"/>
    </row>
    <row r="851077" spans="12:13" x14ac:dyDescent="0.25">
      <c r="L851077" s="472"/>
      <c r="M851077" s="472"/>
    </row>
    <row r="851149" spans="12:13" x14ac:dyDescent="0.25">
      <c r="L851149" s="472"/>
      <c r="M851149" s="472"/>
    </row>
    <row r="851150" spans="12:13" x14ac:dyDescent="0.25">
      <c r="L851150" s="472"/>
      <c r="M851150" s="472"/>
    </row>
    <row r="851151" spans="12:13" x14ac:dyDescent="0.25">
      <c r="L851151" s="472"/>
      <c r="M851151" s="472"/>
    </row>
    <row r="851223" spans="12:13" x14ac:dyDescent="0.25">
      <c r="L851223" s="472"/>
      <c r="M851223" s="472"/>
    </row>
    <row r="851224" spans="12:13" x14ac:dyDescent="0.25">
      <c r="L851224" s="472"/>
      <c r="M851224" s="472"/>
    </row>
    <row r="851225" spans="12:13" x14ac:dyDescent="0.25">
      <c r="L851225" s="472"/>
      <c r="M851225" s="472"/>
    </row>
    <row r="851297" spans="12:13" x14ac:dyDescent="0.25">
      <c r="L851297" s="472"/>
      <c r="M851297" s="472"/>
    </row>
    <row r="851298" spans="12:13" x14ac:dyDescent="0.25">
      <c r="L851298" s="472"/>
      <c r="M851298" s="472"/>
    </row>
    <row r="851299" spans="12:13" x14ac:dyDescent="0.25">
      <c r="L851299" s="472"/>
      <c r="M851299" s="472"/>
    </row>
    <row r="851371" spans="12:13" x14ac:dyDescent="0.25">
      <c r="L851371" s="472"/>
      <c r="M851371" s="472"/>
    </row>
    <row r="851372" spans="12:13" x14ac:dyDescent="0.25">
      <c r="L851372" s="472"/>
      <c r="M851372" s="472"/>
    </row>
    <row r="851373" spans="12:13" x14ac:dyDescent="0.25">
      <c r="L851373" s="472"/>
      <c r="M851373" s="472"/>
    </row>
    <row r="851445" spans="12:13" x14ac:dyDescent="0.25">
      <c r="L851445" s="472"/>
      <c r="M851445" s="472"/>
    </row>
    <row r="851446" spans="12:13" x14ac:dyDescent="0.25">
      <c r="L851446" s="472"/>
      <c r="M851446" s="472"/>
    </row>
    <row r="851447" spans="12:13" x14ac:dyDescent="0.25">
      <c r="L851447" s="472"/>
      <c r="M851447" s="472"/>
    </row>
    <row r="851519" spans="12:13" x14ac:dyDescent="0.25">
      <c r="L851519" s="472"/>
      <c r="M851519" s="472"/>
    </row>
    <row r="851520" spans="12:13" x14ac:dyDescent="0.25">
      <c r="L851520" s="472"/>
      <c r="M851520" s="472"/>
    </row>
    <row r="851521" spans="12:13" x14ac:dyDescent="0.25">
      <c r="L851521" s="472"/>
      <c r="M851521" s="472"/>
    </row>
    <row r="851593" spans="12:13" x14ac:dyDescent="0.25">
      <c r="L851593" s="472"/>
      <c r="M851593" s="472"/>
    </row>
    <row r="851594" spans="12:13" x14ac:dyDescent="0.25">
      <c r="L851594" s="472"/>
      <c r="M851594" s="472"/>
    </row>
    <row r="851595" spans="12:13" x14ac:dyDescent="0.25">
      <c r="L851595" s="472"/>
      <c r="M851595" s="472"/>
    </row>
    <row r="851667" spans="12:13" x14ac:dyDescent="0.25">
      <c r="L851667" s="472"/>
      <c r="M851667" s="472"/>
    </row>
    <row r="851668" spans="12:13" x14ac:dyDescent="0.25">
      <c r="L851668" s="472"/>
      <c r="M851668" s="472"/>
    </row>
    <row r="851669" spans="12:13" x14ac:dyDescent="0.25">
      <c r="L851669" s="472"/>
      <c r="M851669" s="472"/>
    </row>
    <row r="851741" spans="12:13" x14ac:dyDescent="0.25">
      <c r="L851741" s="472"/>
      <c r="M851741" s="472"/>
    </row>
    <row r="851742" spans="12:13" x14ac:dyDescent="0.25">
      <c r="L851742" s="472"/>
      <c r="M851742" s="472"/>
    </row>
    <row r="851743" spans="12:13" x14ac:dyDescent="0.25">
      <c r="L851743" s="472"/>
      <c r="M851743" s="472"/>
    </row>
    <row r="851815" spans="12:13" x14ac:dyDescent="0.25">
      <c r="L851815" s="472"/>
      <c r="M851815" s="472"/>
    </row>
    <row r="851816" spans="12:13" x14ac:dyDescent="0.25">
      <c r="L851816" s="472"/>
      <c r="M851816" s="472"/>
    </row>
    <row r="851817" spans="12:13" x14ac:dyDescent="0.25">
      <c r="L851817" s="472"/>
      <c r="M851817" s="472"/>
    </row>
    <row r="851889" spans="12:13" x14ac:dyDescent="0.25">
      <c r="L851889" s="472"/>
      <c r="M851889" s="472"/>
    </row>
    <row r="851890" spans="12:13" x14ac:dyDescent="0.25">
      <c r="L851890" s="472"/>
      <c r="M851890" s="472"/>
    </row>
    <row r="851891" spans="12:13" x14ac:dyDescent="0.25">
      <c r="L851891" s="472"/>
      <c r="M851891" s="472"/>
    </row>
    <row r="851963" spans="12:13" x14ac:dyDescent="0.25">
      <c r="L851963" s="472"/>
      <c r="M851963" s="472"/>
    </row>
    <row r="851964" spans="12:13" x14ac:dyDescent="0.25">
      <c r="L851964" s="472"/>
      <c r="M851964" s="472"/>
    </row>
    <row r="851965" spans="12:13" x14ac:dyDescent="0.25">
      <c r="L851965" s="472"/>
      <c r="M851965" s="472"/>
    </row>
    <row r="852037" spans="12:13" x14ac:dyDescent="0.25">
      <c r="L852037" s="472"/>
      <c r="M852037" s="472"/>
    </row>
    <row r="852038" spans="12:13" x14ac:dyDescent="0.25">
      <c r="L852038" s="472"/>
      <c r="M852038" s="472"/>
    </row>
    <row r="852039" spans="12:13" x14ac:dyDescent="0.25">
      <c r="L852039" s="472"/>
      <c r="M852039" s="472"/>
    </row>
    <row r="852111" spans="12:13" x14ac:dyDescent="0.25">
      <c r="L852111" s="472"/>
      <c r="M852111" s="472"/>
    </row>
    <row r="852112" spans="12:13" x14ac:dyDescent="0.25">
      <c r="L852112" s="472"/>
      <c r="M852112" s="472"/>
    </row>
    <row r="852113" spans="12:13" x14ac:dyDescent="0.25">
      <c r="L852113" s="472"/>
      <c r="M852113" s="472"/>
    </row>
    <row r="852185" spans="12:13" x14ac:dyDescent="0.25">
      <c r="L852185" s="472"/>
      <c r="M852185" s="472"/>
    </row>
    <row r="852186" spans="12:13" x14ac:dyDescent="0.25">
      <c r="L852186" s="472"/>
      <c r="M852186" s="472"/>
    </row>
    <row r="852187" spans="12:13" x14ac:dyDescent="0.25">
      <c r="L852187" s="472"/>
      <c r="M852187" s="472"/>
    </row>
    <row r="852259" spans="12:13" x14ac:dyDescent="0.25">
      <c r="L852259" s="472"/>
      <c r="M852259" s="472"/>
    </row>
    <row r="852260" spans="12:13" x14ac:dyDescent="0.25">
      <c r="L852260" s="472"/>
      <c r="M852260" s="472"/>
    </row>
    <row r="852261" spans="12:13" x14ac:dyDescent="0.25">
      <c r="L852261" s="472"/>
      <c r="M852261" s="472"/>
    </row>
    <row r="852333" spans="12:13" x14ac:dyDescent="0.25">
      <c r="L852333" s="472"/>
      <c r="M852333" s="472"/>
    </row>
    <row r="852334" spans="12:13" x14ac:dyDescent="0.25">
      <c r="L852334" s="472"/>
      <c r="M852334" s="472"/>
    </row>
    <row r="852335" spans="12:13" x14ac:dyDescent="0.25">
      <c r="L852335" s="472"/>
      <c r="M852335" s="472"/>
    </row>
    <row r="852407" spans="12:13" x14ac:dyDescent="0.25">
      <c r="L852407" s="472"/>
      <c r="M852407" s="472"/>
    </row>
    <row r="852408" spans="12:13" x14ac:dyDescent="0.25">
      <c r="L852408" s="472"/>
      <c r="M852408" s="472"/>
    </row>
    <row r="852409" spans="12:13" x14ac:dyDescent="0.25">
      <c r="L852409" s="472"/>
      <c r="M852409" s="472"/>
    </row>
    <row r="852481" spans="12:13" x14ac:dyDescent="0.25">
      <c r="L852481" s="472"/>
      <c r="M852481" s="472"/>
    </row>
    <row r="852482" spans="12:13" x14ac:dyDescent="0.25">
      <c r="L852482" s="472"/>
      <c r="M852482" s="472"/>
    </row>
    <row r="852483" spans="12:13" x14ac:dyDescent="0.25">
      <c r="L852483" s="472"/>
      <c r="M852483" s="472"/>
    </row>
    <row r="852555" spans="12:13" x14ac:dyDescent="0.25">
      <c r="L852555" s="472"/>
      <c r="M852555" s="472"/>
    </row>
    <row r="852556" spans="12:13" x14ac:dyDescent="0.25">
      <c r="L852556" s="472"/>
      <c r="M852556" s="472"/>
    </row>
    <row r="852557" spans="12:13" x14ac:dyDescent="0.25">
      <c r="L852557" s="472"/>
      <c r="M852557" s="472"/>
    </row>
    <row r="852629" spans="12:13" x14ac:dyDescent="0.25">
      <c r="L852629" s="472"/>
      <c r="M852629" s="472"/>
    </row>
    <row r="852630" spans="12:13" x14ac:dyDescent="0.25">
      <c r="L852630" s="472"/>
      <c r="M852630" s="472"/>
    </row>
    <row r="852631" spans="12:13" x14ac:dyDescent="0.25">
      <c r="L852631" s="472"/>
      <c r="M852631" s="472"/>
    </row>
    <row r="852703" spans="12:13" x14ac:dyDescent="0.25">
      <c r="L852703" s="472"/>
      <c r="M852703" s="472"/>
    </row>
    <row r="852704" spans="12:13" x14ac:dyDescent="0.25">
      <c r="L852704" s="472"/>
      <c r="M852704" s="472"/>
    </row>
    <row r="852705" spans="12:13" x14ac:dyDescent="0.25">
      <c r="L852705" s="472"/>
      <c r="M852705" s="472"/>
    </row>
    <row r="852777" spans="12:13" x14ac:dyDescent="0.25">
      <c r="L852777" s="472"/>
      <c r="M852777" s="472"/>
    </row>
    <row r="852778" spans="12:13" x14ac:dyDescent="0.25">
      <c r="L852778" s="472"/>
      <c r="M852778" s="472"/>
    </row>
    <row r="852779" spans="12:13" x14ac:dyDescent="0.25">
      <c r="L852779" s="472"/>
      <c r="M852779" s="472"/>
    </row>
    <row r="852851" spans="12:13" x14ac:dyDescent="0.25">
      <c r="L852851" s="472"/>
      <c r="M852851" s="472"/>
    </row>
    <row r="852852" spans="12:13" x14ac:dyDescent="0.25">
      <c r="L852852" s="472"/>
      <c r="M852852" s="472"/>
    </row>
    <row r="852853" spans="12:13" x14ac:dyDescent="0.25">
      <c r="L852853" s="472"/>
      <c r="M852853" s="472"/>
    </row>
    <row r="852925" spans="12:13" x14ac:dyDescent="0.25">
      <c r="L852925" s="472"/>
      <c r="M852925" s="472"/>
    </row>
    <row r="852926" spans="12:13" x14ac:dyDescent="0.25">
      <c r="L852926" s="472"/>
      <c r="M852926" s="472"/>
    </row>
    <row r="852927" spans="12:13" x14ac:dyDescent="0.25">
      <c r="L852927" s="472"/>
      <c r="M852927" s="472"/>
    </row>
    <row r="852999" spans="12:13" x14ac:dyDescent="0.25">
      <c r="L852999" s="472"/>
      <c r="M852999" s="472"/>
    </row>
    <row r="853000" spans="12:13" x14ac:dyDescent="0.25">
      <c r="L853000" s="472"/>
      <c r="M853000" s="472"/>
    </row>
    <row r="853001" spans="12:13" x14ac:dyDescent="0.25">
      <c r="L853001" s="472"/>
      <c r="M853001" s="472"/>
    </row>
    <row r="853073" spans="12:13" x14ac:dyDescent="0.25">
      <c r="L853073" s="472"/>
      <c r="M853073" s="472"/>
    </row>
    <row r="853074" spans="12:13" x14ac:dyDescent="0.25">
      <c r="L853074" s="472"/>
      <c r="M853074" s="472"/>
    </row>
    <row r="853075" spans="12:13" x14ac:dyDescent="0.25">
      <c r="L853075" s="472"/>
      <c r="M853075" s="472"/>
    </row>
    <row r="853147" spans="12:13" x14ac:dyDescent="0.25">
      <c r="L853147" s="472"/>
      <c r="M853147" s="472"/>
    </row>
    <row r="853148" spans="12:13" x14ac:dyDescent="0.25">
      <c r="L853148" s="472"/>
      <c r="M853148" s="472"/>
    </row>
    <row r="853149" spans="12:13" x14ac:dyDescent="0.25">
      <c r="L853149" s="472"/>
      <c r="M853149" s="472"/>
    </row>
    <row r="853221" spans="12:13" x14ac:dyDescent="0.25">
      <c r="L853221" s="472"/>
      <c r="M853221" s="472"/>
    </row>
    <row r="853222" spans="12:13" x14ac:dyDescent="0.25">
      <c r="L853222" s="472"/>
      <c r="M853222" s="472"/>
    </row>
    <row r="853223" spans="12:13" x14ac:dyDescent="0.25">
      <c r="L853223" s="472"/>
      <c r="M853223" s="472"/>
    </row>
    <row r="853295" spans="12:13" x14ac:dyDescent="0.25">
      <c r="L853295" s="472"/>
      <c r="M853295" s="472"/>
    </row>
    <row r="853296" spans="12:13" x14ac:dyDescent="0.25">
      <c r="L853296" s="472"/>
      <c r="M853296" s="472"/>
    </row>
    <row r="853297" spans="12:13" x14ac:dyDescent="0.25">
      <c r="L853297" s="472"/>
      <c r="M853297" s="472"/>
    </row>
    <row r="853369" spans="12:13" x14ac:dyDescent="0.25">
      <c r="L853369" s="472"/>
      <c r="M853369" s="472"/>
    </row>
    <row r="853370" spans="12:13" x14ac:dyDescent="0.25">
      <c r="L853370" s="472"/>
      <c r="M853370" s="472"/>
    </row>
    <row r="853371" spans="12:13" x14ac:dyDescent="0.25">
      <c r="L853371" s="472"/>
      <c r="M853371" s="472"/>
    </row>
    <row r="853443" spans="12:13" x14ac:dyDescent="0.25">
      <c r="L853443" s="472"/>
      <c r="M853443" s="472"/>
    </row>
    <row r="853444" spans="12:13" x14ac:dyDescent="0.25">
      <c r="L853444" s="472"/>
      <c r="M853444" s="472"/>
    </row>
    <row r="853445" spans="12:13" x14ac:dyDescent="0.25">
      <c r="L853445" s="472"/>
      <c r="M853445" s="472"/>
    </row>
    <row r="853517" spans="12:13" x14ac:dyDescent="0.25">
      <c r="L853517" s="472"/>
      <c r="M853517" s="472"/>
    </row>
    <row r="853518" spans="12:13" x14ac:dyDescent="0.25">
      <c r="L853518" s="472"/>
      <c r="M853518" s="472"/>
    </row>
    <row r="853519" spans="12:13" x14ac:dyDescent="0.25">
      <c r="L853519" s="472"/>
      <c r="M853519" s="472"/>
    </row>
    <row r="853591" spans="12:13" x14ac:dyDescent="0.25">
      <c r="L853591" s="472"/>
      <c r="M853591" s="472"/>
    </row>
    <row r="853592" spans="12:13" x14ac:dyDescent="0.25">
      <c r="L853592" s="472"/>
      <c r="M853592" s="472"/>
    </row>
    <row r="853593" spans="12:13" x14ac:dyDescent="0.25">
      <c r="L853593" s="472"/>
      <c r="M853593" s="472"/>
    </row>
    <row r="853665" spans="12:13" x14ac:dyDescent="0.25">
      <c r="L853665" s="472"/>
      <c r="M853665" s="472"/>
    </row>
    <row r="853666" spans="12:13" x14ac:dyDescent="0.25">
      <c r="L853666" s="472"/>
      <c r="M853666" s="472"/>
    </row>
    <row r="853667" spans="12:13" x14ac:dyDescent="0.25">
      <c r="L853667" s="472"/>
      <c r="M853667" s="472"/>
    </row>
    <row r="853739" spans="12:13" x14ac:dyDescent="0.25">
      <c r="L853739" s="472"/>
      <c r="M853739" s="472"/>
    </row>
    <row r="853740" spans="12:13" x14ac:dyDescent="0.25">
      <c r="L853740" s="472"/>
      <c r="M853740" s="472"/>
    </row>
    <row r="853741" spans="12:13" x14ac:dyDescent="0.25">
      <c r="L853741" s="472"/>
      <c r="M853741" s="472"/>
    </row>
    <row r="853813" spans="12:13" x14ac:dyDescent="0.25">
      <c r="L853813" s="472"/>
      <c r="M853813" s="472"/>
    </row>
    <row r="853814" spans="12:13" x14ac:dyDescent="0.25">
      <c r="L853814" s="472"/>
      <c r="M853814" s="472"/>
    </row>
    <row r="853815" spans="12:13" x14ac:dyDescent="0.25">
      <c r="L853815" s="472"/>
      <c r="M853815" s="472"/>
    </row>
    <row r="853887" spans="12:13" x14ac:dyDescent="0.25">
      <c r="L853887" s="472"/>
      <c r="M853887" s="472"/>
    </row>
    <row r="853888" spans="12:13" x14ac:dyDescent="0.25">
      <c r="L853888" s="472"/>
      <c r="M853888" s="472"/>
    </row>
    <row r="853889" spans="12:13" x14ac:dyDescent="0.25">
      <c r="L853889" s="472"/>
      <c r="M853889" s="472"/>
    </row>
    <row r="853961" spans="12:13" x14ac:dyDescent="0.25">
      <c r="L853961" s="472"/>
      <c r="M853961" s="472"/>
    </row>
    <row r="853962" spans="12:13" x14ac:dyDescent="0.25">
      <c r="L853962" s="472"/>
      <c r="M853962" s="472"/>
    </row>
    <row r="853963" spans="12:13" x14ac:dyDescent="0.25">
      <c r="L853963" s="472"/>
      <c r="M853963" s="472"/>
    </row>
    <row r="854035" spans="12:13" x14ac:dyDescent="0.25">
      <c r="L854035" s="472"/>
      <c r="M854035" s="472"/>
    </row>
    <row r="854036" spans="12:13" x14ac:dyDescent="0.25">
      <c r="L854036" s="472"/>
      <c r="M854036" s="472"/>
    </row>
    <row r="854037" spans="12:13" x14ac:dyDescent="0.25">
      <c r="L854037" s="472"/>
      <c r="M854037" s="472"/>
    </row>
    <row r="854109" spans="12:13" x14ac:dyDescent="0.25">
      <c r="L854109" s="472"/>
      <c r="M854109" s="472"/>
    </row>
    <row r="854110" spans="12:13" x14ac:dyDescent="0.25">
      <c r="L854110" s="472"/>
      <c r="M854110" s="472"/>
    </row>
    <row r="854111" spans="12:13" x14ac:dyDescent="0.25">
      <c r="L854111" s="472"/>
      <c r="M854111" s="472"/>
    </row>
    <row r="854183" spans="12:13" x14ac:dyDescent="0.25">
      <c r="L854183" s="472"/>
      <c r="M854183" s="472"/>
    </row>
    <row r="854184" spans="12:13" x14ac:dyDescent="0.25">
      <c r="L854184" s="472"/>
      <c r="M854184" s="472"/>
    </row>
    <row r="854185" spans="12:13" x14ac:dyDescent="0.25">
      <c r="L854185" s="472"/>
      <c r="M854185" s="472"/>
    </row>
    <row r="854257" spans="12:13" x14ac:dyDescent="0.25">
      <c r="L854257" s="472"/>
      <c r="M854257" s="472"/>
    </row>
    <row r="854258" spans="12:13" x14ac:dyDescent="0.25">
      <c r="L854258" s="472"/>
      <c r="M854258" s="472"/>
    </row>
    <row r="854259" spans="12:13" x14ac:dyDescent="0.25">
      <c r="L854259" s="472"/>
      <c r="M854259" s="472"/>
    </row>
    <row r="854331" spans="12:13" x14ac:dyDescent="0.25">
      <c r="L854331" s="472"/>
      <c r="M854331" s="472"/>
    </row>
    <row r="854332" spans="12:13" x14ac:dyDescent="0.25">
      <c r="L854332" s="472"/>
      <c r="M854332" s="472"/>
    </row>
    <row r="854333" spans="12:13" x14ac:dyDescent="0.25">
      <c r="L854333" s="472"/>
      <c r="M854333" s="472"/>
    </row>
    <row r="854405" spans="12:13" x14ac:dyDescent="0.25">
      <c r="L854405" s="472"/>
      <c r="M854405" s="472"/>
    </row>
    <row r="854406" spans="12:13" x14ac:dyDescent="0.25">
      <c r="L854406" s="472"/>
      <c r="M854406" s="472"/>
    </row>
    <row r="854407" spans="12:13" x14ac:dyDescent="0.25">
      <c r="L854407" s="472"/>
      <c r="M854407" s="472"/>
    </row>
    <row r="854479" spans="12:13" x14ac:dyDescent="0.25">
      <c r="L854479" s="472"/>
      <c r="M854479" s="472"/>
    </row>
    <row r="854480" spans="12:13" x14ac:dyDescent="0.25">
      <c r="L854480" s="472"/>
      <c r="M854480" s="472"/>
    </row>
    <row r="854481" spans="12:13" x14ac:dyDescent="0.25">
      <c r="L854481" s="472"/>
      <c r="M854481" s="472"/>
    </row>
    <row r="854553" spans="12:13" x14ac:dyDescent="0.25">
      <c r="L854553" s="472"/>
      <c r="M854553" s="472"/>
    </row>
    <row r="854554" spans="12:13" x14ac:dyDescent="0.25">
      <c r="L854554" s="472"/>
      <c r="M854554" s="472"/>
    </row>
    <row r="854555" spans="12:13" x14ac:dyDescent="0.25">
      <c r="L854555" s="472"/>
      <c r="M854555" s="472"/>
    </row>
    <row r="854627" spans="12:13" x14ac:dyDescent="0.25">
      <c r="L854627" s="472"/>
      <c r="M854627" s="472"/>
    </row>
    <row r="854628" spans="12:13" x14ac:dyDescent="0.25">
      <c r="L854628" s="472"/>
      <c r="M854628" s="472"/>
    </row>
    <row r="854629" spans="12:13" x14ac:dyDescent="0.25">
      <c r="L854629" s="472"/>
      <c r="M854629" s="472"/>
    </row>
    <row r="854701" spans="12:13" x14ac:dyDescent="0.25">
      <c r="L854701" s="472"/>
      <c r="M854701" s="472"/>
    </row>
    <row r="854702" spans="12:13" x14ac:dyDescent="0.25">
      <c r="L854702" s="472"/>
      <c r="M854702" s="472"/>
    </row>
    <row r="854703" spans="12:13" x14ac:dyDescent="0.25">
      <c r="L854703" s="472"/>
      <c r="M854703" s="472"/>
    </row>
    <row r="854775" spans="12:13" x14ac:dyDescent="0.25">
      <c r="L854775" s="472"/>
      <c r="M854775" s="472"/>
    </row>
    <row r="854776" spans="12:13" x14ac:dyDescent="0.25">
      <c r="L854776" s="472"/>
      <c r="M854776" s="472"/>
    </row>
    <row r="854777" spans="12:13" x14ac:dyDescent="0.25">
      <c r="L854777" s="472"/>
      <c r="M854777" s="472"/>
    </row>
    <row r="854849" spans="12:13" x14ac:dyDescent="0.25">
      <c r="L854849" s="472"/>
      <c r="M854849" s="472"/>
    </row>
    <row r="854850" spans="12:13" x14ac:dyDescent="0.25">
      <c r="L854850" s="472"/>
      <c r="M854850" s="472"/>
    </row>
    <row r="854851" spans="12:13" x14ac:dyDescent="0.25">
      <c r="L854851" s="472"/>
      <c r="M854851" s="472"/>
    </row>
    <row r="854923" spans="12:13" x14ac:dyDescent="0.25">
      <c r="L854923" s="472"/>
      <c r="M854923" s="472"/>
    </row>
    <row r="854924" spans="12:13" x14ac:dyDescent="0.25">
      <c r="L854924" s="472"/>
      <c r="M854924" s="472"/>
    </row>
    <row r="854925" spans="12:13" x14ac:dyDescent="0.25">
      <c r="L854925" s="472"/>
      <c r="M854925" s="472"/>
    </row>
    <row r="854997" spans="12:13" x14ac:dyDescent="0.25">
      <c r="L854997" s="472"/>
      <c r="M854997" s="472"/>
    </row>
    <row r="854998" spans="12:13" x14ac:dyDescent="0.25">
      <c r="L854998" s="472"/>
      <c r="M854998" s="472"/>
    </row>
    <row r="854999" spans="12:13" x14ac:dyDescent="0.25">
      <c r="L854999" s="472"/>
      <c r="M854999" s="472"/>
    </row>
    <row r="855071" spans="12:13" x14ac:dyDescent="0.25">
      <c r="L855071" s="472"/>
      <c r="M855071" s="472"/>
    </row>
    <row r="855072" spans="12:13" x14ac:dyDescent="0.25">
      <c r="L855072" s="472"/>
      <c r="M855072" s="472"/>
    </row>
    <row r="855073" spans="12:13" x14ac:dyDescent="0.25">
      <c r="L855073" s="472"/>
      <c r="M855073" s="472"/>
    </row>
    <row r="855145" spans="12:13" x14ac:dyDescent="0.25">
      <c r="L855145" s="472"/>
      <c r="M855145" s="472"/>
    </row>
    <row r="855146" spans="12:13" x14ac:dyDescent="0.25">
      <c r="L855146" s="472"/>
      <c r="M855146" s="472"/>
    </row>
    <row r="855147" spans="12:13" x14ac:dyDescent="0.25">
      <c r="L855147" s="472"/>
      <c r="M855147" s="472"/>
    </row>
    <row r="855219" spans="12:13" x14ac:dyDescent="0.25">
      <c r="L855219" s="472"/>
      <c r="M855219" s="472"/>
    </row>
    <row r="855220" spans="12:13" x14ac:dyDescent="0.25">
      <c r="L855220" s="472"/>
      <c r="M855220" s="472"/>
    </row>
    <row r="855221" spans="12:13" x14ac:dyDescent="0.25">
      <c r="L855221" s="472"/>
      <c r="M855221" s="472"/>
    </row>
    <row r="855293" spans="12:13" x14ac:dyDescent="0.25">
      <c r="L855293" s="472"/>
      <c r="M855293" s="472"/>
    </row>
    <row r="855294" spans="12:13" x14ac:dyDescent="0.25">
      <c r="L855294" s="472"/>
      <c r="M855294" s="472"/>
    </row>
    <row r="855295" spans="12:13" x14ac:dyDescent="0.25">
      <c r="L855295" s="472"/>
      <c r="M855295" s="472"/>
    </row>
    <row r="855367" spans="12:13" x14ac:dyDescent="0.25">
      <c r="L855367" s="472"/>
      <c r="M855367" s="472"/>
    </row>
    <row r="855368" spans="12:13" x14ac:dyDescent="0.25">
      <c r="L855368" s="472"/>
      <c r="M855368" s="472"/>
    </row>
    <row r="855369" spans="12:13" x14ac:dyDescent="0.25">
      <c r="L855369" s="472"/>
      <c r="M855369" s="472"/>
    </row>
    <row r="855441" spans="12:13" x14ac:dyDescent="0.25">
      <c r="L855441" s="472"/>
      <c r="M855441" s="472"/>
    </row>
    <row r="855442" spans="12:13" x14ac:dyDescent="0.25">
      <c r="L855442" s="472"/>
      <c r="M855442" s="472"/>
    </row>
    <row r="855443" spans="12:13" x14ac:dyDescent="0.25">
      <c r="L855443" s="472"/>
      <c r="M855443" s="472"/>
    </row>
    <row r="855515" spans="12:13" x14ac:dyDescent="0.25">
      <c r="L855515" s="472"/>
      <c r="M855515" s="472"/>
    </row>
    <row r="855516" spans="12:13" x14ac:dyDescent="0.25">
      <c r="L855516" s="472"/>
      <c r="M855516" s="472"/>
    </row>
    <row r="855517" spans="12:13" x14ac:dyDescent="0.25">
      <c r="L855517" s="472"/>
      <c r="M855517" s="472"/>
    </row>
    <row r="855589" spans="12:13" x14ac:dyDescent="0.25">
      <c r="L855589" s="472"/>
      <c r="M855589" s="472"/>
    </row>
    <row r="855590" spans="12:13" x14ac:dyDescent="0.25">
      <c r="L855590" s="472"/>
      <c r="M855590" s="472"/>
    </row>
    <row r="855591" spans="12:13" x14ac:dyDescent="0.25">
      <c r="L855591" s="472"/>
      <c r="M855591" s="472"/>
    </row>
    <row r="855663" spans="12:13" x14ac:dyDescent="0.25">
      <c r="L855663" s="472"/>
      <c r="M855663" s="472"/>
    </row>
    <row r="855664" spans="12:13" x14ac:dyDescent="0.25">
      <c r="L855664" s="472"/>
      <c r="M855664" s="472"/>
    </row>
    <row r="855665" spans="12:13" x14ac:dyDescent="0.25">
      <c r="L855665" s="472"/>
      <c r="M855665" s="472"/>
    </row>
    <row r="855737" spans="12:13" x14ac:dyDescent="0.25">
      <c r="L855737" s="472"/>
      <c r="M855737" s="472"/>
    </row>
    <row r="855738" spans="12:13" x14ac:dyDescent="0.25">
      <c r="L855738" s="472"/>
      <c r="M855738" s="472"/>
    </row>
    <row r="855739" spans="12:13" x14ac:dyDescent="0.25">
      <c r="L855739" s="472"/>
      <c r="M855739" s="472"/>
    </row>
    <row r="855811" spans="12:13" x14ac:dyDescent="0.25">
      <c r="L855811" s="472"/>
      <c r="M855811" s="472"/>
    </row>
    <row r="855812" spans="12:13" x14ac:dyDescent="0.25">
      <c r="L855812" s="472"/>
      <c r="M855812" s="472"/>
    </row>
    <row r="855813" spans="12:13" x14ac:dyDescent="0.25">
      <c r="L855813" s="472"/>
      <c r="M855813" s="472"/>
    </row>
    <row r="855885" spans="12:13" x14ac:dyDescent="0.25">
      <c r="L855885" s="472"/>
      <c r="M855885" s="472"/>
    </row>
    <row r="855886" spans="12:13" x14ac:dyDescent="0.25">
      <c r="L855886" s="472"/>
      <c r="M855886" s="472"/>
    </row>
    <row r="855887" spans="12:13" x14ac:dyDescent="0.25">
      <c r="L855887" s="472"/>
      <c r="M855887" s="472"/>
    </row>
    <row r="855959" spans="12:13" x14ac:dyDescent="0.25">
      <c r="L855959" s="472"/>
      <c r="M855959" s="472"/>
    </row>
    <row r="855960" spans="12:13" x14ac:dyDescent="0.25">
      <c r="L855960" s="472"/>
      <c r="M855960" s="472"/>
    </row>
    <row r="855961" spans="12:13" x14ac:dyDescent="0.25">
      <c r="L855961" s="472"/>
      <c r="M855961" s="472"/>
    </row>
    <row r="856033" spans="12:13" x14ac:dyDescent="0.25">
      <c r="L856033" s="472"/>
      <c r="M856033" s="472"/>
    </row>
    <row r="856034" spans="12:13" x14ac:dyDescent="0.25">
      <c r="L856034" s="472"/>
      <c r="M856034" s="472"/>
    </row>
    <row r="856035" spans="12:13" x14ac:dyDescent="0.25">
      <c r="L856035" s="472"/>
      <c r="M856035" s="472"/>
    </row>
    <row r="856107" spans="12:13" x14ac:dyDescent="0.25">
      <c r="L856107" s="472"/>
      <c r="M856107" s="472"/>
    </row>
    <row r="856108" spans="12:13" x14ac:dyDescent="0.25">
      <c r="L856108" s="472"/>
      <c r="M856108" s="472"/>
    </row>
    <row r="856109" spans="12:13" x14ac:dyDescent="0.25">
      <c r="L856109" s="472"/>
      <c r="M856109" s="472"/>
    </row>
    <row r="856181" spans="12:13" x14ac:dyDescent="0.25">
      <c r="L856181" s="472"/>
      <c r="M856181" s="472"/>
    </row>
    <row r="856182" spans="12:13" x14ac:dyDescent="0.25">
      <c r="L856182" s="472"/>
      <c r="M856182" s="472"/>
    </row>
    <row r="856183" spans="12:13" x14ac:dyDescent="0.25">
      <c r="L856183" s="472"/>
      <c r="M856183" s="472"/>
    </row>
    <row r="856255" spans="12:13" x14ac:dyDescent="0.25">
      <c r="L856255" s="472"/>
      <c r="M856255" s="472"/>
    </row>
    <row r="856256" spans="12:13" x14ac:dyDescent="0.25">
      <c r="L856256" s="472"/>
      <c r="M856256" s="472"/>
    </row>
    <row r="856257" spans="12:13" x14ac:dyDescent="0.25">
      <c r="L856257" s="472"/>
      <c r="M856257" s="472"/>
    </row>
    <row r="856329" spans="12:13" x14ac:dyDescent="0.25">
      <c r="L856329" s="472"/>
      <c r="M856329" s="472"/>
    </row>
    <row r="856330" spans="12:13" x14ac:dyDescent="0.25">
      <c r="L856330" s="472"/>
      <c r="M856330" s="472"/>
    </row>
    <row r="856331" spans="12:13" x14ac:dyDescent="0.25">
      <c r="L856331" s="472"/>
      <c r="M856331" s="472"/>
    </row>
    <row r="856403" spans="12:13" x14ac:dyDescent="0.25">
      <c r="L856403" s="472"/>
      <c r="M856403" s="472"/>
    </row>
    <row r="856404" spans="12:13" x14ac:dyDescent="0.25">
      <c r="L856404" s="472"/>
      <c r="M856404" s="472"/>
    </row>
    <row r="856405" spans="12:13" x14ac:dyDescent="0.25">
      <c r="L856405" s="472"/>
      <c r="M856405" s="472"/>
    </row>
    <row r="856477" spans="12:13" x14ac:dyDescent="0.25">
      <c r="L856477" s="472"/>
      <c r="M856477" s="472"/>
    </row>
    <row r="856478" spans="12:13" x14ac:dyDescent="0.25">
      <c r="L856478" s="472"/>
      <c r="M856478" s="472"/>
    </row>
    <row r="856479" spans="12:13" x14ac:dyDescent="0.25">
      <c r="L856479" s="472"/>
      <c r="M856479" s="472"/>
    </row>
    <row r="856551" spans="12:13" x14ac:dyDescent="0.25">
      <c r="L856551" s="472"/>
      <c r="M856551" s="472"/>
    </row>
    <row r="856552" spans="12:13" x14ac:dyDescent="0.25">
      <c r="L856552" s="472"/>
      <c r="M856552" s="472"/>
    </row>
    <row r="856553" spans="12:13" x14ac:dyDescent="0.25">
      <c r="L856553" s="472"/>
      <c r="M856553" s="472"/>
    </row>
    <row r="856625" spans="12:13" x14ac:dyDescent="0.25">
      <c r="L856625" s="472"/>
      <c r="M856625" s="472"/>
    </row>
    <row r="856626" spans="12:13" x14ac:dyDescent="0.25">
      <c r="L856626" s="472"/>
      <c r="M856626" s="472"/>
    </row>
    <row r="856627" spans="12:13" x14ac:dyDescent="0.25">
      <c r="L856627" s="472"/>
      <c r="M856627" s="472"/>
    </row>
    <row r="856699" spans="12:13" x14ac:dyDescent="0.25">
      <c r="L856699" s="472"/>
      <c r="M856699" s="472"/>
    </row>
    <row r="856700" spans="12:13" x14ac:dyDescent="0.25">
      <c r="L856700" s="472"/>
      <c r="M856700" s="472"/>
    </row>
    <row r="856701" spans="12:13" x14ac:dyDescent="0.25">
      <c r="L856701" s="472"/>
      <c r="M856701" s="472"/>
    </row>
    <row r="856773" spans="12:13" x14ac:dyDescent="0.25">
      <c r="L856773" s="472"/>
      <c r="M856773" s="472"/>
    </row>
    <row r="856774" spans="12:13" x14ac:dyDescent="0.25">
      <c r="L856774" s="472"/>
      <c r="M856774" s="472"/>
    </row>
    <row r="856775" spans="12:13" x14ac:dyDescent="0.25">
      <c r="L856775" s="472"/>
      <c r="M856775" s="472"/>
    </row>
    <row r="856847" spans="12:13" x14ac:dyDescent="0.25">
      <c r="L856847" s="472"/>
      <c r="M856847" s="472"/>
    </row>
    <row r="856848" spans="12:13" x14ac:dyDescent="0.25">
      <c r="L856848" s="472"/>
      <c r="M856848" s="472"/>
    </row>
    <row r="856849" spans="12:13" x14ac:dyDescent="0.25">
      <c r="L856849" s="472"/>
      <c r="M856849" s="472"/>
    </row>
    <row r="856921" spans="12:13" x14ac:dyDescent="0.25">
      <c r="L856921" s="472"/>
      <c r="M856921" s="472"/>
    </row>
    <row r="856922" spans="12:13" x14ac:dyDescent="0.25">
      <c r="L856922" s="472"/>
      <c r="M856922" s="472"/>
    </row>
    <row r="856923" spans="12:13" x14ac:dyDescent="0.25">
      <c r="L856923" s="472"/>
      <c r="M856923" s="472"/>
    </row>
    <row r="856995" spans="12:13" x14ac:dyDescent="0.25">
      <c r="L856995" s="472"/>
      <c r="M856995" s="472"/>
    </row>
    <row r="856996" spans="12:13" x14ac:dyDescent="0.25">
      <c r="L856996" s="472"/>
      <c r="M856996" s="472"/>
    </row>
    <row r="856997" spans="12:13" x14ac:dyDescent="0.25">
      <c r="L856997" s="472"/>
      <c r="M856997" s="472"/>
    </row>
    <row r="857069" spans="12:13" x14ac:dyDescent="0.25">
      <c r="L857069" s="472"/>
      <c r="M857069" s="472"/>
    </row>
    <row r="857070" spans="12:13" x14ac:dyDescent="0.25">
      <c r="L857070" s="472"/>
      <c r="M857070" s="472"/>
    </row>
    <row r="857071" spans="12:13" x14ac:dyDescent="0.25">
      <c r="L857071" s="472"/>
      <c r="M857071" s="472"/>
    </row>
    <row r="857143" spans="12:13" x14ac:dyDescent="0.25">
      <c r="L857143" s="472"/>
      <c r="M857143" s="472"/>
    </row>
    <row r="857144" spans="12:13" x14ac:dyDescent="0.25">
      <c r="L857144" s="472"/>
      <c r="M857144" s="472"/>
    </row>
    <row r="857145" spans="12:13" x14ac:dyDescent="0.25">
      <c r="L857145" s="472"/>
      <c r="M857145" s="472"/>
    </row>
    <row r="857217" spans="12:13" x14ac:dyDescent="0.25">
      <c r="L857217" s="472"/>
      <c r="M857217" s="472"/>
    </row>
    <row r="857218" spans="12:13" x14ac:dyDescent="0.25">
      <c r="L857218" s="472"/>
      <c r="M857218" s="472"/>
    </row>
    <row r="857219" spans="12:13" x14ac:dyDescent="0.25">
      <c r="L857219" s="472"/>
      <c r="M857219" s="472"/>
    </row>
    <row r="857291" spans="12:13" x14ac:dyDescent="0.25">
      <c r="L857291" s="472"/>
      <c r="M857291" s="472"/>
    </row>
    <row r="857292" spans="12:13" x14ac:dyDescent="0.25">
      <c r="L857292" s="472"/>
      <c r="M857292" s="472"/>
    </row>
    <row r="857293" spans="12:13" x14ac:dyDescent="0.25">
      <c r="L857293" s="472"/>
      <c r="M857293" s="472"/>
    </row>
    <row r="857365" spans="12:13" x14ac:dyDescent="0.25">
      <c r="L857365" s="472"/>
      <c r="M857365" s="472"/>
    </row>
    <row r="857366" spans="12:13" x14ac:dyDescent="0.25">
      <c r="L857366" s="472"/>
      <c r="M857366" s="472"/>
    </row>
    <row r="857367" spans="12:13" x14ac:dyDescent="0.25">
      <c r="L857367" s="472"/>
      <c r="M857367" s="472"/>
    </row>
    <row r="857439" spans="12:13" x14ac:dyDescent="0.25">
      <c r="L857439" s="472"/>
      <c r="M857439" s="472"/>
    </row>
    <row r="857440" spans="12:13" x14ac:dyDescent="0.25">
      <c r="L857440" s="472"/>
      <c r="M857440" s="472"/>
    </row>
    <row r="857441" spans="12:13" x14ac:dyDescent="0.25">
      <c r="L857441" s="472"/>
      <c r="M857441" s="472"/>
    </row>
    <row r="857513" spans="12:13" x14ac:dyDescent="0.25">
      <c r="L857513" s="472"/>
      <c r="M857513" s="472"/>
    </row>
    <row r="857514" spans="12:13" x14ac:dyDescent="0.25">
      <c r="L857514" s="472"/>
      <c r="M857514" s="472"/>
    </row>
    <row r="857515" spans="12:13" x14ac:dyDescent="0.25">
      <c r="L857515" s="472"/>
      <c r="M857515" s="472"/>
    </row>
    <row r="857587" spans="12:13" x14ac:dyDescent="0.25">
      <c r="L857587" s="472"/>
      <c r="M857587" s="472"/>
    </row>
    <row r="857588" spans="12:13" x14ac:dyDescent="0.25">
      <c r="L857588" s="472"/>
      <c r="M857588" s="472"/>
    </row>
    <row r="857589" spans="12:13" x14ac:dyDescent="0.25">
      <c r="L857589" s="472"/>
      <c r="M857589" s="472"/>
    </row>
    <row r="857661" spans="12:13" x14ac:dyDescent="0.25">
      <c r="L857661" s="472"/>
      <c r="M857661" s="472"/>
    </row>
    <row r="857662" spans="12:13" x14ac:dyDescent="0.25">
      <c r="L857662" s="472"/>
      <c r="M857662" s="472"/>
    </row>
    <row r="857663" spans="12:13" x14ac:dyDescent="0.25">
      <c r="L857663" s="472"/>
      <c r="M857663" s="472"/>
    </row>
    <row r="857735" spans="12:13" x14ac:dyDescent="0.25">
      <c r="L857735" s="472"/>
      <c r="M857735" s="472"/>
    </row>
    <row r="857736" spans="12:13" x14ac:dyDescent="0.25">
      <c r="L857736" s="472"/>
      <c r="M857736" s="472"/>
    </row>
    <row r="857737" spans="12:13" x14ac:dyDescent="0.25">
      <c r="L857737" s="472"/>
      <c r="M857737" s="472"/>
    </row>
    <row r="857809" spans="12:13" x14ac:dyDescent="0.25">
      <c r="L857809" s="472"/>
      <c r="M857809" s="472"/>
    </row>
    <row r="857810" spans="12:13" x14ac:dyDescent="0.25">
      <c r="L857810" s="472"/>
      <c r="M857810" s="472"/>
    </row>
    <row r="857811" spans="12:13" x14ac:dyDescent="0.25">
      <c r="L857811" s="472"/>
      <c r="M857811" s="472"/>
    </row>
    <row r="857883" spans="12:13" x14ac:dyDescent="0.25">
      <c r="L857883" s="472"/>
      <c r="M857883" s="472"/>
    </row>
    <row r="857884" spans="12:13" x14ac:dyDescent="0.25">
      <c r="L857884" s="472"/>
      <c r="M857884" s="472"/>
    </row>
    <row r="857885" spans="12:13" x14ac:dyDescent="0.25">
      <c r="L857885" s="472"/>
      <c r="M857885" s="472"/>
    </row>
    <row r="857957" spans="12:13" x14ac:dyDescent="0.25">
      <c r="L857957" s="472"/>
      <c r="M857957" s="472"/>
    </row>
    <row r="857958" spans="12:13" x14ac:dyDescent="0.25">
      <c r="L857958" s="472"/>
      <c r="M857958" s="472"/>
    </row>
    <row r="857959" spans="12:13" x14ac:dyDescent="0.25">
      <c r="L857959" s="472"/>
      <c r="M857959" s="472"/>
    </row>
    <row r="858031" spans="12:13" x14ac:dyDescent="0.25">
      <c r="L858031" s="472"/>
      <c r="M858031" s="472"/>
    </row>
    <row r="858032" spans="12:13" x14ac:dyDescent="0.25">
      <c r="L858032" s="472"/>
      <c r="M858032" s="472"/>
    </row>
    <row r="858033" spans="12:13" x14ac:dyDescent="0.25">
      <c r="L858033" s="472"/>
      <c r="M858033" s="472"/>
    </row>
    <row r="858105" spans="12:13" x14ac:dyDescent="0.25">
      <c r="L858105" s="472"/>
      <c r="M858105" s="472"/>
    </row>
    <row r="858106" spans="12:13" x14ac:dyDescent="0.25">
      <c r="L858106" s="472"/>
      <c r="M858106" s="472"/>
    </row>
    <row r="858107" spans="12:13" x14ac:dyDescent="0.25">
      <c r="L858107" s="472"/>
      <c r="M858107" s="472"/>
    </row>
    <row r="858179" spans="12:13" x14ac:dyDescent="0.25">
      <c r="L858179" s="472"/>
      <c r="M858179" s="472"/>
    </row>
    <row r="858180" spans="12:13" x14ac:dyDescent="0.25">
      <c r="L858180" s="472"/>
      <c r="M858180" s="472"/>
    </row>
    <row r="858181" spans="12:13" x14ac:dyDescent="0.25">
      <c r="L858181" s="472"/>
      <c r="M858181" s="472"/>
    </row>
    <row r="858253" spans="12:13" x14ac:dyDescent="0.25">
      <c r="L858253" s="472"/>
      <c r="M858253" s="472"/>
    </row>
    <row r="858254" spans="12:13" x14ac:dyDescent="0.25">
      <c r="L858254" s="472"/>
      <c r="M858254" s="472"/>
    </row>
    <row r="858255" spans="12:13" x14ac:dyDescent="0.25">
      <c r="L858255" s="472"/>
      <c r="M858255" s="472"/>
    </row>
    <row r="858327" spans="12:13" x14ac:dyDescent="0.25">
      <c r="L858327" s="472"/>
      <c r="M858327" s="472"/>
    </row>
    <row r="858328" spans="12:13" x14ac:dyDescent="0.25">
      <c r="L858328" s="472"/>
      <c r="M858328" s="472"/>
    </row>
    <row r="858329" spans="12:13" x14ac:dyDescent="0.25">
      <c r="L858329" s="472"/>
      <c r="M858329" s="472"/>
    </row>
    <row r="858401" spans="12:13" x14ac:dyDescent="0.25">
      <c r="L858401" s="472"/>
      <c r="M858401" s="472"/>
    </row>
    <row r="858402" spans="12:13" x14ac:dyDescent="0.25">
      <c r="L858402" s="472"/>
      <c r="M858402" s="472"/>
    </row>
    <row r="858403" spans="12:13" x14ac:dyDescent="0.25">
      <c r="L858403" s="472"/>
      <c r="M858403" s="472"/>
    </row>
    <row r="858475" spans="12:13" x14ac:dyDescent="0.25">
      <c r="L858475" s="472"/>
      <c r="M858475" s="472"/>
    </row>
    <row r="858476" spans="12:13" x14ac:dyDescent="0.25">
      <c r="L858476" s="472"/>
      <c r="M858476" s="472"/>
    </row>
    <row r="858477" spans="12:13" x14ac:dyDescent="0.25">
      <c r="L858477" s="472"/>
      <c r="M858477" s="472"/>
    </row>
    <row r="858549" spans="12:13" x14ac:dyDescent="0.25">
      <c r="L858549" s="472"/>
      <c r="M858549" s="472"/>
    </row>
    <row r="858550" spans="12:13" x14ac:dyDescent="0.25">
      <c r="L858550" s="472"/>
      <c r="M858550" s="472"/>
    </row>
    <row r="858551" spans="12:13" x14ac:dyDescent="0.25">
      <c r="L858551" s="472"/>
      <c r="M858551" s="472"/>
    </row>
    <row r="858623" spans="12:13" x14ac:dyDescent="0.25">
      <c r="L858623" s="472"/>
      <c r="M858623" s="472"/>
    </row>
    <row r="858624" spans="12:13" x14ac:dyDescent="0.25">
      <c r="L858624" s="472"/>
      <c r="M858624" s="472"/>
    </row>
    <row r="858625" spans="12:13" x14ac:dyDescent="0.25">
      <c r="L858625" s="472"/>
      <c r="M858625" s="472"/>
    </row>
    <row r="858697" spans="12:13" x14ac:dyDescent="0.25">
      <c r="L858697" s="472"/>
      <c r="M858697" s="472"/>
    </row>
    <row r="858698" spans="12:13" x14ac:dyDescent="0.25">
      <c r="L858698" s="472"/>
      <c r="M858698" s="472"/>
    </row>
    <row r="858699" spans="12:13" x14ac:dyDescent="0.25">
      <c r="L858699" s="472"/>
      <c r="M858699" s="472"/>
    </row>
    <row r="858771" spans="12:13" x14ac:dyDescent="0.25">
      <c r="L858771" s="472"/>
      <c r="M858771" s="472"/>
    </row>
    <row r="858772" spans="12:13" x14ac:dyDescent="0.25">
      <c r="L858772" s="472"/>
      <c r="M858772" s="472"/>
    </row>
    <row r="858773" spans="12:13" x14ac:dyDescent="0.25">
      <c r="L858773" s="472"/>
      <c r="M858773" s="472"/>
    </row>
    <row r="858845" spans="12:13" x14ac:dyDescent="0.25">
      <c r="L858845" s="472"/>
      <c r="M858845" s="472"/>
    </row>
    <row r="858846" spans="12:13" x14ac:dyDescent="0.25">
      <c r="L858846" s="472"/>
      <c r="M858846" s="472"/>
    </row>
    <row r="858847" spans="12:13" x14ac:dyDescent="0.25">
      <c r="L858847" s="472"/>
      <c r="M858847" s="472"/>
    </row>
    <row r="858919" spans="12:13" x14ac:dyDescent="0.25">
      <c r="L858919" s="472"/>
      <c r="M858919" s="472"/>
    </row>
    <row r="858920" spans="12:13" x14ac:dyDescent="0.25">
      <c r="L858920" s="472"/>
      <c r="M858920" s="472"/>
    </row>
    <row r="858921" spans="12:13" x14ac:dyDescent="0.25">
      <c r="L858921" s="472"/>
      <c r="M858921" s="472"/>
    </row>
    <row r="858993" spans="12:13" x14ac:dyDescent="0.25">
      <c r="L858993" s="472"/>
      <c r="M858993" s="472"/>
    </row>
    <row r="858994" spans="12:13" x14ac:dyDescent="0.25">
      <c r="L858994" s="472"/>
      <c r="M858994" s="472"/>
    </row>
    <row r="858995" spans="12:13" x14ac:dyDescent="0.25">
      <c r="L858995" s="472"/>
      <c r="M858995" s="472"/>
    </row>
    <row r="859067" spans="12:13" x14ac:dyDescent="0.25">
      <c r="L859067" s="472"/>
      <c r="M859067" s="472"/>
    </row>
    <row r="859068" spans="12:13" x14ac:dyDescent="0.25">
      <c r="L859068" s="472"/>
      <c r="M859068" s="472"/>
    </row>
    <row r="859069" spans="12:13" x14ac:dyDescent="0.25">
      <c r="L859069" s="472"/>
      <c r="M859069" s="472"/>
    </row>
    <row r="859141" spans="12:13" x14ac:dyDescent="0.25">
      <c r="L859141" s="472"/>
      <c r="M859141" s="472"/>
    </row>
    <row r="859142" spans="12:13" x14ac:dyDescent="0.25">
      <c r="L859142" s="472"/>
      <c r="M859142" s="472"/>
    </row>
    <row r="859143" spans="12:13" x14ac:dyDescent="0.25">
      <c r="L859143" s="472"/>
      <c r="M859143" s="472"/>
    </row>
    <row r="859215" spans="12:13" x14ac:dyDescent="0.25">
      <c r="L859215" s="472"/>
      <c r="M859215" s="472"/>
    </row>
    <row r="859216" spans="12:13" x14ac:dyDescent="0.25">
      <c r="L859216" s="472"/>
      <c r="M859216" s="472"/>
    </row>
    <row r="859217" spans="12:13" x14ac:dyDescent="0.25">
      <c r="L859217" s="472"/>
      <c r="M859217" s="472"/>
    </row>
    <row r="859289" spans="12:13" x14ac:dyDescent="0.25">
      <c r="L859289" s="472"/>
      <c r="M859289" s="472"/>
    </row>
    <row r="859290" spans="12:13" x14ac:dyDescent="0.25">
      <c r="L859290" s="472"/>
      <c r="M859290" s="472"/>
    </row>
    <row r="859291" spans="12:13" x14ac:dyDescent="0.25">
      <c r="L859291" s="472"/>
      <c r="M859291" s="472"/>
    </row>
    <row r="859363" spans="12:13" x14ac:dyDescent="0.25">
      <c r="L859363" s="472"/>
      <c r="M859363" s="472"/>
    </row>
    <row r="859364" spans="12:13" x14ac:dyDescent="0.25">
      <c r="L859364" s="472"/>
      <c r="M859364" s="472"/>
    </row>
    <row r="859365" spans="12:13" x14ac:dyDescent="0.25">
      <c r="L859365" s="472"/>
      <c r="M859365" s="472"/>
    </row>
    <row r="859437" spans="12:13" x14ac:dyDescent="0.25">
      <c r="L859437" s="472"/>
      <c r="M859437" s="472"/>
    </row>
    <row r="859438" spans="12:13" x14ac:dyDescent="0.25">
      <c r="L859438" s="472"/>
      <c r="M859438" s="472"/>
    </row>
    <row r="859439" spans="12:13" x14ac:dyDescent="0.25">
      <c r="L859439" s="472"/>
      <c r="M859439" s="472"/>
    </row>
    <row r="859511" spans="12:13" x14ac:dyDescent="0.25">
      <c r="L859511" s="472"/>
      <c r="M859511" s="472"/>
    </row>
    <row r="859512" spans="12:13" x14ac:dyDescent="0.25">
      <c r="L859512" s="472"/>
      <c r="M859512" s="472"/>
    </row>
    <row r="859513" spans="12:13" x14ac:dyDescent="0.25">
      <c r="L859513" s="472"/>
      <c r="M859513" s="472"/>
    </row>
    <row r="859585" spans="12:13" x14ac:dyDescent="0.25">
      <c r="L859585" s="472"/>
      <c r="M859585" s="472"/>
    </row>
    <row r="859586" spans="12:13" x14ac:dyDescent="0.25">
      <c r="L859586" s="472"/>
      <c r="M859586" s="472"/>
    </row>
    <row r="859587" spans="12:13" x14ac:dyDescent="0.25">
      <c r="L859587" s="472"/>
      <c r="M859587" s="472"/>
    </row>
    <row r="859659" spans="12:13" x14ac:dyDescent="0.25">
      <c r="L859659" s="472"/>
      <c r="M859659" s="472"/>
    </row>
    <row r="859660" spans="12:13" x14ac:dyDescent="0.25">
      <c r="L859660" s="472"/>
      <c r="M859660" s="472"/>
    </row>
    <row r="859661" spans="12:13" x14ac:dyDescent="0.25">
      <c r="L859661" s="472"/>
      <c r="M859661" s="472"/>
    </row>
    <row r="859733" spans="12:13" x14ac:dyDescent="0.25">
      <c r="L859733" s="472"/>
      <c r="M859733" s="472"/>
    </row>
    <row r="859734" spans="12:13" x14ac:dyDescent="0.25">
      <c r="L859734" s="472"/>
      <c r="M859734" s="472"/>
    </row>
    <row r="859735" spans="12:13" x14ac:dyDescent="0.25">
      <c r="L859735" s="472"/>
      <c r="M859735" s="472"/>
    </row>
    <row r="859807" spans="12:13" x14ac:dyDescent="0.25">
      <c r="L859807" s="472"/>
      <c r="M859807" s="472"/>
    </row>
    <row r="859808" spans="12:13" x14ac:dyDescent="0.25">
      <c r="L859808" s="472"/>
      <c r="M859808" s="472"/>
    </row>
    <row r="859809" spans="12:13" x14ac:dyDescent="0.25">
      <c r="L859809" s="472"/>
      <c r="M859809" s="472"/>
    </row>
    <row r="859881" spans="12:13" x14ac:dyDescent="0.25">
      <c r="L859881" s="472"/>
      <c r="M859881" s="472"/>
    </row>
    <row r="859882" spans="12:13" x14ac:dyDescent="0.25">
      <c r="L859882" s="472"/>
      <c r="M859882" s="472"/>
    </row>
    <row r="859883" spans="12:13" x14ac:dyDescent="0.25">
      <c r="L859883" s="472"/>
      <c r="M859883" s="472"/>
    </row>
    <row r="859955" spans="12:13" x14ac:dyDescent="0.25">
      <c r="L859955" s="472"/>
      <c r="M859955" s="472"/>
    </row>
    <row r="859956" spans="12:13" x14ac:dyDescent="0.25">
      <c r="L859956" s="472"/>
      <c r="M859956" s="472"/>
    </row>
    <row r="859957" spans="12:13" x14ac:dyDescent="0.25">
      <c r="L859957" s="472"/>
      <c r="M859957" s="472"/>
    </row>
    <row r="860029" spans="12:13" x14ac:dyDescent="0.25">
      <c r="L860029" s="472"/>
      <c r="M860029" s="472"/>
    </row>
    <row r="860030" spans="12:13" x14ac:dyDescent="0.25">
      <c r="L860030" s="472"/>
      <c r="M860030" s="472"/>
    </row>
    <row r="860031" spans="12:13" x14ac:dyDescent="0.25">
      <c r="L860031" s="472"/>
      <c r="M860031" s="472"/>
    </row>
    <row r="860103" spans="12:13" x14ac:dyDescent="0.25">
      <c r="L860103" s="472"/>
      <c r="M860103" s="472"/>
    </row>
    <row r="860104" spans="12:13" x14ac:dyDescent="0.25">
      <c r="L860104" s="472"/>
      <c r="M860104" s="472"/>
    </row>
    <row r="860105" spans="12:13" x14ac:dyDescent="0.25">
      <c r="L860105" s="472"/>
      <c r="M860105" s="472"/>
    </row>
    <row r="860177" spans="12:13" x14ac:dyDescent="0.25">
      <c r="L860177" s="472"/>
      <c r="M860177" s="472"/>
    </row>
    <row r="860178" spans="12:13" x14ac:dyDescent="0.25">
      <c r="L860178" s="472"/>
      <c r="M860178" s="472"/>
    </row>
    <row r="860179" spans="12:13" x14ac:dyDescent="0.25">
      <c r="L860179" s="472"/>
      <c r="M860179" s="472"/>
    </row>
    <row r="860251" spans="12:13" x14ac:dyDescent="0.25">
      <c r="L860251" s="472"/>
      <c r="M860251" s="472"/>
    </row>
    <row r="860252" spans="12:13" x14ac:dyDescent="0.25">
      <c r="L860252" s="472"/>
      <c r="M860252" s="472"/>
    </row>
    <row r="860253" spans="12:13" x14ac:dyDescent="0.25">
      <c r="L860253" s="472"/>
      <c r="M860253" s="472"/>
    </row>
    <row r="860325" spans="12:13" x14ac:dyDescent="0.25">
      <c r="L860325" s="472"/>
      <c r="M860325" s="472"/>
    </row>
    <row r="860326" spans="12:13" x14ac:dyDescent="0.25">
      <c r="L860326" s="472"/>
      <c r="M860326" s="472"/>
    </row>
    <row r="860327" spans="12:13" x14ac:dyDescent="0.25">
      <c r="L860327" s="472"/>
      <c r="M860327" s="472"/>
    </row>
    <row r="860399" spans="12:13" x14ac:dyDescent="0.25">
      <c r="L860399" s="472"/>
      <c r="M860399" s="472"/>
    </row>
    <row r="860400" spans="12:13" x14ac:dyDescent="0.25">
      <c r="L860400" s="472"/>
      <c r="M860400" s="472"/>
    </row>
    <row r="860401" spans="12:13" x14ac:dyDescent="0.25">
      <c r="L860401" s="472"/>
      <c r="M860401" s="472"/>
    </row>
    <row r="860473" spans="12:13" x14ac:dyDescent="0.25">
      <c r="L860473" s="472"/>
      <c r="M860473" s="472"/>
    </row>
    <row r="860474" spans="12:13" x14ac:dyDescent="0.25">
      <c r="L860474" s="472"/>
      <c r="M860474" s="472"/>
    </row>
    <row r="860475" spans="12:13" x14ac:dyDescent="0.25">
      <c r="L860475" s="472"/>
      <c r="M860475" s="472"/>
    </row>
    <row r="860547" spans="12:13" x14ac:dyDescent="0.25">
      <c r="L860547" s="472"/>
      <c r="M860547" s="472"/>
    </row>
    <row r="860548" spans="12:13" x14ac:dyDescent="0.25">
      <c r="L860548" s="472"/>
      <c r="M860548" s="472"/>
    </row>
    <row r="860549" spans="12:13" x14ac:dyDescent="0.25">
      <c r="L860549" s="472"/>
      <c r="M860549" s="472"/>
    </row>
    <row r="860621" spans="12:13" x14ac:dyDescent="0.25">
      <c r="L860621" s="472"/>
      <c r="M860621" s="472"/>
    </row>
    <row r="860622" spans="12:13" x14ac:dyDescent="0.25">
      <c r="L860622" s="472"/>
      <c r="M860622" s="472"/>
    </row>
    <row r="860623" spans="12:13" x14ac:dyDescent="0.25">
      <c r="L860623" s="472"/>
      <c r="M860623" s="472"/>
    </row>
    <row r="860695" spans="12:13" x14ac:dyDescent="0.25">
      <c r="L860695" s="472"/>
      <c r="M860695" s="472"/>
    </row>
    <row r="860696" spans="12:13" x14ac:dyDescent="0.25">
      <c r="L860696" s="472"/>
      <c r="M860696" s="472"/>
    </row>
    <row r="860697" spans="12:13" x14ac:dyDescent="0.25">
      <c r="L860697" s="472"/>
      <c r="M860697" s="472"/>
    </row>
    <row r="860769" spans="12:13" x14ac:dyDescent="0.25">
      <c r="L860769" s="472"/>
      <c r="M860769" s="472"/>
    </row>
    <row r="860770" spans="12:13" x14ac:dyDescent="0.25">
      <c r="L860770" s="472"/>
      <c r="M860770" s="472"/>
    </row>
    <row r="860771" spans="12:13" x14ac:dyDescent="0.25">
      <c r="L860771" s="472"/>
      <c r="M860771" s="472"/>
    </row>
    <row r="860843" spans="12:13" x14ac:dyDescent="0.25">
      <c r="L860843" s="472"/>
      <c r="M860843" s="472"/>
    </row>
    <row r="860844" spans="12:13" x14ac:dyDescent="0.25">
      <c r="L860844" s="472"/>
      <c r="M860844" s="472"/>
    </row>
    <row r="860845" spans="12:13" x14ac:dyDescent="0.25">
      <c r="L860845" s="472"/>
      <c r="M860845" s="472"/>
    </row>
    <row r="860917" spans="12:13" x14ac:dyDescent="0.25">
      <c r="L860917" s="472"/>
      <c r="M860917" s="472"/>
    </row>
    <row r="860918" spans="12:13" x14ac:dyDescent="0.25">
      <c r="L860918" s="472"/>
      <c r="M860918" s="472"/>
    </row>
    <row r="860919" spans="12:13" x14ac:dyDescent="0.25">
      <c r="L860919" s="472"/>
      <c r="M860919" s="472"/>
    </row>
    <row r="860991" spans="12:13" x14ac:dyDescent="0.25">
      <c r="L860991" s="472"/>
      <c r="M860991" s="472"/>
    </row>
    <row r="860992" spans="12:13" x14ac:dyDescent="0.25">
      <c r="L860992" s="472"/>
      <c r="M860992" s="472"/>
    </row>
    <row r="860993" spans="12:13" x14ac:dyDescent="0.25">
      <c r="L860993" s="472"/>
      <c r="M860993" s="472"/>
    </row>
    <row r="861065" spans="12:13" x14ac:dyDescent="0.25">
      <c r="L861065" s="472"/>
      <c r="M861065" s="472"/>
    </row>
    <row r="861066" spans="12:13" x14ac:dyDescent="0.25">
      <c r="L861066" s="472"/>
      <c r="M861066" s="472"/>
    </row>
    <row r="861067" spans="12:13" x14ac:dyDescent="0.25">
      <c r="L861067" s="472"/>
      <c r="M861067" s="472"/>
    </row>
    <row r="861139" spans="12:13" x14ac:dyDescent="0.25">
      <c r="L861139" s="472"/>
      <c r="M861139" s="472"/>
    </row>
    <row r="861140" spans="12:13" x14ac:dyDescent="0.25">
      <c r="L861140" s="472"/>
      <c r="M861140" s="472"/>
    </row>
    <row r="861141" spans="12:13" x14ac:dyDescent="0.25">
      <c r="L861141" s="472"/>
      <c r="M861141" s="472"/>
    </row>
    <row r="861213" spans="12:13" x14ac:dyDescent="0.25">
      <c r="L861213" s="472"/>
      <c r="M861213" s="472"/>
    </row>
    <row r="861214" spans="12:13" x14ac:dyDescent="0.25">
      <c r="L861214" s="472"/>
      <c r="M861214" s="472"/>
    </row>
    <row r="861215" spans="12:13" x14ac:dyDescent="0.25">
      <c r="L861215" s="472"/>
      <c r="M861215" s="472"/>
    </row>
    <row r="861287" spans="12:13" x14ac:dyDescent="0.25">
      <c r="L861287" s="472"/>
      <c r="M861287" s="472"/>
    </row>
    <row r="861288" spans="12:13" x14ac:dyDescent="0.25">
      <c r="L861288" s="472"/>
      <c r="M861288" s="472"/>
    </row>
    <row r="861289" spans="12:13" x14ac:dyDescent="0.25">
      <c r="L861289" s="472"/>
      <c r="M861289" s="472"/>
    </row>
    <row r="861361" spans="12:13" x14ac:dyDescent="0.25">
      <c r="L861361" s="472"/>
      <c r="M861361" s="472"/>
    </row>
    <row r="861362" spans="12:13" x14ac:dyDescent="0.25">
      <c r="L861362" s="472"/>
      <c r="M861362" s="472"/>
    </row>
    <row r="861363" spans="12:13" x14ac:dyDescent="0.25">
      <c r="L861363" s="472"/>
      <c r="M861363" s="472"/>
    </row>
    <row r="861435" spans="12:13" x14ac:dyDescent="0.25">
      <c r="L861435" s="472"/>
      <c r="M861435" s="472"/>
    </row>
    <row r="861436" spans="12:13" x14ac:dyDescent="0.25">
      <c r="L861436" s="472"/>
      <c r="M861436" s="472"/>
    </row>
    <row r="861437" spans="12:13" x14ac:dyDescent="0.25">
      <c r="L861437" s="472"/>
      <c r="M861437" s="472"/>
    </row>
    <row r="861509" spans="12:13" x14ac:dyDescent="0.25">
      <c r="L861509" s="472"/>
      <c r="M861509" s="472"/>
    </row>
    <row r="861510" spans="12:13" x14ac:dyDescent="0.25">
      <c r="L861510" s="472"/>
      <c r="M861510" s="472"/>
    </row>
    <row r="861511" spans="12:13" x14ac:dyDescent="0.25">
      <c r="L861511" s="472"/>
      <c r="M861511" s="472"/>
    </row>
    <row r="861583" spans="12:13" x14ac:dyDescent="0.25">
      <c r="L861583" s="472"/>
      <c r="M861583" s="472"/>
    </row>
    <row r="861584" spans="12:13" x14ac:dyDescent="0.25">
      <c r="L861584" s="472"/>
      <c r="M861584" s="472"/>
    </row>
    <row r="861585" spans="12:13" x14ac:dyDescent="0.25">
      <c r="L861585" s="472"/>
      <c r="M861585" s="472"/>
    </row>
    <row r="861657" spans="12:13" x14ac:dyDescent="0.25">
      <c r="L861657" s="472"/>
      <c r="M861657" s="472"/>
    </row>
    <row r="861658" spans="12:13" x14ac:dyDescent="0.25">
      <c r="L861658" s="472"/>
      <c r="M861658" s="472"/>
    </row>
    <row r="861659" spans="12:13" x14ac:dyDescent="0.25">
      <c r="L861659" s="472"/>
      <c r="M861659" s="472"/>
    </row>
    <row r="861731" spans="12:13" x14ac:dyDescent="0.25">
      <c r="L861731" s="472"/>
      <c r="M861731" s="472"/>
    </row>
    <row r="861732" spans="12:13" x14ac:dyDescent="0.25">
      <c r="L861732" s="472"/>
      <c r="M861732" s="472"/>
    </row>
    <row r="861733" spans="12:13" x14ac:dyDescent="0.25">
      <c r="L861733" s="472"/>
      <c r="M861733" s="472"/>
    </row>
    <row r="861805" spans="12:13" x14ac:dyDescent="0.25">
      <c r="L861805" s="472"/>
      <c r="M861805" s="472"/>
    </row>
    <row r="861806" spans="12:13" x14ac:dyDescent="0.25">
      <c r="L861806" s="472"/>
      <c r="M861806" s="472"/>
    </row>
    <row r="861807" spans="12:13" x14ac:dyDescent="0.25">
      <c r="L861807" s="472"/>
      <c r="M861807" s="472"/>
    </row>
    <row r="861879" spans="12:13" x14ac:dyDescent="0.25">
      <c r="L861879" s="472"/>
      <c r="M861879" s="472"/>
    </row>
    <row r="861880" spans="12:13" x14ac:dyDescent="0.25">
      <c r="L861880" s="472"/>
      <c r="M861880" s="472"/>
    </row>
    <row r="861881" spans="12:13" x14ac:dyDescent="0.25">
      <c r="L861881" s="472"/>
      <c r="M861881" s="472"/>
    </row>
    <row r="861953" spans="12:13" x14ac:dyDescent="0.25">
      <c r="L861953" s="472"/>
      <c r="M861953" s="472"/>
    </row>
    <row r="861954" spans="12:13" x14ac:dyDescent="0.25">
      <c r="L861954" s="472"/>
      <c r="M861954" s="472"/>
    </row>
    <row r="861955" spans="12:13" x14ac:dyDescent="0.25">
      <c r="L861955" s="472"/>
      <c r="M861955" s="472"/>
    </row>
    <row r="862027" spans="12:13" x14ac:dyDescent="0.25">
      <c r="L862027" s="472"/>
      <c r="M862027" s="472"/>
    </row>
    <row r="862028" spans="12:13" x14ac:dyDescent="0.25">
      <c r="L862028" s="472"/>
      <c r="M862028" s="472"/>
    </row>
    <row r="862029" spans="12:13" x14ac:dyDescent="0.25">
      <c r="L862029" s="472"/>
      <c r="M862029" s="472"/>
    </row>
    <row r="862101" spans="12:13" x14ac:dyDescent="0.25">
      <c r="L862101" s="472"/>
      <c r="M862101" s="472"/>
    </row>
    <row r="862102" spans="12:13" x14ac:dyDescent="0.25">
      <c r="L862102" s="472"/>
      <c r="M862102" s="472"/>
    </row>
    <row r="862103" spans="12:13" x14ac:dyDescent="0.25">
      <c r="L862103" s="472"/>
      <c r="M862103" s="472"/>
    </row>
    <row r="862175" spans="12:13" x14ac:dyDescent="0.25">
      <c r="L862175" s="472"/>
      <c r="M862175" s="472"/>
    </row>
    <row r="862176" spans="12:13" x14ac:dyDescent="0.25">
      <c r="L862176" s="472"/>
      <c r="M862176" s="472"/>
    </row>
    <row r="862177" spans="12:13" x14ac:dyDescent="0.25">
      <c r="L862177" s="472"/>
      <c r="M862177" s="472"/>
    </row>
    <row r="862249" spans="12:13" x14ac:dyDescent="0.25">
      <c r="L862249" s="472"/>
      <c r="M862249" s="472"/>
    </row>
    <row r="862250" spans="12:13" x14ac:dyDescent="0.25">
      <c r="L862250" s="472"/>
      <c r="M862250" s="472"/>
    </row>
    <row r="862251" spans="12:13" x14ac:dyDescent="0.25">
      <c r="L862251" s="472"/>
      <c r="M862251" s="472"/>
    </row>
    <row r="862323" spans="12:13" x14ac:dyDescent="0.25">
      <c r="L862323" s="472"/>
      <c r="M862323" s="472"/>
    </row>
    <row r="862324" spans="12:13" x14ac:dyDescent="0.25">
      <c r="L862324" s="472"/>
      <c r="M862324" s="472"/>
    </row>
    <row r="862325" spans="12:13" x14ac:dyDescent="0.25">
      <c r="L862325" s="472"/>
      <c r="M862325" s="472"/>
    </row>
    <row r="862397" spans="12:13" x14ac:dyDescent="0.25">
      <c r="L862397" s="472"/>
      <c r="M862397" s="472"/>
    </row>
    <row r="862398" spans="12:13" x14ac:dyDescent="0.25">
      <c r="L862398" s="472"/>
      <c r="M862398" s="472"/>
    </row>
    <row r="862399" spans="12:13" x14ac:dyDescent="0.25">
      <c r="L862399" s="472"/>
      <c r="M862399" s="472"/>
    </row>
    <row r="862471" spans="12:13" x14ac:dyDescent="0.25">
      <c r="L862471" s="472"/>
      <c r="M862471" s="472"/>
    </row>
    <row r="862472" spans="12:13" x14ac:dyDescent="0.25">
      <c r="L862472" s="472"/>
      <c r="M862472" s="472"/>
    </row>
    <row r="862473" spans="12:13" x14ac:dyDescent="0.25">
      <c r="L862473" s="472"/>
      <c r="M862473" s="472"/>
    </row>
    <row r="862545" spans="12:13" x14ac:dyDescent="0.25">
      <c r="L862545" s="472"/>
      <c r="M862545" s="472"/>
    </row>
    <row r="862546" spans="12:13" x14ac:dyDescent="0.25">
      <c r="L862546" s="472"/>
      <c r="M862546" s="472"/>
    </row>
    <row r="862547" spans="12:13" x14ac:dyDescent="0.25">
      <c r="L862547" s="472"/>
      <c r="M862547" s="472"/>
    </row>
    <row r="862619" spans="12:13" x14ac:dyDescent="0.25">
      <c r="L862619" s="472"/>
      <c r="M862619" s="472"/>
    </row>
    <row r="862620" spans="12:13" x14ac:dyDescent="0.25">
      <c r="L862620" s="472"/>
      <c r="M862620" s="472"/>
    </row>
    <row r="862621" spans="12:13" x14ac:dyDescent="0.25">
      <c r="L862621" s="472"/>
      <c r="M862621" s="472"/>
    </row>
    <row r="862693" spans="12:13" x14ac:dyDescent="0.25">
      <c r="L862693" s="472"/>
      <c r="M862693" s="472"/>
    </row>
    <row r="862694" spans="12:13" x14ac:dyDescent="0.25">
      <c r="L862694" s="472"/>
      <c r="M862694" s="472"/>
    </row>
    <row r="862695" spans="12:13" x14ac:dyDescent="0.25">
      <c r="L862695" s="472"/>
      <c r="M862695" s="472"/>
    </row>
    <row r="862767" spans="12:13" x14ac:dyDescent="0.25">
      <c r="L862767" s="472"/>
      <c r="M862767" s="472"/>
    </row>
    <row r="862768" spans="12:13" x14ac:dyDescent="0.25">
      <c r="L862768" s="472"/>
      <c r="M862768" s="472"/>
    </row>
    <row r="862769" spans="12:13" x14ac:dyDescent="0.25">
      <c r="L862769" s="472"/>
      <c r="M862769" s="472"/>
    </row>
    <row r="862841" spans="12:13" x14ac:dyDescent="0.25">
      <c r="L862841" s="472"/>
      <c r="M862841" s="472"/>
    </row>
    <row r="862842" spans="12:13" x14ac:dyDescent="0.25">
      <c r="L862842" s="472"/>
      <c r="M862842" s="472"/>
    </row>
    <row r="862843" spans="12:13" x14ac:dyDescent="0.25">
      <c r="L862843" s="472"/>
      <c r="M862843" s="472"/>
    </row>
    <row r="862915" spans="12:13" x14ac:dyDescent="0.25">
      <c r="L862915" s="472"/>
      <c r="M862915" s="472"/>
    </row>
    <row r="862916" spans="12:13" x14ac:dyDescent="0.25">
      <c r="L862916" s="472"/>
      <c r="M862916" s="472"/>
    </row>
    <row r="862917" spans="12:13" x14ac:dyDescent="0.25">
      <c r="L862917" s="472"/>
      <c r="M862917" s="472"/>
    </row>
    <row r="862989" spans="12:13" x14ac:dyDescent="0.25">
      <c r="L862989" s="472"/>
      <c r="M862989" s="472"/>
    </row>
    <row r="862990" spans="12:13" x14ac:dyDescent="0.25">
      <c r="L862990" s="472"/>
      <c r="M862990" s="472"/>
    </row>
    <row r="862991" spans="12:13" x14ac:dyDescent="0.25">
      <c r="L862991" s="472"/>
      <c r="M862991" s="472"/>
    </row>
    <row r="863063" spans="12:13" x14ac:dyDescent="0.25">
      <c r="L863063" s="472"/>
      <c r="M863063" s="472"/>
    </row>
    <row r="863064" spans="12:13" x14ac:dyDescent="0.25">
      <c r="L863064" s="472"/>
      <c r="M863064" s="472"/>
    </row>
    <row r="863065" spans="12:13" x14ac:dyDescent="0.25">
      <c r="L863065" s="472"/>
      <c r="M863065" s="472"/>
    </row>
    <row r="863137" spans="12:13" x14ac:dyDescent="0.25">
      <c r="L863137" s="472"/>
      <c r="M863137" s="472"/>
    </row>
    <row r="863138" spans="12:13" x14ac:dyDescent="0.25">
      <c r="L863138" s="472"/>
      <c r="M863138" s="472"/>
    </row>
    <row r="863139" spans="12:13" x14ac:dyDescent="0.25">
      <c r="L863139" s="472"/>
      <c r="M863139" s="472"/>
    </row>
    <row r="863211" spans="12:13" x14ac:dyDescent="0.25">
      <c r="L863211" s="472"/>
      <c r="M863211" s="472"/>
    </row>
    <row r="863212" spans="12:13" x14ac:dyDescent="0.25">
      <c r="L863212" s="472"/>
      <c r="M863212" s="472"/>
    </row>
    <row r="863213" spans="12:13" x14ac:dyDescent="0.25">
      <c r="L863213" s="472"/>
      <c r="M863213" s="472"/>
    </row>
    <row r="863285" spans="12:13" x14ac:dyDescent="0.25">
      <c r="L863285" s="472"/>
      <c r="M863285" s="472"/>
    </row>
    <row r="863286" spans="12:13" x14ac:dyDescent="0.25">
      <c r="L863286" s="472"/>
      <c r="M863286" s="472"/>
    </row>
    <row r="863287" spans="12:13" x14ac:dyDescent="0.25">
      <c r="L863287" s="472"/>
      <c r="M863287" s="472"/>
    </row>
    <row r="863359" spans="12:13" x14ac:dyDescent="0.25">
      <c r="L863359" s="472"/>
      <c r="M863359" s="472"/>
    </row>
    <row r="863360" spans="12:13" x14ac:dyDescent="0.25">
      <c r="L863360" s="472"/>
      <c r="M863360" s="472"/>
    </row>
    <row r="863361" spans="12:13" x14ac:dyDescent="0.25">
      <c r="L863361" s="472"/>
      <c r="M863361" s="472"/>
    </row>
    <row r="863433" spans="12:13" x14ac:dyDescent="0.25">
      <c r="L863433" s="472"/>
      <c r="M863433" s="472"/>
    </row>
    <row r="863434" spans="12:13" x14ac:dyDescent="0.25">
      <c r="L863434" s="472"/>
      <c r="M863434" s="472"/>
    </row>
    <row r="863435" spans="12:13" x14ac:dyDescent="0.25">
      <c r="L863435" s="472"/>
      <c r="M863435" s="472"/>
    </row>
    <row r="863507" spans="12:13" x14ac:dyDescent="0.25">
      <c r="L863507" s="472"/>
      <c r="M863507" s="472"/>
    </row>
    <row r="863508" spans="12:13" x14ac:dyDescent="0.25">
      <c r="L863508" s="472"/>
      <c r="M863508" s="472"/>
    </row>
    <row r="863509" spans="12:13" x14ac:dyDescent="0.25">
      <c r="L863509" s="472"/>
      <c r="M863509" s="472"/>
    </row>
    <row r="863581" spans="12:13" x14ac:dyDescent="0.25">
      <c r="L863581" s="472"/>
      <c r="M863581" s="472"/>
    </row>
    <row r="863582" spans="12:13" x14ac:dyDescent="0.25">
      <c r="L863582" s="472"/>
      <c r="M863582" s="472"/>
    </row>
    <row r="863583" spans="12:13" x14ac:dyDescent="0.25">
      <c r="L863583" s="472"/>
      <c r="M863583" s="472"/>
    </row>
    <row r="863655" spans="12:13" x14ac:dyDescent="0.25">
      <c r="L863655" s="472"/>
      <c r="M863655" s="472"/>
    </row>
    <row r="863656" spans="12:13" x14ac:dyDescent="0.25">
      <c r="L863656" s="472"/>
      <c r="M863656" s="472"/>
    </row>
    <row r="863657" spans="12:13" x14ac:dyDescent="0.25">
      <c r="L863657" s="472"/>
      <c r="M863657" s="472"/>
    </row>
    <row r="863729" spans="12:13" x14ac:dyDescent="0.25">
      <c r="L863729" s="472"/>
      <c r="M863729" s="472"/>
    </row>
    <row r="863730" spans="12:13" x14ac:dyDescent="0.25">
      <c r="L863730" s="472"/>
      <c r="M863730" s="472"/>
    </row>
    <row r="863731" spans="12:13" x14ac:dyDescent="0.25">
      <c r="L863731" s="472"/>
      <c r="M863731" s="472"/>
    </row>
    <row r="863803" spans="12:13" x14ac:dyDescent="0.25">
      <c r="L863803" s="472"/>
      <c r="M863803" s="472"/>
    </row>
    <row r="863804" spans="12:13" x14ac:dyDescent="0.25">
      <c r="L863804" s="472"/>
      <c r="M863804" s="472"/>
    </row>
    <row r="863805" spans="12:13" x14ac:dyDescent="0.25">
      <c r="L863805" s="472"/>
      <c r="M863805" s="472"/>
    </row>
    <row r="863877" spans="12:13" x14ac:dyDescent="0.25">
      <c r="L863877" s="472"/>
      <c r="M863877" s="472"/>
    </row>
    <row r="863878" spans="12:13" x14ac:dyDescent="0.25">
      <c r="L863878" s="472"/>
      <c r="M863878" s="472"/>
    </row>
    <row r="863879" spans="12:13" x14ac:dyDescent="0.25">
      <c r="L863879" s="472"/>
      <c r="M863879" s="472"/>
    </row>
    <row r="863951" spans="12:13" x14ac:dyDescent="0.25">
      <c r="L863951" s="472"/>
      <c r="M863951" s="472"/>
    </row>
    <row r="863952" spans="12:13" x14ac:dyDescent="0.25">
      <c r="L863952" s="472"/>
      <c r="M863952" s="472"/>
    </row>
    <row r="863953" spans="12:13" x14ac:dyDescent="0.25">
      <c r="L863953" s="472"/>
      <c r="M863953" s="472"/>
    </row>
    <row r="864025" spans="12:13" x14ac:dyDescent="0.25">
      <c r="L864025" s="472"/>
      <c r="M864025" s="472"/>
    </row>
    <row r="864026" spans="12:13" x14ac:dyDescent="0.25">
      <c r="L864026" s="472"/>
      <c r="M864026" s="472"/>
    </row>
    <row r="864027" spans="12:13" x14ac:dyDescent="0.25">
      <c r="L864027" s="472"/>
      <c r="M864027" s="472"/>
    </row>
    <row r="864099" spans="12:13" x14ac:dyDescent="0.25">
      <c r="L864099" s="472"/>
      <c r="M864099" s="472"/>
    </row>
    <row r="864100" spans="12:13" x14ac:dyDescent="0.25">
      <c r="L864100" s="472"/>
      <c r="M864100" s="472"/>
    </row>
    <row r="864101" spans="12:13" x14ac:dyDescent="0.25">
      <c r="L864101" s="472"/>
      <c r="M864101" s="472"/>
    </row>
    <row r="864173" spans="12:13" x14ac:dyDescent="0.25">
      <c r="L864173" s="472"/>
      <c r="M864173" s="472"/>
    </row>
    <row r="864174" spans="12:13" x14ac:dyDescent="0.25">
      <c r="L864174" s="472"/>
      <c r="M864174" s="472"/>
    </row>
    <row r="864175" spans="12:13" x14ac:dyDescent="0.25">
      <c r="L864175" s="472"/>
      <c r="M864175" s="472"/>
    </row>
    <row r="864247" spans="12:13" x14ac:dyDescent="0.25">
      <c r="L864247" s="472"/>
      <c r="M864247" s="472"/>
    </row>
    <row r="864248" spans="12:13" x14ac:dyDescent="0.25">
      <c r="L864248" s="472"/>
      <c r="M864248" s="472"/>
    </row>
    <row r="864249" spans="12:13" x14ac:dyDescent="0.25">
      <c r="L864249" s="472"/>
      <c r="M864249" s="472"/>
    </row>
    <row r="864321" spans="12:13" x14ac:dyDescent="0.25">
      <c r="L864321" s="472"/>
      <c r="M864321" s="472"/>
    </row>
    <row r="864322" spans="12:13" x14ac:dyDescent="0.25">
      <c r="L864322" s="472"/>
      <c r="M864322" s="472"/>
    </row>
    <row r="864323" spans="12:13" x14ac:dyDescent="0.25">
      <c r="L864323" s="472"/>
      <c r="M864323" s="472"/>
    </row>
    <row r="864395" spans="12:13" x14ac:dyDescent="0.25">
      <c r="L864395" s="472"/>
      <c r="M864395" s="472"/>
    </row>
    <row r="864396" spans="12:13" x14ac:dyDescent="0.25">
      <c r="L864396" s="472"/>
      <c r="M864396" s="472"/>
    </row>
    <row r="864397" spans="12:13" x14ac:dyDescent="0.25">
      <c r="L864397" s="472"/>
      <c r="M864397" s="472"/>
    </row>
    <row r="864469" spans="12:13" x14ac:dyDescent="0.25">
      <c r="L864469" s="472"/>
      <c r="M864469" s="472"/>
    </row>
    <row r="864470" spans="12:13" x14ac:dyDescent="0.25">
      <c r="L864470" s="472"/>
      <c r="M864470" s="472"/>
    </row>
    <row r="864471" spans="12:13" x14ac:dyDescent="0.25">
      <c r="L864471" s="472"/>
      <c r="M864471" s="472"/>
    </row>
    <row r="864543" spans="12:13" x14ac:dyDescent="0.25">
      <c r="L864543" s="472"/>
      <c r="M864543" s="472"/>
    </row>
    <row r="864544" spans="12:13" x14ac:dyDescent="0.25">
      <c r="L864544" s="472"/>
      <c r="M864544" s="472"/>
    </row>
    <row r="864545" spans="12:13" x14ac:dyDescent="0.25">
      <c r="L864545" s="472"/>
      <c r="M864545" s="472"/>
    </row>
    <row r="864617" spans="12:13" x14ac:dyDescent="0.25">
      <c r="L864617" s="472"/>
      <c r="M864617" s="472"/>
    </row>
    <row r="864618" spans="12:13" x14ac:dyDescent="0.25">
      <c r="L864618" s="472"/>
      <c r="M864618" s="472"/>
    </row>
    <row r="864619" spans="12:13" x14ac:dyDescent="0.25">
      <c r="L864619" s="472"/>
      <c r="M864619" s="472"/>
    </row>
    <row r="864691" spans="12:13" x14ac:dyDescent="0.25">
      <c r="L864691" s="472"/>
      <c r="M864691" s="472"/>
    </row>
    <row r="864692" spans="12:13" x14ac:dyDescent="0.25">
      <c r="L864692" s="472"/>
      <c r="M864692" s="472"/>
    </row>
    <row r="864693" spans="12:13" x14ac:dyDescent="0.25">
      <c r="L864693" s="472"/>
      <c r="M864693" s="472"/>
    </row>
    <row r="864765" spans="12:13" x14ac:dyDescent="0.25">
      <c r="L864765" s="472"/>
      <c r="M864765" s="472"/>
    </row>
    <row r="864766" spans="12:13" x14ac:dyDescent="0.25">
      <c r="L864766" s="472"/>
      <c r="M864766" s="472"/>
    </row>
    <row r="864767" spans="12:13" x14ac:dyDescent="0.25">
      <c r="L864767" s="472"/>
      <c r="M864767" s="472"/>
    </row>
    <row r="864839" spans="12:13" x14ac:dyDescent="0.25">
      <c r="L864839" s="472"/>
      <c r="M864839" s="472"/>
    </row>
    <row r="864840" spans="12:13" x14ac:dyDescent="0.25">
      <c r="L864840" s="472"/>
      <c r="M864840" s="472"/>
    </row>
    <row r="864841" spans="12:13" x14ac:dyDescent="0.25">
      <c r="L864841" s="472"/>
      <c r="M864841" s="472"/>
    </row>
    <row r="864913" spans="12:13" x14ac:dyDescent="0.25">
      <c r="L864913" s="472"/>
      <c r="M864913" s="472"/>
    </row>
    <row r="864914" spans="12:13" x14ac:dyDescent="0.25">
      <c r="L864914" s="472"/>
      <c r="M864914" s="472"/>
    </row>
    <row r="864915" spans="12:13" x14ac:dyDescent="0.25">
      <c r="L864915" s="472"/>
      <c r="M864915" s="472"/>
    </row>
    <row r="864987" spans="12:13" x14ac:dyDescent="0.25">
      <c r="L864987" s="472"/>
      <c r="M864987" s="472"/>
    </row>
    <row r="864988" spans="12:13" x14ac:dyDescent="0.25">
      <c r="L864988" s="472"/>
      <c r="M864988" s="472"/>
    </row>
    <row r="864989" spans="12:13" x14ac:dyDescent="0.25">
      <c r="L864989" s="472"/>
      <c r="M864989" s="472"/>
    </row>
    <row r="865061" spans="12:13" x14ac:dyDescent="0.25">
      <c r="L865061" s="472"/>
      <c r="M865061" s="472"/>
    </row>
    <row r="865062" spans="12:13" x14ac:dyDescent="0.25">
      <c r="L865062" s="472"/>
      <c r="M865062" s="472"/>
    </row>
    <row r="865063" spans="12:13" x14ac:dyDescent="0.25">
      <c r="L865063" s="472"/>
      <c r="M865063" s="472"/>
    </row>
    <row r="865135" spans="12:13" x14ac:dyDescent="0.25">
      <c r="L865135" s="472"/>
      <c r="M865135" s="472"/>
    </row>
    <row r="865136" spans="12:13" x14ac:dyDescent="0.25">
      <c r="L865136" s="472"/>
      <c r="M865136" s="472"/>
    </row>
    <row r="865137" spans="12:13" x14ac:dyDescent="0.25">
      <c r="L865137" s="472"/>
      <c r="M865137" s="472"/>
    </row>
    <row r="865209" spans="12:13" x14ac:dyDescent="0.25">
      <c r="L865209" s="472"/>
      <c r="M865209" s="472"/>
    </row>
    <row r="865210" spans="12:13" x14ac:dyDescent="0.25">
      <c r="L865210" s="472"/>
      <c r="M865210" s="472"/>
    </row>
    <row r="865211" spans="12:13" x14ac:dyDescent="0.25">
      <c r="L865211" s="472"/>
      <c r="M865211" s="472"/>
    </row>
    <row r="865283" spans="12:13" x14ac:dyDescent="0.25">
      <c r="L865283" s="472"/>
      <c r="M865283" s="472"/>
    </row>
    <row r="865284" spans="12:13" x14ac:dyDescent="0.25">
      <c r="L865284" s="472"/>
      <c r="M865284" s="472"/>
    </row>
    <row r="865285" spans="12:13" x14ac:dyDescent="0.25">
      <c r="L865285" s="472"/>
      <c r="M865285" s="472"/>
    </row>
    <row r="865357" spans="12:13" x14ac:dyDescent="0.25">
      <c r="L865357" s="472"/>
      <c r="M865357" s="472"/>
    </row>
    <row r="865358" spans="12:13" x14ac:dyDescent="0.25">
      <c r="L865358" s="472"/>
      <c r="M865358" s="472"/>
    </row>
    <row r="865359" spans="12:13" x14ac:dyDescent="0.25">
      <c r="L865359" s="472"/>
      <c r="M865359" s="472"/>
    </row>
    <row r="865431" spans="12:13" x14ac:dyDescent="0.25">
      <c r="L865431" s="472"/>
      <c r="M865431" s="472"/>
    </row>
    <row r="865432" spans="12:13" x14ac:dyDescent="0.25">
      <c r="L865432" s="472"/>
      <c r="M865432" s="472"/>
    </row>
    <row r="865433" spans="12:13" x14ac:dyDescent="0.25">
      <c r="L865433" s="472"/>
      <c r="M865433" s="472"/>
    </row>
    <row r="865505" spans="12:13" x14ac:dyDescent="0.25">
      <c r="L865505" s="472"/>
      <c r="M865505" s="472"/>
    </row>
    <row r="865506" spans="12:13" x14ac:dyDescent="0.25">
      <c r="L865506" s="472"/>
      <c r="M865506" s="472"/>
    </row>
    <row r="865507" spans="12:13" x14ac:dyDescent="0.25">
      <c r="L865507" s="472"/>
      <c r="M865507" s="472"/>
    </row>
    <row r="865579" spans="12:13" x14ac:dyDescent="0.25">
      <c r="L865579" s="472"/>
      <c r="M865579" s="472"/>
    </row>
    <row r="865580" spans="12:13" x14ac:dyDescent="0.25">
      <c r="L865580" s="472"/>
      <c r="M865580" s="472"/>
    </row>
    <row r="865581" spans="12:13" x14ac:dyDescent="0.25">
      <c r="L865581" s="472"/>
      <c r="M865581" s="472"/>
    </row>
    <row r="865653" spans="12:13" x14ac:dyDescent="0.25">
      <c r="L865653" s="472"/>
      <c r="M865653" s="472"/>
    </row>
    <row r="865654" spans="12:13" x14ac:dyDescent="0.25">
      <c r="L865654" s="472"/>
      <c r="M865654" s="472"/>
    </row>
    <row r="865655" spans="12:13" x14ac:dyDescent="0.25">
      <c r="L865655" s="472"/>
      <c r="M865655" s="472"/>
    </row>
    <row r="865727" spans="12:13" x14ac:dyDescent="0.25">
      <c r="L865727" s="472"/>
      <c r="M865727" s="472"/>
    </row>
    <row r="865728" spans="12:13" x14ac:dyDescent="0.25">
      <c r="L865728" s="472"/>
      <c r="M865728" s="472"/>
    </row>
    <row r="865729" spans="12:13" x14ac:dyDescent="0.25">
      <c r="L865729" s="472"/>
      <c r="M865729" s="472"/>
    </row>
    <row r="865801" spans="12:13" x14ac:dyDescent="0.25">
      <c r="L865801" s="472"/>
      <c r="M865801" s="472"/>
    </row>
    <row r="865802" spans="12:13" x14ac:dyDescent="0.25">
      <c r="L865802" s="472"/>
      <c r="M865802" s="472"/>
    </row>
    <row r="865803" spans="12:13" x14ac:dyDescent="0.25">
      <c r="L865803" s="472"/>
      <c r="M865803" s="472"/>
    </row>
    <row r="865875" spans="12:13" x14ac:dyDescent="0.25">
      <c r="L865875" s="472"/>
      <c r="M865875" s="472"/>
    </row>
    <row r="865876" spans="12:13" x14ac:dyDescent="0.25">
      <c r="L865876" s="472"/>
      <c r="M865876" s="472"/>
    </row>
    <row r="865877" spans="12:13" x14ac:dyDescent="0.25">
      <c r="L865877" s="472"/>
      <c r="M865877" s="472"/>
    </row>
    <row r="865949" spans="12:13" x14ac:dyDescent="0.25">
      <c r="L865949" s="472"/>
      <c r="M865949" s="472"/>
    </row>
    <row r="865950" spans="12:13" x14ac:dyDescent="0.25">
      <c r="L865950" s="472"/>
      <c r="M865950" s="472"/>
    </row>
    <row r="865951" spans="12:13" x14ac:dyDescent="0.25">
      <c r="L865951" s="472"/>
      <c r="M865951" s="472"/>
    </row>
    <row r="866023" spans="12:13" x14ac:dyDescent="0.25">
      <c r="L866023" s="472"/>
      <c r="M866023" s="472"/>
    </row>
    <row r="866024" spans="12:13" x14ac:dyDescent="0.25">
      <c r="L866024" s="472"/>
      <c r="M866024" s="472"/>
    </row>
    <row r="866025" spans="12:13" x14ac:dyDescent="0.25">
      <c r="L866025" s="472"/>
      <c r="M866025" s="472"/>
    </row>
    <row r="866097" spans="12:13" x14ac:dyDescent="0.25">
      <c r="L866097" s="472"/>
      <c r="M866097" s="472"/>
    </row>
    <row r="866098" spans="12:13" x14ac:dyDescent="0.25">
      <c r="L866098" s="472"/>
      <c r="M866098" s="472"/>
    </row>
    <row r="866099" spans="12:13" x14ac:dyDescent="0.25">
      <c r="L866099" s="472"/>
      <c r="M866099" s="472"/>
    </row>
    <row r="866171" spans="12:13" x14ac:dyDescent="0.25">
      <c r="L866171" s="472"/>
      <c r="M866171" s="472"/>
    </row>
    <row r="866172" spans="12:13" x14ac:dyDescent="0.25">
      <c r="L866172" s="472"/>
      <c r="M866172" s="472"/>
    </row>
    <row r="866173" spans="12:13" x14ac:dyDescent="0.25">
      <c r="L866173" s="472"/>
      <c r="M866173" s="472"/>
    </row>
    <row r="866245" spans="12:13" x14ac:dyDescent="0.25">
      <c r="L866245" s="472"/>
      <c r="M866245" s="472"/>
    </row>
    <row r="866246" spans="12:13" x14ac:dyDescent="0.25">
      <c r="L866246" s="472"/>
      <c r="M866246" s="472"/>
    </row>
    <row r="866247" spans="12:13" x14ac:dyDescent="0.25">
      <c r="L866247" s="472"/>
      <c r="M866247" s="472"/>
    </row>
    <row r="866319" spans="12:13" x14ac:dyDescent="0.25">
      <c r="L866319" s="472"/>
      <c r="M866319" s="472"/>
    </row>
    <row r="866320" spans="12:13" x14ac:dyDescent="0.25">
      <c r="L866320" s="472"/>
      <c r="M866320" s="472"/>
    </row>
    <row r="866321" spans="12:13" x14ac:dyDescent="0.25">
      <c r="L866321" s="472"/>
      <c r="M866321" s="472"/>
    </row>
    <row r="866393" spans="12:13" x14ac:dyDescent="0.25">
      <c r="L866393" s="472"/>
      <c r="M866393" s="472"/>
    </row>
    <row r="866394" spans="12:13" x14ac:dyDescent="0.25">
      <c r="L866394" s="472"/>
      <c r="M866394" s="472"/>
    </row>
    <row r="866395" spans="12:13" x14ac:dyDescent="0.25">
      <c r="L866395" s="472"/>
      <c r="M866395" s="472"/>
    </row>
    <row r="866467" spans="12:13" x14ac:dyDescent="0.25">
      <c r="L866467" s="472"/>
      <c r="M866467" s="472"/>
    </row>
    <row r="866468" spans="12:13" x14ac:dyDescent="0.25">
      <c r="L866468" s="472"/>
      <c r="M866468" s="472"/>
    </row>
    <row r="866469" spans="12:13" x14ac:dyDescent="0.25">
      <c r="L866469" s="472"/>
      <c r="M866469" s="472"/>
    </row>
    <row r="866541" spans="12:13" x14ac:dyDescent="0.25">
      <c r="L866541" s="472"/>
      <c r="M866541" s="472"/>
    </row>
    <row r="866542" spans="12:13" x14ac:dyDescent="0.25">
      <c r="L866542" s="472"/>
      <c r="M866542" s="472"/>
    </row>
    <row r="866543" spans="12:13" x14ac:dyDescent="0.25">
      <c r="L866543" s="472"/>
      <c r="M866543" s="472"/>
    </row>
    <row r="866615" spans="12:13" x14ac:dyDescent="0.25">
      <c r="L866615" s="472"/>
      <c r="M866615" s="472"/>
    </row>
    <row r="866616" spans="12:13" x14ac:dyDescent="0.25">
      <c r="L866616" s="472"/>
      <c r="M866616" s="472"/>
    </row>
    <row r="866617" spans="12:13" x14ac:dyDescent="0.25">
      <c r="L866617" s="472"/>
      <c r="M866617" s="472"/>
    </row>
    <row r="866689" spans="12:13" x14ac:dyDescent="0.25">
      <c r="L866689" s="472"/>
      <c r="M866689" s="472"/>
    </row>
    <row r="866690" spans="12:13" x14ac:dyDescent="0.25">
      <c r="L866690" s="472"/>
      <c r="M866690" s="472"/>
    </row>
    <row r="866691" spans="12:13" x14ac:dyDescent="0.25">
      <c r="L866691" s="472"/>
      <c r="M866691" s="472"/>
    </row>
    <row r="866763" spans="12:13" x14ac:dyDescent="0.25">
      <c r="L866763" s="472"/>
      <c r="M866763" s="472"/>
    </row>
    <row r="866764" spans="12:13" x14ac:dyDescent="0.25">
      <c r="L866764" s="472"/>
      <c r="M866764" s="472"/>
    </row>
    <row r="866765" spans="12:13" x14ac:dyDescent="0.25">
      <c r="L866765" s="472"/>
      <c r="M866765" s="472"/>
    </row>
    <row r="866837" spans="12:13" x14ac:dyDescent="0.25">
      <c r="L866837" s="472"/>
      <c r="M866837" s="472"/>
    </row>
    <row r="866838" spans="12:13" x14ac:dyDescent="0.25">
      <c r="L866838" s="472"/>
      <c r="M866838" s="472"/>
    </row>
    <row r="866839" spans="12:13" x14ac:dyDescent="0.25">
      <c r="L866839" s="472"/>
      <c r="M866839" s="472"/>
    </row>
    <row r="866911" spans="12:13" x14ac:dyDescent="0.25">
      <c r="L866911" s="472"/>
      <c r="M866911" s="472"/>
    </row>
    <row r="866912" spans="12:13" x14ac:dyDescent="0.25">
      <c r="L866912" s="472"/>
      <c r="M866912" s="472"/>
    </row>
    <row r="866913" spans="12:13" x14ac:dyDescent="0.25">
      <c r="L866913" s="472"/>
      <c r="M866913" s="472"/>
    </row>
    <row r="866985" spans="12:13" x14ac:dyDescent="0.25">
      <c r="L866985" s="472"/>
      <c r="M866985" s="472"/>
    </row>
    <row r="866986" spans="12:13" x14ac:dyDescent="0.25">
      <c r="L866986" s="472"/>
      <c r="M866986" s="472"/>
    </row>
    <row r="866987" spans="12:13" x14ac:dyDescent="0.25">
      <c r="L866987" s="472"/>
      <c r="M866987" s="472"/>
    </row>
    <row r="867059" spans="12:13" x14ac:dyDescent="0.25">
      <c r="L867059" s="472"/>
      <c r="M867059" s="472"/>
    </row>
    <row r="867060" spans="12:13" x14ac:dyDescent="0.25">
      <c r="L867060" s="472"/>
      <c r="M867060" s="472"/>
    </row>
    <row r="867061" spans="12:13" x14ac:dyDescent="0.25">
      <c r="L867061" s="472"/>
      <c r="M867061" s="472"/>
    </row>
    <row r="867133" spans="12:13" x14ac:dyDescent="0.25">
      <c r="L867133" s="472"/>
      <c r="M867133" s="472"/>
    </row>
    <row r="867134" spans="12:13" x14ac:dyDescent="0.25">
      <c r="L867134" s="472"/>
      <c r="M867134" s="472"/>
    </row>
    <row r="867135" spans="12:13" x14ac:dyDescent="0.25">
      <c r="L867135" s="472"/>
      <c r="M867135" s="472"/>
    </row>
    <row r="867207" spans="12:13" x14ac:dyDescent="0.25">
      <c r="L867207" s="472"/>
      <c r="M867207" s="472"/>
    </row>
    <row r="867208" spans="12:13" x14ac:dyDescent="0.25">
      <c r="L867208" s="472"/>
      <c r="M867208" s="472"/>
    </row>
    <row r="867209" spans="12:13" x14ac:dyDescent="0.25">
      <c r="L867209" s="472"/>
      <c r="M867209" s="472"/>
    </row>
    <row r="867281" spans="12:13" x14ac:dyDescent="0.25">
      <c r="L867281" s="472"/>
      <c r="M867281" s="472"/>
    </row>
    <row r="867282" spans="12:13" x14ac:dyDescent="0.25">
      <c r="L867282" s="472"/>
      <c r="M867282" s="472"/>
    </row>
    <row r="867283" spans="12:13" x14ac:dyDescent="0.25">
      <c r="L867283" s="472"/>
      <c r="M867283" s="472"/>
    </row>
    <row r="867355" spans="12:13" x14ac:dyDescent="0.25">
      <c r="L867355" s="472"/>
      <c r="M867355" s="472"/>
    </row>
    <row r="867356" spans="12:13" x14ac:dyDescent="0.25">
      <c r="L867356" s="472"/>
      <c r="M867356" s="472"/>
    </row>
    <row r="867357" spans="12:13" x14ac:dyDescent="0.25">
      <c r="L867357" s="472"/>
      <c r="M867357" s="472"/>
    </row>
    <row r="867429" spans="12:13" x14ac:dyDescent="0.25">
      <c r="L867429" s="472"/>
      <c r="M867429" s="472"/>
    </row>
    <row r="867430" spans="12:13" x14ac:dyDescent="0.25">
      <c r="L867430" s="472"/>
      <c r="M867430" s="472"/>
    </row>
    <row r="867431" spans="12:13" x14ac:dyDescent="0.25">
      <c r="L867431" s="472"/>
      <c r="M867431" s="472"/>
    </row>
    <row r="867503" spans="12:13" x14ac:dyDescent="0.25">
      <c r="L867503" s="472"/>
      <c r="M867503" s="472"/>
    </row>
    <row r="867504" spans="12:13" x14ac:dyDescent="0.25">
      <c r="L867504" s="472"/>
      <c r="M867504" s="472"/>
    </row>
    <row r="867505" spans="12:13" x14ac:dyDescent="0.25">
      <c r="L867505" s="472"/>
      <c r="M867505" s="472"/>
    </row>
    <row r="867577" spans="12:13" x14ac:dyDescent="0.25">
      <c r="L867577" s="472"/>
      <c r="M867577" s="472"/>
    </row>
    <row r="867578" spans="12:13" x14ac:dyDescent="0.25">
      <c r="L867578" s="472"/>
      <c r="M867578" s="472"/>
    </row>
    <row r="867579" spans="12:13" x14ac:dyDescent="0.25">
      <c r="L867579" s="472"/>
      <c r="M867579" s="472"/>
    </row>
    <row r="867651" spans="12:13" x14ac:dyDescent="0.25">
      <c r="L867651" s="472"/>
      <c r="M867651" s="472"/>
    </row>
    <row r="867652" spans="12:13" x14ac:dyDescent="0.25">
      <c r="L867652" s="472"/>
      <c r="M867652" s="472"/>
    </row>
    <row r="867653" spans="12:13" x14ac:dyDescent="0.25">
      <c r="L867653" s="472"/>
      <c r="M867653" s="472"/>
    </row>
    <row r="867725" spans="12:13" x14ac:dyDescent="0.25">
      <c r="L867725" s="472"/>
      <c r="M867725" s="472"/>
    </row>
    <row r="867726" spans="12:13" x14ac:dyDescent="0.25">
      <c r="L867726" s="472"/>
      <c r="M867726" s="472"/>
    </row>
    <row r="867727" spans="12:13" x14ac:dyDescent="0.25">
      <c r="L867727" s="472"/>
      <c r="M867727" s="472"/>
    </row>
    <row r="867799" spans="12:13" x14ac:dyDescent="0.25">
      <c r="L867799" s="472"/>
      <c r="M867799" s="472"/>
    </row>
    <row r="867800" spans="12:13" x14ac:dyDescent="0.25">
      <c r="L867800" s="472"/>
      <c r="M867800" s="472"/>
    </row>
    <row r="867801" spans="12:13" x14ac:dyDescent="0.25">
      <c r="L867801" s="472"/>
      <c r="M867801" s="472"/>
    </row>
    <row r="867873" spans="12:13" x14ac:dyDescent="0.25">
      <c r="L867873" s="472"/>
      <c r="M867873" s="472"/>
    </row>
    <row r="867874" spans="12:13" x14ac:dyDescent="0.25">
      <c r="L867874" s="472"/>
      <c r="M867874" s="472"/>
    </row>
    <row r="867875" spans="12:13" x14ac:dyDescent="0.25">
      <c r="L867875" s="472"/>
      <c r="M867875" s="472"/>
    </row>
    <row r="867947" spans="12:13" x14ac:dyDescent="0.25">
      <c r="L867947" s="472"/>
      <c r="M867947" s="472"/>
    </row>
    <row r="867948" spans="12:13" x14ac:dyDescent="0.25">
      <c r="L867948" s="472"/>
      <c r="M867948" s="472"/>
    </row>
    <row r="867949" spans="12:13" x14ac:dyDescent="0.25">
      <c r="L867949" s="472"/>
      <c r="M867949" s="472"/>
    </row>
    <row r="868021" spans="12:13" x14ac:dyDescent="0.25">
      <c r="L868021" s="472"/>
      <c r="M868021" s="472"/>
    </row>
    <row r="868022" spans="12:13" x14ac:dyDescent="0.25">
      <c r="L868022" s="472"/>
      <c r="M868022" s="472"/>
    </row>
    <row r="868023" spans="12:13" x14ac:dyDescent="0.25">
      <c r="L868023" s="472"/>
      <c r="M868023" s="472"/>
    </row>
    <row r="868095" spans="12:13" x14ac:dyDescent="0.25">
      <c r="L868095" s="472"/>
      <c r="M868095" s="472"/>
    </row>
    <row r="868096" spans="12:13" x14ac:dyDescent="0.25">
      <c r="L868096" s="472"/>
      <c r="M868096" s="472"/>
    </row>
    <row r="868097" spans="12:13" x14ac:dyDescent="0.25">
      <c r="L868097" s="472"/>
      <c r="M868097" s="472"/>
    </row>
    <row r="868169" spans="12:13" x14ac:dyDescent="0.25">
      <c r="L868169" s="472"/>
      <c r="M868169" s="472"/>
    </row>
    <row r="868170" spans="12:13" x14ac:dyDescent="0.25">
      <c r="L868170" s="472"/>
      <c r="M868170" s="472"/>
    </row>
    <row r="868171" spans="12:13" x14ac:dyDescent="0.25">
      <c r="L868171" s="472"/>
      <c r="M868171" s="472"/>
    </row>
    <row r="868243" spans="12:13" x14ac:dyDescent="0.25">
      <c r="L868243" s="472"/>
      <c r="M868243" s="472"/>
    </row>
    <row r="868244" spans="12:13" x14ac:dyDescent="0.25">
      <c r="L868244" s="472"/>
      <c r="M868244" s="472"/>
    </row>
    <row r="868245" spans="12:13" x14ac:dyDescent="0.25">
      <c r="L868245" s="472"/>
      <c r="M868245" s="472"/>
    </row>
    <row r="868317" spans="12:13" x14ac:dyDescent="0.25">
      <c r="L868317" s="472"/>
      <c r="M868317" s="472"/>
    </row>
    <row r="868318" spans="12:13" x14ac:dyDescent="0.25">
      <c r="L868318" s="472"/>
      <c r="M868318" s="472"/>
    </row>
    <row r="868319" spans="12:13" x14ac:dyDescent="0.25">
      <c r="L868319" s="472"/>
      <c r="M868319" s="472"/>
    </row>
    <row r="868391" spans="12:13" x14ac:dyDescent="0.25">
      <c r="L868391" s="472"/>
      <c r="M868391" s="472"/>
    </row>
    <row r="868392" spans="12:13" x14ac:dyDescent="0.25">
      <c r="L868392" s="472"/>
      <c r="M868392" s="472"/>
    </row>
    <row r="868393" spans="12:13" x14ac:dyDescent="0.25">
      <c r="L868393" s="472"/>
      <c r="M868393" s="472"/>
    </row>
    <row r="868465" spans="12:13" x14ac:dyDescent="0.25">
      <c r="L868465" s="472"/>
      <c r="M868465" s="472"/>
    </row>
    <row r="868466" spans="12:13" x14ac:dyDescent="0.25">
      <c r="L868466" s="472"/>
      <c r="M868466" s="472"/>
    </row>
    <row r="868467" spans="12:13" x14ac:dyDescent="0.25">
      <c r="L868467" s="472"/>
      <c r="M868467" s="472"/>
    </row>
    <row r="868539" spans="12:13" x14ac:dyDescent="0.25">
      <c r="L868539" s="472"/>
      <c r="M868539" s="472"/>
    </row>
    <row r="868540" spans="12:13" x14ac:dyDescent="0.25">
      <c r="L868540" s="472"/>
      <c r="M868540" s="472"/>
    </row>
    <row r="868541" spans="12:13" x14ac:dyDescent="0.25">
      <c r="L868541" s="472"/>
      <c r="M868541" s="472"/>
    </row>
    <row r="868613" spans="12:13" x14ac:dyDescent="0.25">
      <c r="L868613" s="472"/>
      <c r="M868613" s="472"/>
    </row>
    <row r="868614" spans="12:13" x14ac:dyDescent="0.25">
      <c r="L868614" s="472"/>
      <c r="M868614" s="472"/>
    </row>
    <row r="868615" spans="12:13" x14ac:dyDescent="0.25">
      <c r="L868615" s="472"/>
      <c r="M868615" s="472"/>
    </row>
    <row r="868687" spans="12:13" x14ac:dyDescent="0.25">
      <c r="L868687" s="472"/>
      <c r="M868687" s="472"/>
    </row>
    <row r="868688" spans="12:13" x14ac:dyDescent="0.25">
      <c r="L868688" s="472"/>
      <c r="M868688" s="472"/>
    </row>
    <row r="868689" spans="12:13" x14ac:dyDescent="0.25">
      <c r="L868689" s="472"/>
      <c r="M868689" s="472"/>
    </row>
    <row r="868761" spans="12:13" x14ac:dyDescent="0.25">
      <c r="L868761" s="472"/>
      <c r="M868761" s="472"/>
    </row>
    <row r="868762" spans="12:13" x14ac:dyDescent="0.25">
      <c r="L868762" s="472"/>
      <c r="M868762" s="472"/>
    </row>
    <row r="868763" spans="12:13" x14ac:dyDescent="0.25">
      <c r="L868763" s="472"/>
      <c r="M868763" s="472"/>
    </row>
    <row r="868835" spans="12:13" x14ac:dyDescent="0.25">
      <c r="L868835" s="472"/>
      <c r="M868835" s="472"/>
    </row>
    <row r="868836" spans="12:13" x14ac:dyDescent="0.25">
      <c r="L868836" s="472"/>
      <c r="M868836" s="472"/>
    </row>
    <row r="868837" spans="12:13" x14ac:dyDescent="0.25">
      <c r="L868837" s="472"/>
      <c r="M868837" s="472"/>
    </row>
    <row r="868909" spans="12:13" x14ac:dyDescent="0.25">
      <c r="L868909" s="472"/>
      <c r="M868909" s="472"/>
    </row>
    <row r="868910" spans="12:13" x14ac:dyDescent="0.25">
      <c r="L868910" s="472"/>
      <c r="M868910" s="472"/>
    </row>
    <row r="868911" spans="12:13" x14ac:dyDescent="0.25">
      <c r="L868911" s="472"/>
      <c r="M868911" s="472"/>
    </row>
    <row r="868983" spans="12:13" x14ac:dyDescent="0.25">
      <c r="L868983" s="472"/>
      <c r="M868983" s="472"/>
    </row>
    <row r="868984" spans="12:13" x14ac:dyDescent="0.25">
      <c r="L868984" s="472"/>
      <c r="M868984" s="472"/>
    </row>
    <row r="868985" spans="12:13" x14ac:dyDescent="0.25">
      <c r="L868985" s="472"/>
      <c r="M868985" s="472"/>
    </row>
    <row r="869057" spans="12:13" x14ac:dyDescent="0.25">
      <c r="L869057" s="472"/>
      <c r="M869057" s="472"/>
    </row>
    <row r="869058" spans="12:13" x14ac:dyDescent="0.25">
      <c r="L869058" s="472"/>
      <c r="M869058" s="472"/>
    </row>
    <row r="869059" spans="12:13" x14ac:dyDescent="0.25">
      <c r="L869059" s="472"/>
      <c r="M869059" s="472"/>
    </row>
    <row r="869131" spans="12:13" x14ac:dyDescent="0.25">
      <c r="L869131" s="472"/>
      <c r="M869131" s="472"/>
    </row>
    <row r="869132" spans="12:13" x14ac:dyDescent="0.25">
      <c r="L869132" s="472"/>
      <c r="M869132" s="472"/>
    </row>
    <row r="869133" spans="12:13" x14ac:dyDescent="0.25">
      <c r="L869133" s="472"/>
      <c r="M869133" s="472"/>
    </row>
    <row r="869205" spans="12:13" x14ac:dyDescent="0.25">
      <c r="L869205" s="472"/>
      <c r="M869205" s="472"/>
    </row>
    <row r="869206" spans="12:13" x14ac:dyDescent="0.25">
      <c r="L869206" s="472"/>
      <c r="M869206" s="472"/>
    </row>
    <row r="869207" spans="12:13" x14ac:dyDescent="0.25">
      <c r="L869207" s="472"/>
      <c r="M869207" s="472"/>
    </row>
    <row r="869279" spans="12:13" x14ac:dyDescent="0.25">
      <c r="L869279" s="472"/>
      <c r="M869279" s="472"/>
    </row>
    <row r="869280" spans="12:13" x14ac:dyDescent="0.25">
      <c r="L869280" s="472"/>
      <c r="M869280" s="472"/>
    </row>
    <row r="869281" spans="12:13" x14ac:dyDescent="0.25">
      <c r="L869281" s="472"/>
      <c r="M869281" s="472"/>
    </row>
    <row r="869353" spans="12:13" x14ac:dyDescent="0.25">
      <c r="L869353" s="472"/>
      <c r="M869353" s="472"/>
    </row>
    <row r="869354" spans="12:13" x14ac:dyDescent="0.25">
      <c r="L869354" s="472"/>
      <c r="M869354" s="472"/>
    </row>
    <row r="869355" spans="12:13" x14ac:dyDescent="0.25">
      <c r="L869355" s="472"/>
      <c r="M869355" s="472"/>
    </row>
    <row r="869427" spans="12:13" x14ac:dyDescent="0.25">
      <c r="L869427" s="472"/>
      <c r="M869427" s="472"/>
    </row>
    <row r="869428" spans="12:13" x14ac:dyDescent="0.25">
      <c r="L869428" s="472"/>
      <c r="M869428" s="472"/>
    </row>
    <row r="869429" spans="12:13" x14ac:dyDescent="0.25">
      <c r="L869429" s="472"/>
      <c r="M869429" s="472"/>
    </row>
    <row r="869501" spans="12:13" x14ac:dyDescent="0.25">
      <c r="L869501" s="472"/>
      <c r="M869501" s="472"/>
    </row>
    <row r="869502" spans="12:13" x14ac:dyDescent="0.25">
      <c r="L869502" s="472"/>
      <c r="M869502" s="472"/>
    </row>
    <row r="869503" spans="12:13" x14ac:dyDescent="0.25">
      <c r="L869503" s="472"/>
      <c r="M869503" s="472"/>
    </row>
    <row r="869575" spans="12:13" x14ac:dyDescent="0.25">
      <c r="L869575" s="472"/>
      <c r="M869575" s="472"/>
    </row>
    <row r="869576" spans="12:13" x14ac:dyDescent="0.25">
      <c r="L869576" s="472"/>
      <c r="M869576" s="472"/>
    </row>
    <row r="869577" spans="12:13" x14ac:dyDescent="0.25">
      <c r="L869577" s="472"/>
      <c r="M869577" s="472"/>
    </row>
    <row r="869649" spans="12:13" x14ac:dyDescent="0.25">
      <c r="L869649" s="472"/>
      <c r="M869649" s="472"/>
    </row>
    <row r="869650" spans="12:13" x14ac:dyDescent="0.25">
      <c r="L869650" s="472"/>
      <c r="M869650" s="472"/>
    </row>
    <row r="869651" spans="12:13" x14ac:dyDescent="0.25">
      <c r="L869651" s="472"/>
      <c r="M869651" s="472"/>
    </row>
    <row r="869723" spans="12:13" x14ac:dyDescent="0.25">
      <c r="L869723" s="472"/>
      <c r="M869723" s="472"/>
    </row>
    <row r="869724" spans="12:13" x14ac:dyDescent="0.25">
      <c r="L869724" s="472"/>
      <c r="M869724" s="472"/>
    </row>
    <row r="869725" spans="12:13" x14ac:dyDescent="0.25">
      <c r="L869725" s="472"/>
      <c r="M869725" s="472"/>
    </row>
    <row r="869797" spans="12:13" x14ac:dyDescent="0.25">
      <c r="L869797" s="472"/>
      <c r="M869797" s="472"/>
    </row>
    <row r="869798" spans="12:13" x14ac:dyDescent="0.25">
      <c r="L869798" s="472"/>
      <c r="M869798" s="472"/>
    </row>
    <row r="869799" spans="12:13" x14ac:dyDescent="0.25">
      <c r="L869799" s="472"/>
      <c r="M869799" s="472"/>
    </row>
    <row r="869871" spans="12:13" x14ac:dyDescent="0.25">
      <c r="L869871" s="472"/>
      <c r="M869871" s="472"/>
    </row>
    <row r="869872" spans="12:13" x14ac:dyDescent="0.25">
      <c r="L869872" s="472"/>
      <c r="M869872" s="472"/>
    </row>
    <row r="869873" spans="12:13" x14ac:dyDescent="0.25">
      <c r="L869873" s="472"/>
      <c r="M869873" s="472"/>
    </row>
    <row r="869945" spans="12:13" x14ac:dyDescent="0.25">
      <c r="L869945" s="472"/>
      <c r="M869945" s="472"/>
    </row>
    <row r="869946" spans="12:13" x14ac:dyDescent="0.25">
      <c r="L869946" s="472"/>
      <c r="M869946" s="472"/>
    </row>
    <row r="869947" spans="12:13" x14ac:dyDescent="0.25">
      <c r="L869947" s="472"/>
      <c r="M869947" s="472"/>
    </row>
    <row r="870019" spans="12:13" x14ac:dyDescent="0.25">
      <c r="L870019" s="472"/>
      <c r="M870019" s="472"/>
    </row>
    <row r="870020" spans="12:13" x14ac:dyDescent="0.25">
      <c r="L870020" s="472"/>
      <c r="M870020" s="472"/>
    </row>
    <row r="870021" spans="12:13" x14ac:dyDescent="0.25">
      <c r="L870021" s="472"/>
      <c r="M870021" s="472"/>
    </row>
    <row r="870093" spans="12:13" x14ac:dyDescent="0.25">
      <c r="L870093" s="472"/>
      <c r="M870093" s="472"/>
    </row>
    <row r="870094" spans="12:13" x14ac:dyDescent="0.25">
      <c r="L870094" s="472"/>
      <c r="M870094" s="472"/>
    </row>
    <row r="870095" spans="12:13" x14ac:dyDescent="0.25">
      <c r="L870095" s="472"/>
      <c r="M870095" s="472"/>
    </row>
    <row r="870167" spans="12:13" x14ac:dyDescent="0.25">
      <c r="L870167" s="472"/>
      <c r="M870167" s="472"/>
    </row>
    <row r="870168" spans="12:13" x14ac:dyDescent="0.25">
      <c r="L870168" s="472"/>
      <c r="M870168" s="472"/>
    </row>
    <row r="870169" spans="12:13" x14ac:dyDescent="0.25">
      <c r="L870169" s="472"/>
      <c r="M870169" s="472"/>
    </row>
    <row r="870241" spans="12:13" x14ac:dyDescent="0.25">
      <c r="L870241" s="472"/>
      <c r="M870241" s="472"/>
    </row>
    <row r="870242" spans="12:13" x14ac:dyDescent="0.25">
      <c r="L870242" s="472"/>
      <c r="M870242" s="472"/>
    </row>
    <row r="870243" spans="12:13" x14ac:dyDescent="0.25">
      <c r="L870243" s="472"/>
      <c r="M870243" s="472"/>
    </row>
    <row r="870315" spans="12:13" x14ac:dyDescent="0.25">
      <c r="L870315" s="472"/>
      <c r="M870315" s="472"/>
    </row>
    <row r="870316" spans="12:13" x14ac:dyDescent="0.25">
      <c r="L870316" s="472"/>
      <c r="M870316" s="472"/>
    </row>
    <row r="870317" spans="12:13" x14ac:dyDescent="0.25">
      <c r="L870317" s="472"/>
      <c r="M870317" s="472"/>
    </row>
    <row r="870389" spans="12:13" x14ac:dyDescent="0.25">
      <c r="L870389" s="472"/>
      <c r="M870389" s="472"/>
    </row>
    <row r="870390" spans="12:13" x14ac:dyDescent="0.25">
      <c r="L870390" s="472"/>
      <c r="M870390" s="472"/>
    </row>
    <row r="870391" spans="12:13" x14ac:dyDescent="0.25">
      <c r="L870391" s="472"/>
      <c r="M870391" s="472"/>
    </row>
    <row r="870463" spans="12:13" x14ac:dyDescent="0.25">
      <c r="L870463" s="472"/>
      <c r="M870463" s="472"/>
    </row>
    <row r="870464" spans="12:13" x14ac:dyDescent="0.25">
      <c r="L870464" s="472"/>
      <c r="M870464" s="472"/>
    </row>
    <row r="870465" spans="12:13" x14ac:dyDescent="0.25">
      <c r="L870465" s="472"/>
      <c r="M870465" s="472"/>
    </row>
    <row r="870537" spans="12:13" x14ac:dyDescent="0.25">
      <c r="L870537" s="472"/>
      <c r="M870537" s="472"/>
    </row>
    <row r="870538" spans="12:13" x14ac:dyDescent="0.25">
      <c r="L870538" s="472"/>
      <c r="M870538" s="472"/>
    </row>
    <row r="870539" spans="12:13" x14ac:dyDescent="0.25">
      <c r="L870539" s="472"/>
      <c r="M870539" s="472"/>
    </row>
    <row r="870611" spans="12:13" x14ac:dyDescent="0.25">
      <c r="L870611" s="472"/>
      <c r="M870611" s="472"/>
    </row>
    <row r="870612" spans="12:13" x14ac:dyDescent="0.25">
      <c r="L870612" s="472"/>
      <c r="M870612" s="472"/>
    </row>
    <row r="870613" spans="12:13" x14ac:dyDescent="0.25">
      <c r="L870613" s="472"/>
      <c r="M870613" s="472"/>
    </row>
    <row r="870685" spans="12:13" x14ac:dyDescent="0.25">
      <c r="L870685" s="472"/>
      <c r="M870685" s="472"/>
    </row>
    <row r="870686" spans="12:13" x14ac:dyDescent="0.25">
      <c r="L870686" s="472"/>
      <c r="M870686" s="472"/>
    </row>
    <row r="870687" spans="12:13" x14ac:dyDescent="0.25">
      <c r="L870687" s="472"/>
      <c r="M870687" s="472"/>
    </row>
    <row r="870759" spans="12:13" x14ac:dyDescent="0.25">
      <c r="L870759" s="472"/>
      <c r="M870759" s="472"/>
    </row>
    <row r="870760" spans="12:13" x14ac:dyDescent="0.25">
      <c r="L870760" s="472"/>
      <c r="M870760" s="472"/>
    </row>
    <row r="870761" spans="12:13" x14ac:dyDescent="0.25">
      <c r="L870761" s="472"/>
      <c r="M870761" s="472"/>
    </row>
    <row r="870833" spans="12:13" x14ac:dyDescent="0.25">
      <c r="L870833" s="472"/>
      <c r="M870833" s="472"/>
    </row>
    <row r="870834" spans="12:13" x14ac:dyDescent="0.25">
      <c r="L870834" s="472"/>
      <c r="M870834" s="472"/>
    </row>
    <row r="870835" spans="12:13" x14ac:dyDescent="0.25">
      <c r="L870835" s="472"/>
      <c r="M870835" s="472"/>
    </row>
    <row r="870907" spans="12:13" x14ac:dyDescent="0.25">
      <c r="L870907" s="472"/>
      <c r="M870907" s="472"/>
    </row>
    <row r="870908" spans="12:13" x14ac:dyDescent="0.25">
      <c r="L870908" s="472"/>
      <c r="M870908" s="472"/>
    </row>
    <row r="870909" spans="12:13" x14ac:dyDescent="0.25">
      <c r="L870909" s="472"/>
      <c r="M870909" s="472"/>
    </row>
    <row r="870981" spans="12:13" x14ac:dyDescent="0.25">
      <c r="L870981" s="472"/>
      <c r="M870981" s="472"/>
    </row>
    <row r="870982" spans="12:13" x14ac:dyDescent="0.25">
      <c r="L870982" s="472"/>
      <c r="M870982" s="472"/>
    </row>
    <row r="870983" spans="12:13" x14ac:dyDescent="0.25">
      <c r="L870983" s="472"/>
      <c r="M870983" s="472"/>
    </row>
    <row r="871055" spans="12:13" x14ac:dyDescent="0.25">
      <c r="L871055" s="472"/>
      <c r="M871055" s="472"/>
    </row>
    <row r="871056" spans="12:13" x14ac:dyDescent="0.25">
      <c r="L871056" s="472"/>
      <c r="M871056" s="472"/>
    </row>
    <row r="871057" spans="12:13" x14ac:dyDescent="0.25">
      <c r="L871057" s="472"/>
      <c r="M871057" s="472"/>
    </row>
    <row r="871129" spans="12:13" x14ac:dyDescent="0.25">
      <c r="L871129" s="472"/>
      <c r="M871129" s="472"/>
    </row>
    <row r="871130" spans="12:13" x14ac:dyDescent="0.25">
      <c r="L871130" s="472"/>
      <c r="M871130" s="472"/>
    </row>
    <row r="871131" spans="12:13" x14ac:dyDescent="0.25">
      <c r="L871131" s="472"/>
      <c r="M871131" s="472"/>
    </row>
    <row r="871203" spans="12:13" x14ac:dyDescent="0.25">
      <c r="L871203" s="472"/>
      <c r="M871203" s="472"/>
    </row>
    <row r="871204" spans="12:13" x14ac:dyDescent="0.25">
      <c r="L871204" s="472"/>
      <c r="M871204" s="472"/>
    </row>
    <row r="871205" spans="12:13" x14ac:dyDescent="0.25">
      <c r="L871205" s="472"/>
      <c r="M871205" s="472"/>
    </row>
    <row r="871277" spans="12:13" x14ac:dyDescent="0.25">
      <c r="L871277" s="472"/>
      <c r="M871277" s="472"/>
    </row>
    <row r="871278" spans="12:13" x14ac:dyDescent="0.25">
      <c r="L871278" s="472"/>
      <c r="M871278" s="472"/>
    </row>
    <row r="871279" spans="12:13" x14ac:dyDescent="0.25">
      <c r="L871279" s="472"/>
      <c r="M871279" s="472"/>
    </row>
    <row r="871351" spans="12:13" x14ac:dyDescent="0.25">
      <c r="L871351" s="472"/>
      <c r="M871351" s="472"/>
    </row>
    <row r="871352" spans="12:13" x14ac:dyDescent="0.25">
      <c r="L871352" s="472"/>
      <c r="M871352" s="472"/>
    </row>
    <row r="871353" spans="12:13" x14ac:dyDescent="0.25">
      <c r="L871353" s="472"/>
      <c r="M871353" s="472"/>
    </row>
    <row r="871425" spans="12:13" x14ac:dyDescent="0.25">
      <c r="L871425" s="472"/>
      <c r="M871425" s="472"/>
    </row>
    <row r="871426" spans="12:13" x14ac:dyDescent="0.25">
      <c r="L871426" s="472"/>
      <c r="M871426" s="472"/>
    </row>
    <row r="871427" spans="12:13" x14ac:dyDescent="0.25">
      <c r="L871427" s="472"/>
      <c r="M871427" s="472"/>
    </row>
    <row r="871499" spans="12:13" x14ac:dyDescent="0.25">
      <c r="L871499" s="472"/>
      <c r="M871499" s="472"/>
    </row>
    <row r="871500" spans="12:13" x14ac:dyDescent="0.25">
      <c r="L871500" s="472"/>
      <c r="M871500" s="472"/>
    </row>
    <row r="871501" spans="12:13" x14ac:dyDescent="0.25">
      <c r="L871501" s="472"/>
      <c r="M871501" s="472"/>
    </row>
    <row r="871573" spans="12:13" x14ac:dyDescent="0.25">
      <c r="L871573" s="472"/>
      <c r="M871573" s="472"/>
    </row>
    <row r="871574" spans="12:13" x14ac:dyDescent="0.25">
      <c r="L871574" s="472"/>
      <c r="M871574" s="472"/>
    </row>
    <row r="871575" spans="12:13" x14ac:dyDescent="0.25">
      <c r="L871575" s="472"/>
      <c r="M871575" s="472"/>
    </row>
    <row r="871647" spans="12:13" x14ac:dyDescent="0.25">
      <c r="L871647" s="472"/>
      <c r="M871647" s="472"/>
    </row>
    <row r="871648" spans="12:13" x14ac:dyDescent="0.25">
      <c r="L871648" s="472"/>
      <c r="M871648" s="472"/>
    </row>
    <row r="871649" spans="12:13" x14ac:dyDescent="0.25">
      <c r="L871649" s="472"/>
      <c r="M871649" s="472"/>
    </row>
    <row r="871721" spans="12:13" x14ac:dyDescent="0.25">
      <c r="L871721" s="472"/>
      <c r="M871721" s="472"/>
    </row>
    <row r="871722" spans="12:13" x14ac:dyDescent="0.25">
      <c r="L871722" s="472"/>
      <c r="M871722" s="472"/>
    </row>
    <row r="871723" spans="12:13" x14ac:dyDescent="0.25">
      <c r="L871723" s="472"/>
      <c r="M871723" s="472"/>
    </row>
    <row r="871795" spans="12:13" x14ac:dyDescent="0.25">
      <c r="L871795" s="472"/>
      <c r="M871795" s="472"/>
    </row>
    <row r="871796" spans="12:13" x14ac:dyDescent="0.25">
      <c r="L871796" s="472"/>
      <c r="M871796" s="472"/>
    </row>
    <row r="871797" spans="12:13" x14ac:dyDescent="0.25">
      <c r="L871797" s="472"/>
      <c r="M871797" s="472"/>
    </row>
    <row r="871869" spans="12:13" x14ac:dyDescent="0.25">
      <c r="L871869" s="472"/>
      <c r="M871869" s="472"/>
    </row>
    <row r="871870" spans="12:13" x14ac:dyDescent="0.25">
      <c r="L871870" s="472"/>
      <c r="M871870" s="472"/>
    </row>
    <row r="871871" spans="12:13" x14ac:dyDescent="0.25">
      <c r="L871871" s="472"/>
      <c r="M871871" s="472"/>
    </row>
    <row r="871943" spans="12:13" x14ac:dyDescent="0.25">
      <c r="L871943" s="472"/>
      <c r="M871943" s="472"/>
    </row>
    <row r="871944" spans="12:13" x14ac:dyDescent="0.25">
      <c r="L871944" s="472"/>
      <c r="M871944" s="472"/>
    </row>
    <row r="871945" spans="12:13" x14ac:dyDescent="0.25">
      <c r="L871945" s="472"/>
      <c r="M871945" s="472"/>
    </row>
    <row r="872017" spans="12:13" x14ac:dyDescent="0.25">
      <c r="L872017" s="472"/>
      <c r="M872017" s="472"/>
    </row>
    <row r="872018" spans="12:13" x14ac:dyDescent="0.25">
      <c r="L872018" s="472"/>
      <c r="M872018" s="472"/>
    </row>
    <row r="872019" spans="12:13" x14ac:dyDescent="0.25">
      <c r="L872019" s="472"/>
      <c r="M872019" s="472"/>
    </row>
    <row r="872091" spans="12:13" x14ac:dyDescent="0.25">
      <c r="L872091" s="472"/>
      <c r="M872091" s="472"/>
    </row>
    <row r="872092" spans="12:13" x14ac:dyDescent="0.25">
      <c r="L872092" s="472"/>
      <c r="M872092" s="472"/>
    </row>
    <row r="872093" spans="12:13" x14ac:dyDescent="0.25">
      <c r="L872093" s="472"/>
      <c r="M872093" s="472"/>
    </row>
    <row r="872165" spans="12:13" x14ac:dyDescent="0.25">
      <c r="L872165" s="472"/>
      <c r="M872165" s="472"/>
    </row>
    <row r="872166" spans="12:13" x14ac:dyDescent="0.25">
      <c r="L872166" s="472"/>
      <c r="M872166" s="472"/>
    </row>
    <row r="872167" spans="12:13" x14ac:dyDescent="0.25">
      <c r="L872167" s="472"/>
      <c r="M872167" s="472"/>
    </row>
    <row r="872239" spans="12:13" x14ac:dyDescent="0.25">
      <c r="L872239" s="472"/>
      <c r="M872239" s="472"/>
    </row>
    <row r="872240" spans="12:13" x14ac:dyDescent="0.25">
      <c r="L872240" s="472"/>
      <c r="M872240" s="472"/>
    </row>
    <row r="872241" spans="12:13" x14ac:dyDescent="0.25">
      <c r="L872241" s="472"/>
      <c r="M872241" s="472"/>
    </row>
    <row r="872313" spans="12:13" x14ac:dyDescent="0.25">
      <c r="L872313" s="472"/>
      <c r="M872313" s="472"/>
    </row>
    <row r="872314" spans="12:13" x14ac:dyDescent="0.25">
      <c r="L872314" s="472"/>
      <c r="M872314" s="472"/>
    </row>
    <row r="872315" spans="12:13" x14ac:dyDescent="0.25">
      <c r="L872315" s="472"/>
      <c r="M872315" s="472"/>
    </row>
    <row r="872387" spans="12:13" x14ac:dyDescent="0.25">
      <c r="L872387" s="472"/>
      <c r="M872387" s="472"/>
    </row>
    <row r="872388" spans="12:13" x14ac:dyDescent="0.25">
      <c r="L872388" s="472"/>
      <c r="M872388" s="472"/>
    </row>
    <row r="872389" spans="12:13" x14ac:dyDescent="0.25">
      <c r="L872389" s="472"/>
      <c r="M872389" s="472"/>
    </row>
    <row r="872461" spans="12:13" x14ac:dyDescent="0.25">
      <c r="L872461" s="472"/>
      <c r="M872461" s="472"/>
    </row>
    <row r="872462" spans="12:13" x14ac:dyDescent="0.25">
      <c r="L872462" s="472"/>
      <c r="M872462" s="472"/>
    </row>
    <row r="872463" spans="12:13" x14ac:dyDescent="0.25">
      <c r="L872463" s="472"/>
      <c r="M872463" s="472"/>
    </row>
    <row r="872535" spans="12:13" x14ac:dyDescent="0.25">
      <c r="L872535" s="472"/>
      <c r="M872535" s="472"/>
    </row>
    <row r="872536" spans="12:13" x14ac:dyDescent="0.25">
      <c r="L872536" s="472"/>
      <c r="M872536" s="472"/>
    </row>
    <row r="872537" spans="12:13" x14ac:dyDescent="0.25">
      <c r="L872537" s="472"/>
      <c r="M872537" s="472"/>
    </row>
    <row r="872609" spans="12:13" x14ac:dyDescent="0.25">
      <c r="L872609" s="472"/>
      <c r="M872609" s="472"/>
    </row>
    <row r="872610" spans="12:13" x14ac:dyDescent="0.25">
      <c r="L872610" s="472"/>
      <c r="M872610" s="472"/>
    </row>
    <row r="872611" spans="12:13" x14ac:dyDescent="0.25">
      <c r="L872611" s="472"/>
      <c r="M872611" s="472"/>
    </row>
    <row r="872683" spans="12:13" x14ac:dyDescent="0.25">
      <c r="L872683" s="472"/>
      <c r="M872683" s="472"/>
    </row>
    <row r="872684" spans="12:13" x14ac:dyDescent="0.25">
      <c r="L872684" s="472"/>
      <c r="M872684" s="472"/>
    </row>
    <row r="872685" spans="12:13" x14ac:dyDescent="0.25">
      <c r="L872685" s="472"/>
      <c r="M872685" s="472"/>
    </row>
    <row r="872757" spans="12:13" x14ac:dyDescent="0.25">
      <c r="L872757" s="472"/>
      <c r="M872757" s="472"/>
    </row>
    <row r="872758" spans="12:13" x14ac:dyDescent="0.25">
      <c r="L872758" s="472"/>
      <c r="M872758" s="472"/>
    </row>
    <row r="872759" spans="12:13" x14ac:dyDescent="0.25">
      <c r="L872759" s="472"/>
      <c r="M872759" s="472"/>
    </row>
    <row r="872831" spans="12:13" x14ac:dyDescent="0.25">
      <c r="L872831" s="472"/>
      <c r="M872831" s="472"/>
    </row>
    <row r="872832" spans="12:13" x14ac:dyDescent="0.25">
      <c r="L872832" s="472"/>
      <c r="M872832" s="472"/>
    </row>
    <row r="872833" spans="12:13" x14ac:dyDescent="0.25">
      <c r="L872833" s="472"/>
      <c r="M872833" s="472"/>
    </row>
    <row r="872905" spans="12:13" x14ac:dyDescent="0.25">
      <c r="L872905" s="472"/>
      <c r="M872905" s="472"/>
    </row>
    <row r="872906" spans="12:13" x14ac:dyDescent="0.25">
      <c r="L872906" s="472"/>
      <c r="M872906" s="472"/>
    </row>
    <row r="872907" spans="12:13" x14ac:dyDescent="0.25">
      <c r="L872907" s="472"/>
      <c r="M872907" s="472"/>
    </row>
    <row r="872979" spans="12:13" x14ac:dyDescent="0.25">
      <c r="L872979" s="472"/>
      <c r="M872979" s="472"/>
    </row>
    <row r="872980" spans="12:13" x14ac:dyDescent="0.25">
      <c r="L872980" s="472"/>
      <c r="M872980" s="472"/>
    </row>
    <row r="872981" spans="12:13" x14ac:dyDescent="0.25">
      <c r="L872981" s="472"/>
      <c r="M872981" s="472"/>
    </row>
    <row r="873053" spans="12:13" x14ac:dyDescent="0.25">
      <c r="L873053" s="472"/>
      <c r="M873053" s="472"/>
    </row>
    <row r="873054" spans="12:13" x14ac:dyDescent="0.25">
      <c r="L873054" s="472"/>
      <c r="M873054" s="472"/>
    </row>
    <row r="873055" spans="12:13" x14ac:dyDescent="0.25">
      <c r="L873055" s="472"/>
      <c r="M873055" s="472"/>
    </row>
    <row r="873127" spans="12:13" x14ac:dyDescent="0.25">
      <c r="L873127" s="472"/>
      <c r="M873127" s="472"/>
    </row>
    <row r="873128" spans="12:13" x14ac:dyDescent="0.25">
      <c r="L873128" s="472"/>
      <c r="M873128" s="472"/>
    </row>
    <row r="873129" spans="12:13" x14ac:dyDescent="0.25">
      <c r="L873129" s="472"/>
      <c r="M873129" s="472"/>
    </row>
    <row r="873201" spans="12:13" x14ac:dyDescent="0.25">
      <c r="L873201" s="472"/>
      <c r="M873201" s="472"/>
    </row>
    <row r="873202" spans="12:13" x14ac:dyDescent="0.25">
      <c r="L873202" s="472"/>
      <c r="M873202" s="472"/>
    </row>
    <row r="873203" spans="12:13" x14ac:dyDescent="0.25">
      <c r="L873203" s="472"/>
      <c r="M873203" s="472"/>
    </row>
    <row r="873275" spans="12:13" x14ac:dyDescent="0.25">
      <c r="L873275" s="472"/>
      <c r="M873275" s="472"/>
    </row>
    <row r="873276" spans="12:13" x14ac:dyDescent="0.25">
      <c r="L873276" s="472"/>
      <c r="M873276" s="472"/>
    </row>
    <row r="873277" spans="12:13" x14ac:dyDescent="0.25">
      <c r="L873277" s="472"/>
      <c r="M873277" s="472"/>
    </row>
    <row r="873349" spans="12:13" x14ac:dyDescent="0.25">
      <c r="L873349" s="472"/>
      <c r="M873349" s="472"/>
    </row>
    <row r="873350" spans="12:13" x14ac:dyDescent="0.25">
      <c r="L873350" s="472"/>
      <c r="M873350" s="472"/>
    </row>
    <row r="873351" spans="12:13" x14ac:dyDescent="0.25">
      <c r="L873351" s="472"/>
      <c r="M873351" s="472"/>
    </row>
    <row r="873423" spans="12:13" x14ac:dyDescent="0.25">
      <c r="L873423" s="472"/>
      <c r="M873423" s="472"/>
    </row>
    <row r="873424" spans="12:13" x14ac:dyDescent="0.25">
      <c r="L873424" s="472"/>
      <c r="M873424" s="472"/>
    </row>
    <row r="873425" spans="12:13" x14ac:dyDescent="0.25">
      <c r="L873425" s="472"/>
      <c r="M873425" s="472"/>
    </row>
    <row r="873497" spans="12:13" x14ac:dyDescent="0.25">
      <c r="L873497" s="472"/>
      <c r="M873497" s="472"/>
    </row>
    <row r="873498" spans="12:13" x14ac:dyDescent="0.25">
      <c r="L873498" s="472"/>
      <c r="M873498" s="472"/>
    </row>
    <row r="873499" spans="12:13" x14ac:dyDescent="0.25">
      <c r="L873499" s="472"/>
      <c r="M873499" s="472"/>
    </row>
    <row r="873571" spans="12:13" x14ac:dyDescent="0.25">
      <c r="L873571" s="472"/>
      <c r="M873571" s="472"/>
    </row>
    <row r="873572" spans="12:13" x14ac:dyDescent="0.25">
      <c r="L873572" s="472"/>
      <c r="M873572" s="472"/>
    </row>
    <row r="873573" spans="12:13" x14ac:dyDescent="0.25">
      <c r="L873573" s="472"/>
      <c r="M873573" s="472"/>
    </row>
    <row r="873645" spans="12:13" x14ac:dyDescent="0.25">
      <c r="L873645" s="472"/>
      <c r="M873645" s="472"/>
    </row>
    <row r="873646" spans="12:13" x14ac:dyDescent="0.25">
      <c r="L873646" s="472"/>
      <c r="M873646" s="472"/>
    </row>
    <row r="873647" spans="12:13" x14ac:dyDescent="0.25">
      <c r="L873647" s="472"/>
      <c r="M873647" s="472"/>
    </row>
    <row r="873719" spans="12:13" x14ac:dyDescent="0.25">
      <c r="L873719" s="472"/>
      <c r="M873719" s="472"/>
    </row>
    <row r="873720" spans="12:13" x14ac:dyDescent="0.25">
      <c r="L873720" s="472"/>
      <c r="M873720" s="472"/>
    </row>
    <row r="873721" spans="12:13" x14ac:dyDescent="0.25">
      <c r="L873721" s="472"/>
      <c r="M873721" s="472"/>
    </row>
    <row r="873793" spans="12:13" x14ac:dyDescent="0.25">
      <c r="L873793" s="472"/>
      <c r="M873793" s="472"/>
    </row>
    <row r="873794" spans="12:13" x14ac:dyDescent="0.25">
      <c r="L873794" s="472"/>
      <c r="M873794" s="472"/>
    </row>
    <row r="873795" spans="12:13" x14ac:dyDescent="0.25">
      <c r="L873795" s="472"/>
      <c r="M873795" s="472"/>
    </row>
    <row r="873867" spans="12:13" x14ac:dyDescent="0.25">
      <c r="L873867" s="472"/>
      <c r="M873867" s="472"/>
    </row>
    <row r="873868" spans="12:13" x14ac:dyDescent="0.25">
      <c r="L873868" s="472"/>
      <c r="M873868" s="472"/>
    </row>
    <row r="873869" spans="12:13" x14ac:dyDescent="0.25">
      <c r="L873869" s="472"/>
      <c r="M873869" s="472"/>
    </row>
    <row r="873941" spans="12:13" x14ac:dyDescent="0.25">
      <c r="L873941" s="472"/>
      <c r="M873941" s="472"/>
    </row>
    <row r="873942" spans="12:13" x14ac:dyDescent="0.25">
      <c r="L873942" s="472"/>
      <c r="M873942" s="472"/>
    </row>
    <row r="873943" spans="12:13" x14ac:dyDescent="0.25">
      <c r="L873943" s="472"/>
      <c r="M873943" s="472"/>
    </row>
    <row r="874015" spans="12:13" x14ac:dyDescent="0.25">
      <c r="L874015" s="472"/>
      <c r="M874015" s="472"/>
    </row>
    <row r="874016" spans="12:13" x14ac:dyDescent="0.25">
      <c r="L874016" s="472"/>
      <c r="M874016" s="472"/>
    </row>
    <row r="874017" spans="12:13" x14ac:dyDescent="0.25">
      <c r="L874017" s="472"/>
      <c r="M874017" s="472"/>
    </row>
    <row r="874089" spans="12:13" x14ac:dyDescent="0.25">
      <c r="L874089" s="472"/>
      <c r="M874089" s="472"/>
    </row>
    <row r="874090" spans="12:13" x14ac:dyDescent="0.25">
      <c r="L874090" s="472"/>
      <c r="M874090" s="472"/>
    </row>
    <row r="874091" spans="12:13" x14ac:dyDescent="0.25">
      <c r="L874091" s="472"/>
      <c r="M874091" s="472"/>
    </row>
    <row r="874163" spans="12:13" x14ac:dyDescent="0.25">
      <c r="L874163" s="472"/>
      <c r="M874163" s="472"/>
    </row>
    <row r="874164" spans="12:13" x14ac:dyDescent="0.25">
      <c r="L874164" s="472"/>
      <c r="M874164" s="472"/>
    </row>
    <row r="874165" spans="12:13" x14ac:dyDescent="0.25">
      <c r="L874165" s="472"/>
      <c r="M874165" s="472"/>
    </row>
    <row r="874237" spans="12:13" x14ac:dyDescent="0.25">
      <c r="L874237" s="472"/>
      <c r="M874237" s="472"/>
    </row>
    <row r="874238" spans="12:13" x14ac:dyDescent="0.25">
      <c r="L874238" s="472"/>
      <c r="M874238" s="472"/>
    </row>
    <row r="874239" spans="12:13" x14ac:dyDescent="0.25">
      <c r="L874239" s="472"/>
      <c r="M874239" s="472"/>
    </row>
    <row r="874311" spans="12:13" x14ac:dyDescent="0.25">
      <c r="L874311" s="472"/>
      <c r="M874311" s="472"/>
    </row>
    <row r="874312" spans="12:13" x14ac:dyDescent="0.25">
      <c r="L874312" s="472"/>
      <c r="M874312" s="472"/>
    </row>
    <row r="874313" spans="12:13" x14ac:dyDescent="0.25">
      <c r="L874313" s="472"/>
      <c r="M874313" s="472"/>
    </row>
    <row r="874385" spans="12:13" x14ac:dyDescent="0.25">
      <c r="L874385" s="472"/>
      <c r="M874385" s="472"/>
    </row>
    <row r="874386" spans="12:13" x14ac:dyDescent="0.25">
      <c r="L874386" s="472"/>
      <c r="M874386" s="472"/>
    </row>
    <row r="874387" spans="12:13" x14ac:dyDescent="0.25">
      <c r="L874387" s="472"/>
      <c r="M874387" s="472"/>
    </row>
    <row r="874459" spans="12:13" x14ac:dyDescent="0.25">
      <c r="L874459" s="472"/>
      <c r="M874459" s="472"/>
    </row>
    <row r="874460" spans="12:13" x14ac:dyDescent="0.25">
      <c r="L874460" s="472"/>
      <c r="M874460" s="472"/>
    </row>
    <row r="874461" spans="12:13" x14ac:dyDescent="0.25">
      <c r="L874461" s="472"/>
      <c r="M874461" s="472"/>
    </row>
    <row r="874533" spans="12:13" x14ac:dyDescent="0.25">
      <c r="L874533" s="472"/>
      <c r="M874533" s="472"/>
    </row>
    <row r="874534" spans="12:13" x14ac:dyDescent="0.25">
      <c r="L874534" s="472"/>
      <c r="M874534" s="472"/>
    </row>
    <row r="874535" spans="12:13" x14ac:dyDescent="0.25">
      <c r="L874535" s="472"/>
      <c r="M874535" s="472"/>
    </row>
    <row r="874607" spans="12:13" x14ac:dyDescent="0.25">
      <c r="L874607" s="472"/>
      <c r="M874607" s="472"/>
    </row>
    <row r="874608" spans="12:13" x14ac:dyDescent="0.25">
      <c r="L874608" s="472"/>
      <c r="M874608" s="472"/>
    </row>
    <row r="874609" spans="12:13" x14ac:dyDescent="0.25">
      <c r="L874609" s="472"/>
      <c r="M874609" s="472"/>
    </row>
    <row r="874681" spans="12:13" x14ac:dyDescent="0.25">
      <c r="L874681" s="472"/>
      <c r="M874681" s="472"/>
    </row>
    <row r="874682" spans="12:13" x14ac:dyDescent="0.25">
      <c r="L874682" s="472"/>
      <c r="M874682" s="472"/>
    </row>
    <row r="874683" spans="12:13" x14ac:dyDescent="0.25">
      <c r="L874683" s="472"/>
      <c r="M874683" s="472"/>
    </row>
    <row r="874755" spans="12:13" x14ac:dyDescent="0.25">
      <c r="L874755" s="472"/>
      <c r="M874755" s="472"/>
    </row>
    <row r="874756" spans="12:13" x14ac:dyDescent="0.25">
      <c r="L874756" s="472"/>
      <c r="M874756" s="472"/>
    </row>
    <row r="874757" spans="12:13" x14ac:dyDescent="0.25">
      <c r="L874757" s="472"/>
      <c r="M874757" s="472"/>
    </row>
    <row r="874829" spans="12:13" x14ac:dyDescent="0.25">
      <c r="L874829" s="472"/>
      <c r="M874829" s="472"/>
    </row>
    <row r="874830" spans="12:13" x14ac:dyDescent="0.25">
      <c r="L874830" s="472"/>
      <c r="M874830" s="472"/>
    </row>
    <row r="874831" spans="12:13" x14ac:dyDescent="0.25">
      <c r="L874831" s="472"/>
      <c r="M874831" s="472"/>
    </row>
    <row r="874903" spans="12:13" x14ac:dyDescent="0.25">
      <c r="L874903" s="472"/>
      <c r="M874903" s="472"/>
    </row>
    <row r="874904" spans="12:13" x14ac:dyDescent="0.25">
      <c r="L874904" s="472"/>
      <c r="M874904" s="472"/>
    </row>
    <row r="874905" spans="12:13" x14ac:dyDescent="0.25">
      <c r="L874905" s="472"/>
      <c r="M874905" s="472"/>
    </row>
    <row r="874977" spans="12:13" x14ac:dyDescent="0.25">
      <c r="L874977" s="472"/>
      <c r="M874977" s="472"/>
    </row>
    <row r="874978" spans="12:13" x14ac:dyDescent="0.25">
      <c r="L874978" s="472"/>
      <c r="M874978" s="472"/>
    </row>
    <row r="874979" spans="12:13" x14ac:dyDescent="0.25">
      <c r="L874979" s="472"/>
      <c r="M874979" s="472"/>
    </row>
    <row r="875051" spans="12:13" x14ac:dyDescent="0.25">
      <c r="L875051" s="472"/>
      <c r="M875051" s="472"/>
    </row>
    <row r="875052" spans="12:13" x14ac:dyDescent="0.25">
      <c r="L875052" s="472"/>
      <c r="M875052" s="472"/>
    </row>
    <row r="875053" spans="12:13" x14ac:dyDescent="0.25">
      <c r="L875053" s="472"/>
      <c r="M875053" s="472"/>
    </row>
    <row r="875125" spans="12:13" x14ac:dyDescent="0.25">
      <c r="L875125" s="472"/>
      <c r="M875125" s="472"/>
    </row>
    <row r="875126" spans="12:13" x14ac:dyDescent="0.25">
      <c r="L875126" s="472"/>
      <c r="M875126" s="472"/>
    </row>
    <row r="875127" spans="12:13" x14ac:dyDescent="0.25">
      <c r="L875127" s="472"/>
      <c r="M875127" s="472"/>
    </row>
    <row r="875199" spans="12:13" x14ac:dyDescent="0.25">
      <c r="L875199" s="472"/>
      <c r="M875199" s="472"/>
    </row>
    <row r="875200" spans="12:13" x14ac:dyDescent="0.25">
      <c r="L875200" s="472"/>
      <c r="M875200" s="472"/>
    </row>
    <row r="875201" spans="12:13" x14ac:dyDescent="0.25">
      <c r="L875201" s="472"/>
      <c r="M875201" s="472"/>
    </row>
    <row r="875273" spans="12:13" x14ac:dyDescent="0.25">
      <c r="L875273" s="472"/>
      <c r="M875273" s="472"/>
    </row>
    <row r="875274" spans="12:13" x14ac:dyDescent="0.25">
      <c r="L875274" s="472"/>
      <c r="M875274" s="472"/>
    </row>
    <row r="875275" spans="12:13" x14ac:dyDescent="0.25">
      <c r="L875275" s="472"/>
      <c r="M875275" s="472"/>
    </row>
    <row r="875347" spans="12:13" x14ac:dyDescent="0.25">
      <c r="L875347" s="472"/>
      <c r="M875347" s="472"/>
    </row>
    <row r="875348" spans="12:13" x14ac:dyDescent="0.25">
      <c r="L875348" s="472"/>
      <c r="M875348" s="472"/>
    </row>
    <row r="875349" spans="12:13" x14ac:dyDescent="0.25">
      <c r="L875349" s="472"/>
      <c r="M875349" s="472"/>
    </row>
    <row r="875421" spans="12:13" x14ac:dyDescent="0.25">
      <c r="L875421" s="472"/>
      <c r="M875421" s="472"/>
    </row>
    <row r="875422" spans="12:13" x14ac:dyDescent="0.25">
      <c r="L875422" s="472"/>
      <c r="M875422" s="472"/>
    </row>
    <row r="875423" spans="12:13" x14ac:dyDescent="0.25">
      <c r="L875423" s="472"/>
      <c r="M875423" s="472"/>
    </row>
    <row r="875495" spans="12:13" x14ac:dyDescent="0.25">
      <c r="L875495" s="472"/>
      <c r="M875495" s="472"/>
    </row>
    <row r="875496" spans="12:13" x14ac:dyDescent="0.25">
      <c r="L875496" s="472"/>
      <c r="M875496" s="472"/>
    </row>
    <row r="875497" spans="12:13" x14ac:dyDescent="0.25">
      <c r="L875497" s="472"/>
      <c r="M875497" s="472"/>
    </row>
    <row r="875569" spans="12:13" x14ac:dyDescent="0.25">
      <c r="L875569" s="472"/>
      <c r="M875569" s="472"/>
    </row>
    <row r="875570" spans="12:13" x14ac:dyDescent="0.25">
      <c r="L875570" s="472"/>
      <c r="M875570" s="472"/>
    </row>
    <row r="875571" spans="12:13" x14ac:dyDescent="0.25">
      <c r="L875571" s="472"/>
      <c r="M875571" s="472"/>
    </row>
    <row r="875643" spans="12:13" x14ac:dyDescent="0.25">
      <c r="L875643" s="472"/>
      <c r="M875643" s="472"/>
    </row>
    <row r="875644" spans="12:13" x14ac:dyDescent="0.25">
      <c r="L875644" s="472"/>
      <c r="M875644" s="472"/>
    </row>
    <row r="875645" spans="12:13" x14ac:dyDescent="0.25">
      <c r="L875645" s="472"/>
      <c r="M875645" s="472"/>
    </row>
    <row r="875717" spans="12:13" x14ac:dyDescent="0.25">
      <c r="L875717" s="472"/>
      <c r="M875717" s="472"/>
    </row>
    <row r="875718" spans="12:13" x14ac:dyDescent="0.25">
      <c r="L875718" s="472"/>
      <c r="M875718" s="472"/>
    </row>
    <row r="875719" spans="12:13" x14ac:dyDescent="0.25">
      <c r="L875719" s="472"/>
      <c r="M875719" s="472"/>
    </row>
    <row r="875791" spans="12:13" x14ac:dyDescent="0.25">
      <c r="L875791" s="472"/>
      <c r="M875791" s="472"/>
    </row>
    <row r="875792" spans="12:13" x14ac:dyDescent="0.25">
      <c r="L875792" s="472"/>
      <c r="M875792" s="472"/>
    </row>
    <row r="875793" spans="12:13" x14ac:dyDescent="0.25">
      <c r="L875793" s="472"/>
      <c r="M875793" s="472"/>
    </row>
    <row r="875865" spans="12:13" x14ac:dyDescent="0.25">
      <c r="L875865" s="472"/>
      <c r="M875865" s="472"/>
    </row>
    <row r="875866" spans="12:13" x14ac:dyDescent="0.25">
      <c r="L875866" s="472"/>
      <c r="M875866" s="472"/>
    </row>
    <row r="875867" spans="12:13" x14ac:dyDescent="0.25">
      <c r="L875867" s="472"/>
      <c r="M875867" s="472"/>
    </row>
    <row r="875939" spans="12:13" x14ac:dyDescent="0.25">
      <c r="L875939" s="472"/>
      <c r="M875939" s="472"/>
    </row>
    <row r="875940" spans="12:13" x14ac:dyDescent="0.25">
      <c r="L875940" s="472"/>
      <c r="M875940" s="472"/>
    </row>
    <row r="875941" spans="12:13" x14ac:dyDescent="0.25">
      <c r="L875941" s="472"/>
      <c r="M875941" s="472"/>
    </row>
    <row r="876013" spans="12:13" x14ac:dyDescent="0.25">
      <c r="L876013" s="472"/>
      <c r="M876013" s="472"/>
    </row>
    <row r="876014" spans="12:13" x14ac:dyDescent="0.25">
      <c r="L876014" s="472"/>
      <c r="M876014" s="472"/>
    </row>
    <row r="876015" spans="12:13" x14ac:dyDescent="0.25">
      <c r="L876015" s="472"/>
      <c r="M876015" s="472"/>
    </row>
    <row r="876087" spans="12:13" x14ac:dyDescent="0.25">
      <c r="L876087" s="472"/>
      <c r="M876087" s="472"/>
    </row>
    <row r="876088" spans="12:13" x14ac:dyDescent="0.25">
      <c r="L876088" s="472"/>
      <c r="M876088" s="472"/>
    </row>
    <row r="876089" spans="12:13" x14ac:dyDescent="0.25">
      <c r="L876089" s="472"/>
      <c r="M876089" s="472"/>
    </row>
    <row r="876161" spans="12:13" x14ac:dyDescent="0.25">
      <c r="L876161" s="472"/>
      <c r="M876161" s="472"/>
    </row>
    <row r="876162" spans="12:13" x14ac:dyDescent="0.25">
      <c r="L876162" s="472"/>
      <c r="M876162" s="472"/>
    </row>
    <row r="876163" spans="12:13" x14ac:dyDescent="0.25">
      <c r="L876163" s="472"/>
      <c r="M876163" s="472"/>
    </row>
    <row r="876235" spans="12:13" x14ac:dyDescent="0.25">
      <c r="L876235" s="472"/>
      <c r="M876235" s="472"/>
    </row>
    <row r="876236" spans="12:13" x14ac:dyDescent="0.25">
      <c r="L876236" s="472"/>
      <c r="M876236" s="472"/>
    </row>
    <row r="876237" spans="12:13" x14ac:dyDescent="0.25">
      <c r="L876237" s="472"/>
      <c r="M876237" s="472"/>
    </row>
    <row r="876309" spans="12:13" x14ac:dyDescent="0.25">
      <c r="L876309" s="472"/>
      <c r="M876309" s="472"/>
    </row>
    <row r="876310" spans="12:13" x14ac:dyDescent="0.25">
      <c r="L876310" s="472"/>
      <c r="M876310" s="472"/>
    </row>
    <row r="876311" spans="12:13" x14ac:dyDescent="0.25">
      <c r="L876311" s="472"/>
      <c r="M876311" s="472"/>
    </row>
    <row r="876383" spans="12:13" x14ac:dyDescent="0.25">
      <c r="L876383" s="472"/>
      <c r="M876383" s="472"/>
    </row>
    <row r="876384" spans="12:13" x14ac:dyDescent="0.25">
      <c r="L876384" s="472"/>
      <c r="M876384" s="472"/>
    </row>
    <row r="876385" spans="12:13" x14ac:dyDescent="0.25">
      <c r="L876385" s="472"/>
      <c r="M876385" s="472"/>
    </row>
    <row r="876457" spans="12:13" x14ac:dyDescent="0.25">
      <c r="L876457" s="472"/>
      <c r="M876457" s="472"/>
    </row>
    <row r="876458" spans="12:13" x14ac:dyDescent="0.25">
      <c r="L876458" s="472"/>
      <c r="M876458" s="472"/>
    </row>
    <row r="876459" spans="12:13" x14ac:dyDescent="0.25">
      <c r="L876459" s="472"/>
      <c r="M876459" s="472"/>
    </row>
    <row r="876531" spans="12:13" x14ac:dyDescent="0.25">
      <c r="L876531" s="472"/>
      <c r="M876531" s="472"/>
    </row>
    <row r="876532" spans="12:13" x14ac:dyDescent="0.25">
      <c r="L876532" s="472"/>
      <c r="M876532" s="472"/>
    </row>
    <row r="876533" spans="12:13" x14ac:dyDescent="0.25">
      <c r="L876533" s="472"/>
      <c r="M876533" s="472"/>
    </row>
    <row r="876605" spans="12:13" x14ac:dyDescent="0.25">
      <c r="L876605" s="472"/>
      <c r="M876605" s="472"/>
    </row>
    <row r="876606" spans="12:13" x14ac:dyDescent="0.25">
      <c r="L876606" s="472"/>
      <c r="M876606" s="472"/>
    </row>
    <row r="876607" spans="12:13" x14ac:dyDescent="0.25">
      <c r="L876607" s="472"/>
      <c r="M876607" s="472"/>
    </row>
    <row r="876679" spans="12:13" x14ac:dyDescent="0.25">
      <c r="L876679" s="472"/>
      <c r="M876679" s="472"/>
    </row>
    <row r="876680" spans="12:13" x14ac:dyDescent="0.25">
      <c r="L876680" s="472"/>
      <c r="M876680" s="472"/>
    </row>
    <row r="876681" spans="12:13" x14ac:dyDescent="0.25">
      <c r="L876681" s="472"/>
      <c r="M876681" s="472"/>
    </row>
    <row r="876753" spans="12:13" x14ac:dyDescent="0.25">
      <c r="L876753" s="472"/>
      <c r="M876753" s="472"/>
    </row>
    <row r="876754" spans="12:13" x14ac:dyDescent="0.25">
      <c r="L876754" s="472"/>
      <c r="M876754" s="472"/>
    </row>
    <row r="876755" spans="12:13" x14ac:dyDescent="0.25">
      <c r="L876755" s="472"/>
      <c r="M876755" s="472"/>
    </row>
    <row r="876827" spans="12:13" x14ac:dyDescent="0.25">
      <c r="L876827" s="472"/>
      <c r="M876827" s="472"/>
    </row>
    <row r="876828" spans="12:13" x14ac:dyDescent="0.25">
      <c r="L876828" s="472"/>
      <c r="M876828" s="472"/>
    </row>
    <row r="876829" spans="12:13" x14ac:dyDescent="0.25">
      <c r="L876829" s="472"/>
      <c r="M876829" s="472"/>
    </row>
    <row r="876901" spans="12:13" x14ac:dyDescent="0.25">
      <c r="L876901" s="472"/>
      <c r="M876901" s="472"/>
    </row>
    <row r="876902" spans="12:13" x14ac:dyDescent="0.25">
      <c r="L876902" s="472"/>
      <c r="M876902" s="472"/>
    </row>
    <row r="876903" spans="12:13" x14ac:dyDescent="0.25">
      <c r="L876903" s="472"/>
      <c r="M876903" s="472"/>
    </row>
    <row r="876975" spans="12:13" x14ac:dyDescent="0.25">
      <c r="L876975" s="472"/>
      <c r="M876975" s="472"/>
    </row>
    <row r="876976" spans="12:13" x14ac:dyDescent="0.25">
      <c r="L876976" s="472"/>
      <c r="M876976" s="472"/>
    </row>
    <row r="876977" spans="12:13" x14ac:dyDescent="0.25">
      <c r="L876977" s="472"/>
      <c r="M876977" s="472"/>
    </row>
    <row r="877049" spans="12:13" x14ac:dyDescent="0.25">
      <c r="L877049" s="472"/>
      <c r="M877049" s="472"/>
    </row>
    <row r="877050" spans="12:13" x14ac:dyDescent="0.25">
      <c r="L877050" s="472"/>
      <c r="M877050" s="472"/>
    </row>
    <row r="877051" spans="12:13" x14ac:dyDescent="0.25">
      <c r="L877051" s="472"/>
      <c r="M877051" s="472"/>
    </row>
    <row r="877123" spans="12:13" x14ac:dyDescent="0.25">
      <c r="L877123" s="472"/>
      <c r="M877123" s="472"/>
    </row>
    <row r="877124" spans="12:13" x14ac:dyDescent="0.25">
      <c r="L877124" s="472"/>
      <c r="M877124" s="472"/>
    </row>
    <row r="877125" spans="12:13" x14ac:dyDescent="0.25">
      <c r="L877125" s="472"/>
      <c r="M877125" s="472"/>
    </row>
    <row r="877197" spans="12:13" x14ac:dyDescent="0.25">
      <c r="L877197" s="472"/>
      <c r="M877197" s="472"/>
    </row>
    <row r="877198" spans="12:13" x14ac:dyDescent="0.25">
      <c r="L877198" s="472"/>
      <c r="M877198" s="472"/>
    </row>
    <row r="877199" spans="12:13" x14ac:dyDescent="0.25">
      <c r="L877199" s="472"/>
      <c r="M877199" s="472"/>
    </row>
    <row r="877271" spans="12:13" x14ac:dyDescent="0.25">
      <c r="L877271" s="472"/>
      <c r="M877271" s="472"/>
    </row>
    <row r="877272" spans="12:13" x14ac:dyDescent="0.25">
      <c r="L877272" s="472"/>
      <c r="M877272" s="472"/>
    </row>
    <row r="877273" spans="12:13" x14ac:dyDescent="0.25">
      <c r="L877273" s="472"/>
      <c r="M877273" s="472"/>
    </row>
    <row r="877345" spans="12:13" x14ac:dyDescent="0.25">
      <c r="L877345" s="472"/>
      <c r="M877345" s="472"/>
    </row>
    <row r="877346" spans="12:13" x14ac:dyDescent="0.25">
      <c r="L877346" s="472"/>
      <c r="M877346" s="472"/>
    </row>
    <row r="877347" spans="12:13" x14ac:dyDescent="0.25">
      <c r="L877347" s="472"/>
      <c r="M877347" s="472"/>
    </row>
    <row r="877419" spans="12:13" x14ac:dyDescent="0.25">
      <c r="L877419" s="472"/>
      <c r="M877419" s="472"/>
    </row>
    <row r="877420" spans="12:13" x14ac:dyDescent="0.25">
      <c r="L877420" s="472"/>
      <c r="M877420" s="472"/>
    </row>
    <row r="877421" spans="12:13" x14ac:dyDescent="0.25">
      <c r="L877421" s="472"/>
      <c r="M877421" s="472"/>
    </row>
    <row r="877493" spans="12:13" x14ac:dyDescent="0.25">
      <c r="L877493" s="472"/>
      <c r="M877493" s="472"/>
    </row>
    <row r="877494" spans="12:13" x14ac:dyDescent="0.25">
      <c r="L877494" s="472"/>
      <c r="M877494" s="472"/>
    </row>
    <row r="877495" spans="12:13" x14ac:dyDescent="0.25">
      <c r="L877495" s="472"/>
      <c r="M877495" s="472"/>
    </row>
    <row r="877567" spans="12:13" x14ac:dyDescent="0.25">
      <c r="L877567" s="472"/>
      <c r="M877567" s="472"/>
    </row>
    <row r="877568" spans="12:13" x14ac:dyDescent="0.25">
      <c r="L877568" s="472"/>
      <c r="M877568" s="472"/>
    </row>
    <row r="877569" spans="12:13" x14ac:dyDescent="0.25">
      <c r="L877569" s="472"/>
      <c r="M877569" s="472"/>
    </row>
    <row r="877641" spans="12:13" x14ac:dyDescent="0.25">
      <c r="L877641" s="472"/>
      <c r="M877641" s="472"/>
    </row>
    <row r="877642" spans="12:13" x14ac:dyDescent="0.25">
      <c r="L877642" s="472"/>
      <c r="M877642" s="472"/>
    </row>
    <row r="877643" spans="12:13" x14ac:dyDescent="0.25">
      <c r="L877643" s="472"/>
      <c r="M877643" s="472"/>
    </row>
    <row r="877715" spans="12:13" x14ac:dyDescent="0.25">
      <c r="L877715" s="472"/>
      <c r="M877715" s="472"/>
    </row>
    <row r="877716" spans="12:13" x14ac:dyDescent="0.25">
      <c r="L877716" s="472"/>
      <c r="M877716" s="472"/>
    </row>
    <row r="877717" spans="12:13" x14ac:dyDescent="0.25">
      <c r="L877717" s="472"/>
      <c r="M877717" s="472"/>
    </row>
    <row r="877789" spans="12:13" x14ac:dyDescent="0.25">
      <c r="L877789" s="472"/>
      <c r="M877789" s="472"/>
    </row>
    <row r="877790" spans="12:13" x14ac:dyDescent="0.25">
      <c r="L877790" s="472"/>
      <c r="M877790" s="472"/>
    </row>
    <row r="877791" spans="12:13" x14ac:dyDescent="0.25">
      <c r="L877791" s="472"/>
      <c r="M877791" s="472"/>
    </row>
    <row r="877863" spans="12:13" x14ac:dyDescent="0.25">
      <c r="L877863" s="472"/>
      <c r="M877863" s="472"/>
    </row>
    <row r="877864" spans="12:13" x14ac:dyDescent="0.25">
      <c r="L877864" s="472"/>
      <c r="M877864" s="472"/>
    </row>
    <row r="877865" spans="12:13" x14ac:dyDescent="0.25">
      <c r="L877865" s="472"/>
      <c r="M877865" s="472"/>
    </row>
    <row r="877937" spans="12:13" x14ac:dyDescent="0.25">
      <c r="L877937" s="472"/>
      <c r="M877937" s="472"/>
    </row>
    <row r="877938" spans="12:13" x14ac:dyDescent="0.25">
      <c r="L877938" s="472"/>
      <c r="M877938" s="472"/>
    </row>
    <row r="877939" spans="12:13" x14ac:dyDescent="0.25">
      <c r="L877939" s="472"/>
      <c r="M877939" s="472"/>
    </row>
    <row r="878011" spans="12:13" x14ac:dyDescent="0.25">
      <c r="L878011" s="472"/>
      <c r="M878011" s="472"/>
    </row>
    <row r="878012" spans="12:13" x14ac:dyDescent="0.25">
      <c r="L878012" s="472"/>
      <c r="M878012" s="472"/>
    </row>
    <row r="878013" spans="12:13" x14ac:dyDescent="0.25">
      <c r="L878013" s="472"/>
      <c r="M878013" s="472"/>
    </row>
    <row r="878085" spans="12:13" x14ac:dyDescent="0.25">
      <c r="L878085" s="472"/>
      <c r="M878085" s="472"/>
    </row>
    <row r="878086" spans="12:13" x14ac:dyDescent="0.25">
      <c r="L878086" s="472"/>
      <c r="M878086" s="472"/>
    </row>
    <row r="878087" spans="12:13" x14ac:dyDescent="0.25">
      <c r="L878087" s="472"/>
      <c r="M878087" s="472"/>
    </row>
    <row r="878159" spans="12:13" x14ac:dyDescent="0.25">
      <c r="L878159" s="472"/>
      <c r="M878159" s="472"/>
    </row>
    <row r="878160" spans="12:13" x14ac:dyDescent="0.25">
      <c r="L878160" s="472"/>
      <c r="M878160" s="472"/>
    </row>
    <row r="878161" spans="12:13" x14ac:dyDescent="0.25">
      <c r="L878161" s="472"/>
      <c r="M878161" s="472"/>
    </row>
    <row r="878233" spans="12:13" x14ac:dyDescent="0.25">
      <c r="L878233" s="472"/>
      <c r="M878233" s="472"/>
    </row>
    <row r="878234" spans="12:13" x14ac:dyDescent="0.25">
      <c r="L878234" s="472"/>
      <c r="M878234" s="472"/>
    </row>
    <row r="878235" spans="12:13" x14ac:dyDescent="0.25">
      <c r="L878235" s="472"/>
      <c r="M878235" s="472"/>
    </row>
    <row r="878307" spans="12:13" x14ac:dyDescent="0.25">
      <c r="L878307" s="472"/>
      <c r="M878307" s="472"/>
    </row>
    <row r="878308" spans="12:13" x14ac:dyDescent="0.25">
      <c r="L878308" s="472"/>
      <c r="M878308" s="472"/>
    </row>
    <row r="878309" spans="12:13" x14ac:dyDescent="0.25">
      <c r="L878309" s="472"/>
      <c r="M878309" s="472"/>
    </row>
    <row r="878381" spans="12:13" x14ac:dyDescent="0.25">
      <c r="L878381" s="472"/>
      <c r="M878381" s="472"/>
    </row>
    <row r="878382" spans="12:13" x14ac:dyDescent="0.25">
      <c r="L878382" s="472"/>
      <c r="M878382" s="472"/>
    </row>
    <row r="878383" spans="12:13" x14ac:dyDescent="0.25">
      <c r="L878383" s="472"/>
      <c r="M878383" s="472"/>
    </row>
    <row r="878455" spans="12:13" x14ac:dyDescent="0.25">
      <c r="L878455" s="472"/>
      <c r="M878455" s="472"/>
    </row>
    <row r="878456" spans="12:13" x14ac:dyDescent="0.25">
      <c r="L878456" s="472"/>
      <c r="M878456" s="472"/>
    </row>
    <row r="878457" spans="12:13" x14ac:dyDescent="0.25">
      <c r="L878457" s="472"/>
      <c r="M878457" s="472"/>
    </row>
    <row r="878529" spans="12:13" x14ac:dyDescent="0.25">
      <c r="L878529" s="472"/>
      <c r="M878529" s="472"/>
    </row>
    <row r="878530" spans="12:13" x14ac:dyDescent="0.25">
      <c r="L878530" s="472"/>
      <c r="M878530" s="472"/>
    </row>
    <row r="878531" spans="12:13" x14ac:dyDescent="0.25">
      <c r="L878531" s="472"/>
      <c r="M878531" s="472"/>
    </row>
    <row r="878603" spans="12:13" x14ac:dyDescent="0.25">
      <c r="L878603" s="472"/>
      <c r="M878603" s="472"/>
    </row>
    <row r="878604" spans="12:13" x14ac:dyDescent="0.25">
      <c r="L878604" s="472"/>
      <c r="M878604" s="472"/>
    </row>
    <row r="878605" spans="12:13" x14ac:dyDescent="0.25">
      <c r="L878605" s="472"/>
      <c r="M878605" s="472"/>
    </row>
    <row r="878677" spans="12:13" x14ac:dyDescent="0.25">
      <c r="L878677" s="472"/>
      <c r="M878677" s="472"/>
    </row>
    <row r="878678" spans="12:13" x14ac:dyDescent="0.25">
      <c r="L878678" s="472"/>
      <c r="M878678" s="472"/>
    </row>
    <row r="878679" spans="12:13" x14ac:dyDescent="0.25">
      <c r="L878679" s="472"/>
      <c r="M878679" s="472"/>
    </row>
    <row r="878751" spans="12:13" x14ac:dyDescent="0.25">
      <c r="L878751" s="472"/>
      <c r="M878751" s="472"/>
    </row>
    <row r="878752" spans="12:13" x14ac:dyDescent="0.25">
      <c r="L878752" s="472"/>
      <c r="M878752" s="472"/>
    </row>
    <row r="878753" spans="12:13" x14ac:dyDescent="0.25">
      <c r="L878753" s="472"/>
      <c r="M878753" s="472"/>
    </row>
    <row r="878825" spans="12:13" x14ac:dyDescent="0.25">
      <c r="L878825" s="472"/>
      <c r="M878825" s="472"/>
    </row>
    <row r="878826" spans="12:13" x14ac:dyDescent="0.25">
      <c r="L878826" s="472"/>
      <c r="M878826" s="472"/>
    </row>
    <row r="878827" spans="12:13" x14ac:dyDescent="0.25">
      <c r="L878827" s="472"/>
      <c r="M878827" s="472"/>
    </row>
    <row r="878899" spans="12:13" x14ac:dyDescent="0.25">
      <c r="L878899" s="472"/>
      <c r="M878899" s="472"/>
    </row>
    <row r="878900" spans="12:13" x14ac:dyDescent="0.25">
      <c r="L878900" s="472"/>
      <c r="M878900" s="472"/>
    </row>
    <row r="878901" spans="12:13" x14ac:dyDescent="0.25">
      <c r="L878901" s="472"/>
      <c r="M878901" s="472"/>
    </row>
    <row r="878973" spans="12:13" x14ac:dyDescent="0.25">
      <c r="L878973" s="472"/>
      <c r="M878973" s="472"/>
    </row>
    <row r="878974" spans="12:13" x14ac:dyDescent="0.25">
      <c r="L878974" s="472"/>
      <c r="M878974" s="472"/>
    </row>
    <row r="878975" spans="12:13" x14ac:dyDescent="0.25">
      <c r="L878975" s="472"/>
      <c r="M878975" s="472"/>
    </row>
    <row r="879047" spans="12:13" x14ac:dyDescent="0.25">
      <c r="L879047" s="472"/>
      <c r="M879047" s="472"/>
    </row>
    <row r="879048" spans="12:13" x14ac:dyDescent="0.25">
      <c r="L879048" s="472"/>
      <c r="M879048" s="472"/>
    </row>
    <row r="879049" spans="12:13" x14ac:dyDescent="0.25">
      <c r="L879049" s="472"/>
      <c r="M879049" s="472"/>
    </row>
    <row r="879121" spans="12:13" x14ac:dyDescent="0.25">
      <c r="L879121" s="472"/>
      <c r="M879121" s="472"/>
    </row>
    <row r="879122" spans="12:13" x14ac:dyDescent="0.25">
      <c r="L879122" s="472"/>
      <c r="M879122" s="472"/>
    </row>
    <row r="879123" spans="12:13" x14ac:dyDescent="0.25">
      <c r="L879123" s="472"/>
      <c r="M879123" s="472"/>
    </row>
    <row r="879195" spans="12:13" x14ac:dyDescent="0.25">
      <c r="L879195" s="472"/>
      <c r="M879195" s="472"/>
    </row>
    <row r="879196" spans="12:13" x14ac:dyDescent="0.25">
      <c r="L879196" s="472"/>
      <c r="M879196" s="472"/>
    </row>
    <row r="879197" spans="12:13" x14ac:dyDescent="0.25">
      <c r="L879197" s="472"/>
      <c r="M879197" s="472"/>
    </row>
    <row r="879269" spans="12:13" x14ac:dyDescent="0.25">
      <c r="L879269" s="472"/>
      <c r="M879269" s="472"/>
    </row>
    <row r="879270" spans="12:13" x14ac:dyDescent="0.25">
      <c r="L879270" s="472"/>
      <c r="M879270" s="472"/>
    </row>
    <row r="879271" spans="12:13" x14ac:dyDescent="0.25">
      <c r="L879271" s="472"/>
      <c r="M879271" s="472"/>
    </row>
    <row r="879343" spans="12:13" x14ac:dyDescent="0.25">
      <c r="L879343" s="472"/>
      <c r="M879343" s="472"/>
    </row>
    <row r="879344" spans="12:13" x14ac:dyDescent="0.25">
      <c r="L879344" s="472"/>
      <c r="M879344" s="472"/>
    </row>
    <row r="879345" spans="12:13" x14ac:dyDescent="0.25">
      <c r="L879345" s="472"/>
      <c r="M879345" s="472"/>
    </row>
    <row r="879417" spans="12:13" x14ac:dyDescent="0.25">
      <c r="L879417" s="472"/>
      <c r="M879417" s="472"/>
    </row>
    <row r="879418" spans="12:13" x14ac:dyDescent="0.25">
      <c r="L879418" s="472"/>
      <c r="M879418" s="472"/>
    </row>
    <row r="879419" spans="12:13" x14ac:dyDescent="0.25">
      <c r="L879419" s="472"/>
      <c r="M879419" s="472"/>
    </row>
    <row r="879491" spans="12:13" x14ac:dyDescent="0.25">
      <c r="L879491" s="472"/>
      <c r="M879491" s="472"/>
    </row>
    <row r="879492" spans="12:13" x14ac:dyDescent="0.25">
      <c r="L879492" s="472"/>
      <c r="M879492" s="472"/>
    </row>
    <row r="879493" spans="12:13" x14ac:dyDescent="0.25">
      <c r="L879493" s="472"/>
      <c r="M879493" s="472"/>
    </row>
    <row r="879565" spans="12:13" x14ac:dyDescent="0.25">
      <c r="L879565" s="472"/>
      <c r="M879565" s="472"/>
    </row>
    <row r="879566" spans="12:13" x14ac:dyDescent="0.25">
      <c r="L879566" s="472"/>
      <c r="M879566" s="472"/>
    </row>
    <row r="879567" spans="12:13" x14ac:dyDescent="0.25">
      <c r="L879567" s="472"/>
      <c r="M879567" s="472"/>
    </row>
    <row r="879639" spans="12:13" x14ac:dyDescent="0.25">
      <c r="L879639" s="472"/>
      <c r="M879639" s="472"/>
    </row>
    <row r="879640" spans="12:13" x14ac:dyDescent="0.25">
      <c r="L879640" s="472"/>
      <c r="M879640" s="472"/>
    </row>
    <row r="879641" spans="12:13" x14ac:dyDescent="0.25">
      <c r="L879641" s="472"/>
      <c r="M879641" s="472"/>
    </row>
    <row r="879713" spans="12:13" x14ac:dyDescent="0.25">
      <c r="L879713" s="472"/>
      <c r="M879713" s="472"/>
    </row>
    <row r="879714" spans="12:13" x14ac:dyDescent="0.25">
      <c r="L879714" s="472"/>
      <c r="M879714" s="472"/>
    </row>
    <row r="879715" spans="12:13" x14ac:dyDescent="0.25">
      <c r="L879715" s="472"/>
      <c r="M879715" s="472"/>
    </row>
    <row r="879787" spans="12:13" x14ac:dyDescent="0.25">
      <c r="L879787" s="472"/>
      <c r="M879787" s="472"/>
    </row>
    <row r="879788" spans="12:13" x14ac:dyDescent="0.25">
      <c r="L879788" s="472"/>
      <c r="M879788" s="472"/>
    </row>
    <row r="879789" spans="12:13" x14ac:dyDescent="0.25">
      <c r="L879789" s="472"/>
      <c r="M879789" s="472"/>
    </row>
    <row r="879861" spans="12:13" x14ac:dyDescent="0.25">
      <c r="L879861" s="472"/>
      <c r="M879861" s="472"/>
    </row>
    <row r="879862" spans="12:13" x14ac:dyDescent="0.25">
      <c r="L879862" s="472"/>
      <c r="M879862" s="472"/>
    </row>
    <row r="879863" spans="12:13" x14ac:dyDescent="0.25">
      <c r="L879863" s="472"/>
      <c r="M879863" s="472"/>
    </row>
    <row r="879935" spans="12:13" x14ac:dyDescent="0.25">
      <c r="L879935" s="472"/>
      <c r="M879935" s="472"/>
    </row>
    <row r="879936" spans="12:13" x14ac:dyDescent="0.25">
      <c r="L879936" s="472"/>
      <c r="M879936" s="472"/>
    </row>
    <row r="879937" spans="12:13" x14ac:dyDescent="0.25">
      <c r="L879937" s="472"/>
      <c r="M879937" s="472"/>
    </row>
    <row r="880009" spans="12:13" x14ac:dyDescent="0.25">
      <c r="L880009" s="472"/>
      <c r="M880009" s="472"/>
    </row>
    <row r="880010" spans="12:13" x14ac:dyDescent="0.25">
      <c r="L880010" s="472"/>
      <c r="M880010" s="472"/>
    </row>
    <row r="880011" spans="12:13" x14ac:dyDescent="0.25">
      <c r="L880011" s="472"/>
      <c r="M880011" s="472"/>
    </row>
    <row r="880083" spans="12:13" x14ac:dyDescent="0.25">
      <c r="L880083" s="472"/>
      <c r="M880083" s="472"/>
    </row>
    <row r="880084" spans="12:13" x14ac:dyDescent="0.25">
      <c r="L880084" s="472"/>
      <c r="M880084" s="472"/>
    </row>
    <row r="880085" spans="12:13" x14ac:dyDescent="0.25">
      <c r="L880085" s="472"/>
      <c r="M880085" s="472"/>
    </row>
    <row r="880157" spans="12:13" x14ac:dyDescent="0.25">
      <c r="L880157" s="472"/>
      <c r="M880157" s="472"/>
    </row>
    <row r="880158" spans="12:13" x14ac:dyDescent="0.25">
      <c r="L880158" s="472"/>
      <c r="M880158" s="472"/>
    </row>
    <row r="880159" spans="12:13" x14ac:dyDescent="0.25">
      <c r="L880159" s="472"/>
      <c r="M880159" s="472"/>
    </row>
    <row r="880231" spans="12:13" x14ac:dyDescent="0.25">
      <c r="L880231" s="472"/>
      <c r="M880231" s="472"/>
    </row>
    <row r="880232" spans="12:13" x14ac:dyDescent="0.25">
      <c r="L880232" s="472"/>
      <c r="M880232" s="472"/>
    </row>
    <row r="880233" spans="12:13" x14ac:dyDescent="0.25">
      <c r="L880233" s="472"/>
      <c r="M880233" s="472"/>
    </row>
    <row r="880305" spans="12:13" x14ac:dyDescent="0.25">
      <c r="L880305" s="472"/>
      <c r="M880305" s="472"/>
    </row>
    <row r="880306" spans="12:13" x14ac:dyDescent="0.25">
      <c r="L880306" s="472"/>
      <c r="M880306" s="472"/>
    </row>
    <row r="880307" spans="12:13" x14ac:dyDescent="0.25">
      <c r="L880307" s="472"/>
      <c r="M880307" s="472"/>
    </row>
    <row r="880379" spans="12:13" x14ac:dyDescent="0.25">
      <c r="L880379" s="472"/>
      <c r="M880379" s="472"/>
    </row>
    <row r="880380" spans="12:13" x14ac:dyDescent="0.25">
      <c r="L880380" s="472"/>
      <c r="M880380" s="472"/>
    </row>
    <row r="880381" spans="12:13" x14ac:dyDescent="0.25">
      <c r="L880381" s="472"/>
      <c r="M880381" s="472"/>
    </row>
    <row r="880453" spans="12:13" x14ac:dyDescent="0.25">
      <c r="L880453" s="472"/>
      <c r="M880453" s="472"/>
    </row>
    <row r="880454" spans="12:13" x14ac:dyDescent="0.25">
      <c r="L880454" s="472"/>
      <c r="M880454" s="472"/>
    </row>
    <row r="880455" spans="12:13" x14ac:dyDescent="0.25">
      <c r="L880455" s="472"/>
      <c r="M880455" s="472"/>
    </row>
    <row r="880527" spans="12:13" x14ac:dyDescent="0.25">
      <c r="L880527" s="472"/>
      <c r="M880527" s="472"/>
    </row>
    <row r="880528" spans="12:13" x14ac:dyDescent="0.25">
      <c r="L880528" s="472"/>
      <c r="M880528" s="472"/>
    </row>
    <row r="880529" spans="12:13" x14ac:dyDescent="0.25">
      <c r="L880529" s="472"/>
      <c r="M880529" s="472"/>
    </row>
    <row r="880601" spans="12:13" x14ac:dyDescent="0.25">
      <c r="L880601" s="472"/>
      <c r="M880601" s="472"/>
    </row>
    <row r="880602" spans="12:13" x14ac:dyDescent="0.25">
      <c r="L880602" s="472"/>
      <c r="M880602" s="472"/>
    </row>
    <row r="880603" spans="12:13" x14ac:dyDescent="0.25">
      <c r="L880603" s="472"/>
      <c r="M880603" s="472"/>
    </row>
    <row r="880675" spans="12:13" x14ac:dyDescent="0.25">
      <c r="L880675" s="472"/>
      <c r="M880675" s="472"/>
    </row>
    <row r="880676" spans="12:13" x14ac:dyDescent="0.25">
      <c r="L880676" s="472"/>
      <c r="M880676" s="472"/>
    </row>
    <row r="880677" spans="12:13" x14ac:dyDescent="0.25">
      <c r="L880677" s="472"/>
      <c r="M880677" s="472"/>
    </row>
    <row r="880749" spans="12:13" x14ac:dyDescent="0.25">
      <c r="L880749" s="472"/>
      <c r="M880749" s="472"/>
    </row>
    <row r="880750" spans="12:13" x14ac:dyDescent="0.25">
      <c r="L880750" s="472"/>
      <c r="M880750" s="472"/>
    </row>
    <row r="880751" spans="12:13" x14ac:dyDescent="0.25">
      <c r="L880751" s="472"/>
      <c r="M880751" s="472"/>
    </row>
    <row r="880823" spans="12:13" x14ac:dyDescent="0.25">
      <c r="L880823" s="472"/>
      <c r="M880823" s="472"/>
    </row>
    <row r="880824" spans="12:13" x14ac:dyDescent="0.25">
      <c r="L880824" s="472"/>
      <c r="M880824" s="472"/>
    </row>
    <row r="880825" spans="12:13" x14ac:dyDescent="0.25">
      <c r="L880825" s="472"/>
      <c r="M880825" s="472"/>
    </row>
    <row r="880897" spans="12:13" x14ac:dyDescent="0.25">
      <c r="L880897" s="472"/>
      <c r="M880897" s="472"/>
    </row>
    <row r="880898" spans="12:13" x14ac:dyDescent="0.25">
      <c r="L880898" s="472"/>
      <c r="M880898" s="472"/>
    </row>
    <row r="880899" spans="12:13" x14ac:dyDescent="0.25">
      <c r="L880899" s="472"/>
      <c r="M880899" s="472"/>
    </row>
    <row r="880971" spans="12:13" x14ac:dyDescent="0.25">
      <c r="L880971" s="472"/>
      <c r="M880971" s="472"/>
    </row>
    <row r="880972" spans="12:13" x14ac:dyDescent="0.25">
      <c r="L880972" s="472"/>
      <c r="M880972" s="472"/>
    </row>
    <row r="880973" spans="12:13" x14ac:dyDescent="0.25">
      <c r="L880973" s="472"/>
      <c r="M880973" s="472"/>
    </row>
    <row r="881045" spans="12:13" x14ac:dyDescent="0.25">
      <c r="L881045" s="472"/>
      <c r="M881045" s="472"/>
    </row>
    <row r="881046" spans="12:13" x14ac:dyDescent="0.25">
      <c r="L881046" s="472"/>
      <c r="M881046" s="472"/>
    </row>
    <row r="881047" spans="12:13" x14ac:dyDescent="0.25">
      <c r="L881047" s="472"/>
      <c r="M881047" s="472"/>
    </row>
    <row r="881119" spans="12:13" x14ac:dyDescent="0.25">
      <c r="L881119" s="472"/>
      <c r="M881119" s="472"/>
    </row>
    <row r="881120" spans="12:13" x14ac:dyDescent="0.25">
      <c r="L881120" s="472"/>
      <c r="M881120" s="472"/>
    </row>
    <row r="881121" spans="12:13" x14ac:dyDescent="0.25">
      <c r="L881121" s="472"/>
      <c r="M881121" s="472"/>
    </row>
    <row r="881193" spans="12:13" x14ac:dyDescent="0.25">
      <c r="L881193" s="472"/>
      <c r="M881193" s="472"/>
    </row>
    <row r="881194" spans="12:13" x14ac:dyDescent="0.25">
      <c r="L881194" s="472"/>
      <c r="M881194" s="472"/>
    </row>
    <row r="881195" spans="12:13" x14ac:dyDescent="0.25">
      <c r="L881195" s="472"/>
      <c r="M881195" s="472"/>
    </row>
    <row r="881267" spans="12:13" x14ac:dyDescent="0.25">
      <c r="L881267" s="472"/>
      <c r="M881267" s="472"/>
    </row>
    <row r="881268" spans="12:13" x14ac:dyDescent="0.25">
      <c r="L881268" s="472"/>
      <c r="M881268" s="472"/>
    </row>
    <row r="881269" spans="12:13" x14ac:dyDescent="0.25">
      <c r="L881269" s="472"/>
      <c r="M881269" s="472"/>
    </row>
    <row r="881341" spans="12:13" x14ac:dyDescent="0.25">
      <c r="L881341" s="472"/>
      <c r="M881341" s="472"/>
    </row>
    <row r="881342" spans="12:13" x14ac:dyDescent="0.25">
      <c r="L881342" s="472"/>
      <c r="M881342" s="472"/>
    </row>
    <row r="881343" spans="12:13" x14ac:dyDescent="0.25">
      <c r="L881343" s="472"/>
      <c r="M881343" s="472"/>
    </row>
    <row r="881415" spans="12:13" x14ac:dyDescent="0.25">
      <c r="L881415" s="472"/>
      <c r="M881415" s="472"/>
    </row>
    <row r="881416" spans="12:13" x14ac:dyDescent="0.25">
      <c r="L881416" s="472"/>
      <c r="M881416" s="472"/>
    </row>
    <row r="881417" spans="12:13" x14ac:dyDescent="0.25">
      <c r="L881417" s="472"/>
      <c r="M881417" s="472"/>
    </row>
    <row r="881489" spans="12:13" x14ac:dyDescent="0.25">
      <c r="L881489" s="472"/>
      <c r="M881489" s="472"/>
    </row>
    <row r="881490" spans="12:13" x14ac:dyDescent="0.25">
      <c r="L881490" s="472"/>
      <c r="M881490" s="472"/>
    </row>
    <row r="881491" spans="12:13" x14ac:dyDescent="0.25">
      <c r="L881491" s="472"/>
      <c r="M881491" s="472"/>
    </row>
    <row r="881563" spans="12:13" x14ac:dyDescent="0.25">
      <c r="L881563" s="472"/>
      <c r="M881563" s="472"/>
    </row>
    <row r="881564" spans="12:13" x14ac:dyDescent="0.25">
      <c r="L881564" s="472"/>
      <c r="M881564" s="472"/>
    </row>
    <row r="881565" spans="12:13" x14ac:dyDescent="0.25">
      <c r="L881565" s="472"/>
      <c r="M881565" s="472"/>
    </row>
    <row r="881637" spans="12:13" x14ac:dyDescent="0.25">
      <c r="L881637" s="472"/>
      <c r="M881637" s="472"/>
    </row>
    <row r="881638" spans="12:13" x14ac:dyDescent="0.25">
      <c r="L881638" s="472"/>
      <c r="M881638" s="472"/>
    </row>
    <row r="881639" spans="12:13" x14ac:dyDescent="0.25">
      <c r="L881639" s="472"/>
      <c r="M881639" s="472"/>
    </row>
    <row r="881711" spans="12:13" x14ac:dyDescent="0.25">
      <c r="L881711" s="472"/>
      <c r="M881711" s="472"/>
    </row>
    <row r="881712" spans="12:13" x14ac:dyDescent="0.25">
      <c r="L881712" s="472"/>
      <c r="M881712" s="472"/>
    </row>
    <row r="881713" spans="12:13" x14ac:dyDescent="0.25">
      <c r="L881713" s="472"/>
      <c r="M881713" s="472"/>
    </row>
    <row r="881785" spans="12:13" x14ac:dyDescent="0.25">
      <c r="L881785" s="472"/>
      <c r="M881785" s="472"/>
    </row>
    <row r="881786" spans="12:13" x14ac:dyDescent="0.25">
      <c r="L881786" s="472"/>
      <c r="M881786" s="472"/>
    </row>
    <row r="881787" spans="12:13" x14ac:dyDescent="0.25">
      <c r="L881787" s="472"/>
      <c r="M881787" s="472"/>
    </row>
    <row r="881859" spans="12:13" x14ac:dyDescent="0.25">
      <c r="L881859" s="472"/>
      <c r="M881859" s="472"/>
    </row>
    <row r="881860" spans="12:13" x14ac:dyDescent="0.25">
      <c r="L881860" s="472"/>
      <c r="M881860" s="472"/>
    </row>
    <row r="881861" spans="12:13" x14ac:dyDescent="0.25">
      <c r="L881861" s="472"/>
      <c r="M881861" s="472"/>
    </row>
    <row r="881933" spans="12:13" x14ac:dyDescent="0.25">
      <c r="L881933" s="472"/>
      <c r="M881933" s="472"/>
    </row>
    <row r="881934" spans="12:13" x14ac:dyDescent="0.25">
      <c r="L881934" s="472"/>
      <c r="M881934" s="472"/>
    </row>
    <row r="881935" spans="12:13" x14ac:dyDescent="0.25">
      <c r="L881935" s="472"/>
      <c r="M881935" s="472"/>
    </row>
    <row r="882007" spans="12:13" x14ac:dyDescent="0.25">
      <c r="L882007" s="472"/>
      <c r="M882007" s="472"/>
    </row>
    <row r="882008" spans="12:13" x14ac:dyDescent="0.25">
      <c r="L882008" s="472"/>
      <c r="M882008" s="472"/>
    </row>
    <row r="882009" spans="12:13" x14ac:dyDescent="0.25">
      <c r="L882009" s="472"/>
      <c r="M882009" s="472"/>
    </row>
    <row r="882081" spans="12:13" x14ac:dyDescent="0.25">
      <c r="L882081" s="472"/>
      <c r="M882081" s="472"/>
    </row>
    <row r="882082" spans="12:13" x14ac:dyDescent="0.25">
      <c r="L882082" s="472"/>
      <c r="M882082" s="472"/>
    </row>
    <row r="882083" spans="12:13" x14ac:dyDescent="0.25">
      <c r="L882083" s="472"/>
      <c r="M882083" s="472"/>
    </row>
    <row r="882155" spans="12:13" x14ac:dyDescent="0.25">
      <c r="L882155" s="472"/>
      <c r="M882155" s="472"/>
    </row>
    <row r="882156" spans="12:13" x14ac:dyDescent="0.25">
      <c r="L882156" s="472"/>
      <c r="M882156" s="472"/>
    </row>
    <row r="882157" spans="12:13" x14ac:dyDescent="0.25">
      <c r="L882157" s="472"/>
      <c r="M882157" s="472"/>
    </row>
    <row r="882229" spans="12:13" x14ac:dyDescent="0.25">
      <c r="L882229" s="472"/>
      <c r="M882229" s="472"/>
    </row>
    <row r="882230" spans="12:13" x14ac:dyDescent="0.25">
      <c r="L882230" s="472"/>
      <c r="M882230" s="472"/>
    </row>
    <row r="882231" spans="12:13" x14ac:dyDescent="0.25">
      <c r="L882231" s="472"/>
      <c r="M882231" s="472"/>
    </row>
    <row r="882303" spans="12:13" x14ac:dyDescent="0.25">
      <c r="L882303" s="472"/>
      <c r="M882303" s="472"/>
    </row>
    <row r="882304" spans="12:13" x14ac:dyDescent="0.25">
      <c r="L882304" s="472"/>
      <c r="M882304" s="472"/>
    </row>
    <row r="882305" spans="12:13" x14ac:dyDescent="0.25">
      <c r="L882305" s="472"/>
      <c r="M882305" s="472"/>
    </row>
    <row r="882377" spans="12:13" x14ac:dyDescent="0.25">
      <c r="L882377" s="472"/>
      <c r="M882377" s="472"/>
    </row>
    <row r="882378" spans="12:13" x14ac:dyDescent="0.25">
      <c r="L882378" s="472"/>
      <c r="M882378" s="472"/>
    </row>
    <row r="882379" spans="12:13" x14ac:dyDescent="0.25">
      <c r="L882379" s="472"/>
      <c r="M882379" s="472"/>
    </row>
    <row r="882451" spans="12:13" x14ac:dyDescent="0.25">
      <c r="L882451" s="472"/>
      <c r="M882451" s="472"/>
    </row>
    <row r="882452" spans="12:13" x14ac:dyDescent="0.25">
      <c r="L882452" s="472"/>
      <c r="M882452" s="472"/>
    </row>
    <row r="882453" spans="12:13" x14ac:dyDescent="0.25">
      <c r="L882453" s="472"/>
      <c r="M882453" s="472"/>
    </row>
    <row r="882525" spans="12:13" x14ac:dyDescent="0.25">
      <c r="L882525" s="472"/>
      <c r="M882525" s="472"/>
    </row>
    <row r="882526" spans="12:13" x14ac:dyDescent="0.25">
      <c r="L882526" s="472"/>
      <c r="M882526" s="472"/>
    </row>
    <row r="882527" spans="12:13" x14ac:dyDescent="0.25">
      <c r="L882527" s="472"/>
      <c r="M882527" s="472"/>
    </row>
    <row r="882599" spans="12:13" x14ac:dyDescent="0.25">
      <c r="L882599" s="472"/>
      <c r="M882599" s="472"/>
    </row>
    <row r="882600" spans="12:13" x14ac:dyDescent="0.25">
      <c r="L882600" s="472"/>
      <c r="M882600" s="472"/>
    </row>
    <row r="882601" spans="12:13" x14ac:dyDescent="0.25">
      <c r="L882601" s="472"/>
      <c r="M882601" s="472"/>
    </row>
    <row r="882673" spans="12:13" x14ac:dyDescent="0.25">
      <c r="L882673" s="472"/>
      <c r="M882673" s="472"/>
    </row>
    <row r="882674" spans="12:13" x14ac:dyDescent="0.25">
      <c r="L882674" s="472"/>
      <c r="M882674" s="472"/>
    </row>
    <row r="882675" spans="12:13" x14ac:dyDescent="0.25">
      <c r="L882675" s="472"/>
      <c r="M882675" s="472"/>
    </row>
    <row r="882747" spans="12:13" x14ac:dyDescent="0.25">
      <c r="L882747" s="472"/>
      <c r="M882747" s="472"/>
    </row>
    <row r="882748" spans="12:13" x14ac:dyDescent="0.25">
      <c r="L882748" s="472"/>
      <c r="M882748" s="472"/>
    </row>
    <row r="882749" spans="12:13" x14ac:dyDescent="0.25">
      <c r="L882749" s="472"/>
      <c r="M882749" s="472"/>
    </row>
    <row r="882821" spans="12:13" x14ac:dyDescent="0.25">
      <c r="L882821" s="472"/>
      <c r="M882821" s="472"/>
    </row>
    <row r="882822" spans="12:13" x14ac:dyDescent="0.25">
      <c r="L882822" s="472"/>
      <c r="M882822" s="472"/>
    </row>
    <row r="882823" spans="12:13" x14ac:dyDescent="0.25">
      <c r="L882823" s="472"/>
      <c r="M882823" s="472"/>
    </row>
    <row r="882895" spans="12:13" x14ac:dyDescent="0.25">
      <c r="L882895" s="472"/>
      <c r="M882895" s="472"/>
    </row>
    <row r="882896" spans="12:13" x14ac:dyDescent="0.25">
      <c r="L882896" s="472"/>
      <c r="M882896" s="472"/>
    </row>
    <row r="882897" spans="12:13" x14ac:dyDescent="0.25">
      <c r="L882897" s="472"/>
      <c r="M882897" s="472"/>
    </row>
    <row r="882969" spans="12:13" x14ac:dyDescent="0.25">
      <c r="L882969" s="472"/>
      <c r="M882969" s="472"/>
    </row>
    <row r="882970" spans="12:13" x14ac:dyDescent="0.25">
      <c r="L882970" s="472"/>
      <c r="M882970" s="472"/>
    </row>
    <row r="882971" spans="12:13" x14ac:dyDescent="0.25">
      <c r="L882971" s="472"/>
      <c r="M882971" s="472"/>
    </row>
    <row r="883043" spans="12:13" x14ac:dyDescent="0.25">
      <c r="L883043" s="472"/>
      <c r="M883043" s="472"/>
    </row>
    <row r="883044" spans="12:13" x14ac:dyDescent="0.25">
      <c r="L883044" s="472"/>
      <c r="M883044" s="472"/>
    </row>
    <row r="883045" spans="12:13" x14ac:dyDescent="0.25">
      <c r="L883045" s="472"/>
      <c r="M883045" s="472"/>
    </row>
    <row r="883117" spans="12:13" x14ac:dyDescent="0.25">
      <c r="L883117" s="472"/>
      <c r="M883117" s="472"/>
    </row>
    <row r="883118" spans="12:13" x14ac:dyDescent="0.25">
      <c r="L883118" s="472"/>
      <c r="M883118" s="472"/>
    </row>
    <row r="883119" spans="12:13" x14ac:dyDescent="0.25">
      <c r="L883119" s="472"/>
      <c r="M883119" s="472"/>
    </row>
    <row r="883191" spans="12:13" x14ac:dyDescent="0.25">
      <c r="L883191" s="472"/>
      <c r="M883191" s="472"/>
    </row>
    <row r="883192" spans="12:13" x14ac:dyDescent="0.25">
      <c r="L883192" s="472"/>
      <c r="M883192" s="472"/>
    </row>
    <row r="883193" spans="12:13" x14ac:dyDescent="0.25">
      <c r="L883193" s="472"/>
      <c r="M883193" s="472"/>
    </row>
    <row r="883265" spans="12:13" x14ac:dyDescent="0.25">
      <c r="L883265" s="472"/>
      <c r="M883265" s="472"/>
    </row>
    <row r="883266" spans="12:13" x14ac:dyDescent="0.25">
      <c r="L883266" s="472"/>
      <c r="M883266" s="472"/>
    </row>
    <row r="883267" spans="12:13" x14ac:dyDescent="0.25">
      <c r="L883267" s="472"/>
      <c r="M883267" s="472"/>
    </row>
    <row r="883339" spans="12:13" x14ac:dyDescent="0.25">
      <c r="L883339" s="472"/>
      <c r="M883339" s="472"/>
    </row>
    <row r="883340" spans="12:13" x14ac:dyDescent="0.25">
      <c r="L883340" s="472"/>
      <c r="M883340" s="472"/>
    </row>
    <row r="883341" spans="12:13" x14ac:dyDescent="0.25">
      <c r="L883341" s="472"/>
      <c r="M883341" s="472"/>
    </row>
    <row r="883413" spans="12:13" x14ac:dyDescent="0.25">
      <c r="L883413" s="472"/>
      <c r="M883413" s="472"/>
    </row>
    <row r="883414" spans="12:13" x14ac:dyDescent="0.25">
      <c r="L883414" s="472"/>
      <c r="M883414" s="472"/>
    </row>
    <row r="883415" spans="12:13" x14ac:dyDescent="0.25">
      <c r="L883415" s="472"/>
      <c r="M883415" s="472"/>
    </row>
    <row r="883487" spans="12:13" x14ac:dyDescent="0.25">
      <c r="L883487" s="472"/>
      <c r="M883487" s="472"/>
    </row>
    <row r="883488" spans="12:13" x14ac:dyDescent="0.25">
      <c r="L883488" s="472"/>
      <c r="M883488" s="472"/>
    </row>
    <row r="883489" spans="12:13" x14ac:dyDescent="0.25">
      <c r="L883489" s="472"/>
      <c r="M883489" s="472"/>
    </row>
    <row r="883561" spans="12:13" x14ac:dyDescent="0.25">
      <c r="L883561" s="472"/>
      <c r="M883561" s="472"/>
    </row>
    <row r="883562" spans="12:13" x14ac:dyDescent="0.25">
      <c r="L883562" s="472"/>
      <c r="M883562" s="472"/>
    </row>
    <row r="883563" spans="12:13" x14ac:dyDescent="0.25">
      <c r="L883563" s="472"/>
      <c r="M883563" s="472"/>
    </row>
    <row r="883635" spans="12:13" x14ac:dyDescent="0.25">
      <c r="L883635" s="472"/>
      <c r="M883635" s="472"/>
    </row>
    <row r="883636" spans="12:13" x14ac:dyDescent="0.25">
      <c r="L883636" s="472"/>
      <c r="M883636" s="472"/>
    </row>
    <row r="883637" spans="12:13" x14ac:dyDescent="0.25">
      <c r="L883637" s="472"/>
      <c r="M883637" s="472"/>
    </row>
    <row r="883709" spans="12:13" x14ac:dyDescent="0.25">
      <c r="L883709" s="472"/>
      <c r="M883709" s="472"/>
    </row>
    <row r="883710" spans="12:13" x14ac:dyDescent="0.25">
      <c r="L883710" s="472"/>
      <c r="M883710" s="472"/>
    </row>
    <row r="883711" spans="12:13" x14ac:dyDescent="0.25">
      <c r="L883711" s="472"/>
      <c r="M883711" s="472"/>
    </row>
    <row r="883783" spans="12:13" x14ac:dyDescent="0.25">
      <c r="L883783" s="472"/>
      <c r="M883783" s="472"/>
    </row>
    <row r="883784" spans="12:13" x14ac:dyDescent="0.25">
      <c r="L883784" s="472"/>
      <c r="M883784" s="472"/>
    </row>
    <row r="883785" spans="12:13" x14ac:dyDescent="0.25">
      <c r="L883785" s="472"/>
      <c r="M883785" s="472"/>
    </row>
    <row r="883857" spans="12:13" x14ac:dyDescent="0.25">
      <c r="L883857" s="472"/>
      <c r="M883857" s="472"/>
    </row>
    <row r="883858" spans="12:13" x14ac:dyDescent="0.25">
      <c r="L883858" s="472"/>
      <c r="M883858" s="472"/>
    </row>
    <row r="883859" spans="12:13" x14ac:dyDescent="0.25">
      <c r="L883859" s="472"/>
      <c r="M883859" s="472"/>
    </row>
    <row r="883931" spans="12:13" x14ac:dyDescent="0.25">
      <c r="L883931" s="472"/>
      <c r="M883931" s="472"/>
    </row>
    <row r="883932" spans="12:13" x14ac:dyDescent="0.25">
      <c r="L883932" s="472"/>
      <c r="M883932" s="472"/>
    </row>
    <row r="883933" spans="12:13" x14ac:dyDescent="0.25">
      <c r="L883933" s="472"/>
      <c r="M883933" s="472"/>
    </row>
    <row r="884005" spans="12:13" x14ac:dyDescent="0.25">
      <c r="L884005" s="472"/>
      <c r="M884005" s="472"/>
    </row>
    <row r="884006" spans="12:13" x14ac:dyDescent="0.25">
      <c r="L884006" s="472"/>
      <c r="M884006" s="472"/>
    </row>
    <row r="884007" spans="12:13" x14ac:dyDescent="0.25">
      <c r="L884007" s="472"/>
      <c r="M884007" s="472"/>
    </row>
    <row r="884079" spans="12:13" x14ac:dyDescent="0.25">
      <c r="L884079" s="472"/>
      <c r="M884079" s="472"/>
    </row>
    <row r="884080" spans="12:13" x14ac:dyDescent="0.25">
      <c r="L884080" s="472"/>
      <c r="M884080" s="472"/>
    </row>
    <row r="884081" spans="12:13" x14ac:dyDescent="0.25">
      <c r="L884081" s="472"/>
      <c r="M884081" s="472"/>
    </row>
    <row r="884153" spans="12:13" x14ac:dyDescent="0.25">
      <c r="L884153" s="472"/>
      <c r="M884153" s="472"/>
    </row>
    <row r="884154" spans="12:13" x14ac:dyDescent="0.25">
      <c r="L884154" s="472"/>
      <c r="M884154" s="472"/>
    </row>
    <row r="884155" spans="12:13" x14ac:dyDescent="0.25">
      <c r="L884155" s="472"/>
      <c r="M884155" s="472"/>
    </row>
    <row r="884227" spans="12:13" x14ac:dyDescent="0.25">
      <c r="L884227" s="472"/>
      <c r="M884227" s="472"/>
    </row>
    <row r="884228" spans="12:13" x14ac:dyDescent="0.25">
      <c r="L884228" s="472"/>
      <c r="M884228" s="472"/>
    </row>
    <row r="884229" spans="12:13" x14ac:dyDescent="0.25">
      <c r="L884229" s="472"/>
      <c r="M884229" s="472"/>
    </row>
    <row r="884301" spans="12:13" x14ac:dyDescent="0.25">
      <c r="L884301" s="472"/>
      <c r="M884301" s="472"/>
    </row>
    <row r="884302" spans="12:13" x14ac:dyDescent="0.25">
      <c r="L884302" s="472"/>
      <c r="M884302" s="472"/>
    </row>
    <row r="884303" spans="12:13" x14ac:dyDescent="0.25">
      <c r="L884303" s="472"/>
      <c r="M884303" s="472"/>
    </row>
    <row r="884375" spans="12:13" x14ac:dyDescent="0.25">
      <c r="L884375" s="472"/>
      <c r="M884375" s="472"/>
    </row>
    <row r="884376" spans="12:13" x14ac:dyDescent="0.25">
      <c r="L884376" s="472"/>
      <c r="M884376" s="472"/>
    </row>
    <row r="884377" spans="12:13" x14ac:dyDescent="0.25">
      <c r="L884377" s="472"/>
      <c r="M884377" s="472"/>
    </row>
    <row r="884449" spans="12:13" x14ac:dyDescent="0.25">
      <c r="L884449" s="472"/>
      <c r="M884449" s="472"/>
    </row>
    <row r="884450" spans="12:13" x14ac:dyDescent="0.25">
      <c r="L884450" s="472"/>
      <c r="M884450" s="472"/>
    </row>
    <row r="884451" spans="12:13" x14ac:dyDescent="0.25">
      <c r="L884451" s="472"/>
      <c r="M884451" s="472"/>
    </row>
    <row r="884523" spans="12:13" x14ac:dyDescent="0.25">
      <c r="L884523" s="472"/>
      <c r="M884523" s="472"/>
    </row>
    <row r="884524" spans="12:13" x14ac:dyDescent="0.25">
      <c r="L884524" s="472"/>
      <c r="M884524" s="472"/>
    </row>
    <row r="884525" spans="12:13" x14ac:dyDescent="0.25">
      <c r="L884525" s="472"/>
      <c r="M884525" s="472"/>
    </row>
    <row r="884597" spans="12:13" x14ac:dyDescent="0.25">
      <c r="L884597" s="472"/>
      <c r="M884597" s="472"/>
    </row>
    <row r="884598" spans="12:13" x14ac:dyDescent="0.25">
      <c r="L884598" s="472"/>
      <c r="M884598" s="472"/>
    </row>
    <row r="884599" spans="12:13" x14ac:dyDescent="0.25">
      <c r="L884599" s="472"/>
      <c r="M884599" s="472"/>
    </row>
    <row r="884671" spans="12:13" x14ac:dyDescent="0.25">
      <c r="L884671" s="472"/>
      <c r="M884671" s="472"/>
    </row>
    <row r="884672" spans="12:13" x14ac:dyDescent="0.25">
      <c r="L884672" s="472"/>
      <c r="M884672" s="472"/>
    </row>
    <row r="884673" spans="12:13" x14ac:dyDescent="0.25">
      <c r="L884673" s="472"/>
      <c r="M884673" s="472"/>
    </row>
    <row r="884745" spans="12:13" x14ac:dyDescent="0.25">
      <c r="L884745" s="472"/>
      <c r="M884745" s="472"/>
    </row>
    <row r="884746" spans="12:13" x14ac:dyDescent="0.25">
      <c r="L884746" s="472"/>
      <c r="M884746" s="472"/>
    </row>
    <row r="884747" spans="12:13" x14ac:dyDescent="0.25">
      <c r="L884747" s="472"/>
      <c r="M884747" s="472"/>
    </row>
    <row r="884819" spans="12:13" x14ac:dyDescent="0.25">
      <c r="L884819" s="472"/>
      <c r="M884819" s="472"/>
    </row>
    <row r="884820" spans="12:13" x14ac:dyDescent="0.25">
      <c r="L884820" s="472"/>
      <c r="M884820" s="472"/>
    </row>
    <row r="884821" spans="12:13" x14ac:dyDescent="0.25">
      <c r="L884821" s="472"/>
      <c r="M884821" s="472"/>
    </row>
    <row r="884893" spans="12:13" x14ac:dyDescent="0.25">
      <c r="L884893" s="472"/>
      <c r="M884893" s="472"/>
    </row>
    <row r="884894" spans="12:13" x14ac:dyDescent="0.25">
      <c r="L884894" s="472"/>
      <c r="M884894" s="472"/>
    </row>
    <row r="884895" spans="12:13" x14ac:dyDescent="0.25">
      <c r="L884895" s="472"/>
      <c r="M884895" s="472"/>
    </row>
    <row r="884967" spans="12:13" x14ac:dyDescent="0.25">
      <c r="L884967" s="472"/>
      <c r="M884967" s="472"/>
    </row>
    <row r="884968" spans="12:13" x14ac:dyDescent="0.25">
      <c r="L884968" s="472"/>
      <c r="M884968" s="472"/>
    </row>
    <row r="884969" spans="12:13" x14ac:dyDescent="0.25">
      <c r="L884969" s="472"/>
      <c r="M884969" s="472"/>
    </row>
    <row r="885041" spans="12:13" x14ac:dyDescent="0.25">
      <c r="L885041" s="472"/>
      <c r="M885041" s="472"/>
    </row>
    <row r="885042" spans="12:13" x14ac:dyDescent="0.25">
      <c r="L885042" s="472"/>
      <c r="M885042" s="472"/>
    </row>
    <row r="885043" spans="12:13" x14ac:dyDescent="0.25">
      <c r="L885043" s="472"/>
      <c r="M885043" s="472"/>
    </row>
    <row r="885115" spans="12:13" x14ac:dyDescent="0.25">
      <c r="L885115" s="472"/>
      <c r="M885115" s="472"/>
    </row>
    <row r="885116" spans="12:13" x14ac:dyDescent="0.25">
      <c r="L885116" s="472"/>
      <c r="M885116" s="472"/>
    </row>
    <row r="885117" spans="12:13" x14ac:dyDescent="0.25">
      <c r="L885117" s="472"/>
      <c r="M885117" s="472"/>
    </row>
    <row r="885189" spans="12:13" x14ac:dyDescent="0.25">
      <c r="L885189" s="472"/>
      <c r="M885189" s="472"/>
    </row>
    <row r="885190" spans="12:13" x14ac:dyDescent="0.25">
      <c r="L885190" s="472"/>
      <c r="M885190" s="472"/>
    </row>
    <row r="885191" spans="12:13" x14ac:dyDescent="0.25">
      <c r="L885191" s="472"/>
      <c r="M885191" s="472"/>
    </row>
    <row r="885263" spans="12:13" x14ac:dyDescent="0.25">
      <c r="L885263" s="472"/>
      <c r="M885263" s="472"/>
    </row>
    <row r="885264" spans="12:13" x14ac:dyDescent="0.25">
      <c r="L885264" s="472"/>
      <c r="M885264" s="472"/>
    </row>
    <row r="885265" spans="12:13" x14ac:dyDescent="0.25">
      <c r="L885265" s="472"/>
      <c r="M885265" s="472"/>
    </row>
    <row r="885337" spans="12:13" x14ac:dyDescent="0.25">
      <c r="L885337" s="472"/>
      <c r="M885337" s="472"/>
    </row>
    <row r="885338" spans="12:13" x14ac:dyDescent="0.25">
      <c r="L885338" s="472"/>
      <c r="M885338" s="472"/>
    </row>
    <row r="885339" spans="12:13" x14ac:dyDescent="0.25">
      <c r="L885339" s="472"/>
      <c r="M885339" s="472"/>
    </row>
    <row r="885411" spans="12:13" x14ac:dyDescent="0.25">
      <c r="L885411" s="472"/>
      <c r="M885411" s="472"/>
    </row>
    <row r="885412" spans="12:13" x14ac:dyDescent="0.25">
      <c r="L885412" s="472"/>
      <c r="M885412" s="472"/>
    </row>
    <row r="885413" spans="12:13" x14ac:dyDescent="0.25">
      <c r="L885413" s="472"/>
      <c r="M885413" s="472"/>
    </row>
    <row r="885485" spans="12:13" x14ac:dyDescent="0.25">
      <c r="L885485" s="472"/>
      <c r="M885485" s="472"/>
    </row>
    <row r="885486" spans="12:13" x14ac:dyDescent="0.25">
      <c r="L885486" s="472"/>
      <c r="M885486" s="472"/>
    </row>
    <row r="885487" spans="12:13" x14ac:dyDescent="0.25">
      <c r="L885487" s="472"/>
      <c r="M885487" s="472"/>
    </row>
    <row r="885559" spans="12:13" x14ac:dyDescent="0.25">
      <c r="L885559" s="472"/>
      <c r="M885559" s="472"/>
    </row>
    <row r="885560" spans="12:13" x14ac:dyDescent="0.25">
      <c r="L885560" s="472"/>
      <c r="M885560" s="472"/>
    </row>
    <row r="885561" spans="12:13" x14ac:dyDescent="0.25">
      <c r="L885561" s="472"/>
      <c r="M885561" s="472"/>
    </row>
    <row r="885633" spans="12:13" x14ac:dyDescent="0.25">
      <c r="L885633" s="472"/>
      <c r="M885633" s="472"/>
    </row>
    <row r="885634" spans="12:13" x14ac:dyDescent="0.25">
      <c r="L885634" s="472"/>
      <c r="M885634" s="472"/>
    </row>
    <row r="885635" spans="12:13" x14ac:dyDescent="0.25">
      <c r="L885635" s="472"/>
      <c r="M885635" s="472"/>
    </row>
    <row r="885707" spans="12:13" x14ac:dyDescent="0.25">
      <c r="L885707" s="472"/>
      <c r="M885707" s="472"/>
    </row>
    <row r="885708" spans="12:13" x14ac:dyDescent="0.25">
      <c r="L885708" s="472"/>
      <c r="M885708" s="472"/>
    </row>
    <row r="885709" spans="12:13" x14ac:dyDescent="0.25">
      <c r="L885709" s="472"/>
      <c r="M885709" s="472"/>
    </row>
    <row r="885781" spans="12:13" x14ac:dyDescent="0.25">
      <c r="L885781" s="472"/>
      <c r="M885781" s="472"/>
    </row>
    <row r="885782" spans="12:13" x14ac:dyDescent="0.25">
      <c r="L885782" s="472"/>
      <c r="M885782" s="472"/>
    </row>
    <row r="885783" spans="12:13" x14ac:dyDescent="0.25">
      <c r="L885783" s="472"/>
      <c r="M885783" s="472"/>
    </row>
    <row r="885855" spans="12:13" x14ac:dyDescent="0.25">
      <c r="L885855" s="472"/>
      <c r="M885855" s="472"/>
    </row>
    <row r="885856" spans="12:13" x14ac:dyDescent="0.25">
      <c r="L885856" s="472"/>
      <c r="M885856" s="472"/>
    </row>
    <row r="885857" spans="12:13" x14ac:dyDescent="0.25">
      <c r="L885857" s="472"/>
      <c r="M885857" s="472"/>
    </row>
    <row r="885929" spans="12:13" x14ac:dyDescent="0.25">
      <c r="L885929" s="472"/>
      <c r="M885929" s="472"/>
    </row>
    <row r="885930" spans="12:13" x14ac:dyDescent="0.25">
      <c r="L885930" s="472"/>
      <c r="M885930" s="472"/>
    </row>
    <row r="885931" spans="12:13" x14ac:dyDescent="0.25">
      <c r="L885931" s="472"/>
      <c r="M885931" s="472"/>
    </row>
    <row r="886003" spans="12:13" x14ac:dyDescent="0.25">
      <c r="L886003" s="472"/>
      <c r="M886003" s="472"/>
    </row>
    <row r="886004" spans="12:13" x14ac:dyDescent="0.25">
      <c r="L886004" s="472"/>
      <c r="M886004" s="472"/>
    </row>
    <row r="886005" spans="12:13" x14ac:dyDescent="0.25">
      <c r="L886005" s="472"/>
      <c r="M886005" s="472"/>
    </row>
    <row r="886077" spans="12:13" x14ac:dyDescent="0.25">
      <c r="L886077" s="472"/>
      <c r="M886077" s="472"/>
    </row>
    <row r="886078" spans="12:13" x14ac:dyDescent="0.25">
      <c r="L886078" s="472"/>
      <c r="M886078" s="472"/>
    </row>
    <row r="886079" spans="12:13" x14ac:dyDescent="0.25">
      <c r="L886079" s="472"/>
      <c r="M886079" s="472"/>
    </row>
    <row r="886151" spans="12:13" x14ac:dyDescent="0.25">
      <c r="L886151" s="472"/>
      <c r="M886151" s="472"/>
    </row>
    <row r="886152" spans="12:13" x14ac:dyDescent="0.25">
      <c r="L886152" s="472"/>
      <c r="M886152" s="472"/>
    </row>
    <row r="886153" spans="12:13" x14ac:dyDescent="0.25">
      <c r="L886153" s="472"/>
      <c r="M886153" s="472"/>
    </row>
    <row r="886225" spans="12:13" x14ac:dyDescent="0.25">
      <c r="L886225" s="472"/>
      <c r="M886225" s="472"/>
    </row>
    <row r="886226" spans="12:13" x14ac:dyDescent="0.25">
      <c r="L886226" s="472"/>
      <c r="M886226" s="472"/>
    </row>
    <row r="886227" spans="12:13" x14ac:dyDescent="0.25">
      <c r="L886227" s="472"/>
      <c r="M886227" s="472"/>
    </row>
    <row r="886299" spans="12:13" x14ac:dyDescent="0.25">
      <c r="L886299" s="472"/>
      <c r="M886299" s="472"/>
    </row>
    <row r="886300" spans="12:13" x14ac:dyDescent="0.25">
      <c r="L886300" s="472"/>
      <c r="M886300" s="472"/>
    </row>
    <row r="886301" spans="12:13" x14ac:dyDescent="0.25">
      <c r="L886301" s="472"/>
      <c r="M886301" s="472"/>
    </row>
    <row r="886373" spans="12:13" x14ac:dyDescent="0.25">
      <c r="L886373" s="472"/>
      <c r="M886373" s="472"/>
    </row>
    <row r="886374" spans="12:13" x14ac:dyDescent="0.25">
      <c r="L886374" s="472"/>
      <c r="M886374" s="472"/>
    </row>
    <row r="886375" spans="12:13" x14ac:dyDescent="0.25">
      <c r="L886375" s="472"/>
      <c r="M886375" s="472"/>
    </row>
    <row r="886447" spans="12:13" x14ac:dyDescent="0.25">
      <c r="L886447" s="472"/>
      <c r="M886447" s="472"/>
    </row>
    <row r="886448" spans="12:13" x14ac:dyDescent="0.25">
      <c r="L886448" s="472"/>
      <c r="M886448" s="472"/>
    </row>
    <row r="886449" spans="12:13" x14ac:dyDescent="0.25">
      <c r="L886449" s="472"/>
      <c r="M886449" s="472"/>
    </row>
    <row r="886521" spans="12:13" x14ac:dyDescent="0.25">
      <c r="L886521" s="472"/>
      <c r="M886521" s="472"/>
    </row>
    <row r="886522" spans="12:13" x14ac:dyDescent="0.25">
      <c r="L886522" s="472"/>
      <c r="M886522" s="472"/>
    </row>
    <row r="886523" spans="12:13" x14ac:dyDescent="0.25">
      <c r="L886523" s="472"/>
      <c r="M886523" s="472"/>
    </row>
    <row r="886595" spans="12:13" x14ac:dyDescent="0.25">
      <c r="L886595" s="472"/>
      <c r="M886595" s="472"/>
    </row>
    <row r="886596" spans="12:13" x14ac:dyDescent="0.25">
      <c r="L886596" s="472"/>
      <c r="M886596" s="472"/>
    </row>
    <row r="886597" spans="12:13" x14ac:dyDescent="0.25">
      <c r="L886597" s="472"/>
      <c r="M886597" s="472"/>
    </row>
    <row r="886669" spans="12:13" x14ac:dyDescent="0.25">
      <c r="L886669" s="472"/>
      <c r="M886669" s="472"/>
    </row>
    <row r="886670" spans="12:13" x14ac:dyDescent="0.25">
      <c r="L886670" s="472"/>
      <c r="M886670" s="472"/>
    </row>
    <row r="886671" spans="12:13" x14ac:dyDescent="0.25">
      <c r="L886671" s="472"/>
      <c r="M886671" s="472"/>
    </row>
    <row r="886743" spans="12:13" x14ac:dyDescent="0.25">
      <c r="L886743" s="472"/>
      <c r="M886743" s="472"/>
    </row>
    <row r="886744" spans="12:13" x14ac:dyDescent="0.25">
      <c r="L886744" s="472"/>
      <c r="M886744" s="472"/>
    </row>
    <row r="886745" spans="12:13" x14ac:dyDescent="0.25">
      <c r="L886745" s="472"/>
      <c r="M886745" s="472"/>
    </row>
    <row r="886817" spans="12:13" x14ac:dyDescent="0.25">
      <c r="L886817" s="472"/>
      <c r="M886817" s="472"/>
    </row>
    <row r="886818" spans="12:13" x14ac:dyDescent="0.25">
      <c r="L886818" s="472"/>
      <c r="M886818" s="472"/>
    </row>
    <row r="886819" spans="12:13" x14ac:dyDescent="0.25">
      <c r="L886819" s="472"/>
      <c r="M886819" s="472"/>
    </row>
    <row r="886891" spans="12:13" x14ac:dyDescent="0.25">
      <c r="L886891" s="472"/>
      <c r="M886891" s="472"/>
    </row>
    <row r="886892" spans="12:13" x14ac:dyDescent="0.25">
      <c r="L886892" s="472"/>
      <c r="M886892" s="472"/>
    </row>
    <row r="886893" spans="12:13" x14ac:dyDescent="0.25">
      <c r="L886893" s="472"/>
      <c r="M886893" s="472"/>
    </row>
    <row r="886965" spans="12:13" x14ac:dyDescent="0.25">
      <c r="L886965" s="472"/>
      <c r="M886965" s="472"/>
    </row>
    <row r="886966" spans="12:13" x14ac:dyDescent="0.25">
      <c r="L886966" s="472"/>
      <c r="M886966" s="472"/>
    </row>
    <row r="886967" spans="12:13" x14ac:dyDescent="0.25">
      <c r="L886967" s="472"/>
      <c r="M886967" s="472"/>
    </row>
    <row r="887039" spans="12:13" x14ac:dyDescent="0.25">
      <c r="L887039" s="472"/>
      <c r="M887039" s="472"/>
    </row>
    <row r="887040" spans="12:13" x14ac:dyDescent="0.25">
      <c r="L887040" s="472"/>
      <c r="M887040" s="472"/>
    </row>
    <row r="887041" spans="12:13" x14ac:dyDescent="0.25">
      <c r="L887041" s="472"/>
      <c r="M887041" s="472"/>
    </row>
    <row r="887113" spans="12:13" x14ac:dyDescent="0.25">
      <c r="L887113" s="472"/>
      <c r="M887113" s="472"/>
    </row>
    <row r="887114" spans="12:13" x14ac:dyDescent="0.25">
      <c r="L887114" s="472"/>
      <c r="M887114" s="472"/>
    </row>
    <row r="887115" spans="12:13" x14ac:dyDescent="0.25">
      <c r="L887115" s="472"/>
      <c r="M887115" s="472"/>
    </row>
    <row r="887187" spans="12:13" x14ac:dyDescent="0.25">
      <c r="L887187" s="472"/>
      <c r="M887187" s="472"/>
    </row>
    <row r="887188" spans="12:13" x14ac:dyDescent="0.25">
      <c r="L887188" s="472"/>
      <c r="M887188" s="472"/>
    </row>
    <row r="887189" spans="12:13" x14ac:dyDescent="0.25">
      <c r="L887189" s="472"/>
      <c r="M887189" s="472"/>
    </row>
    <row r="887261" spans="12:13" x14ac:dyDescent="0.25">
      <c r="L887261" s="472"/>
      <c r="M887261" s="472"/>
    </row>
    <row r="887262" spans="12:13" x14ac:dyDescent="0.25">
      <c r="L887262" s="472"/>
      <c r="M887262" s="472"/>
    </row>
    <row r="887263" spans="12:13" x14ac:dyDescent="0.25">
      <c r="L887263" s="472"/>
      <c r="M887263" s="472"/>
    </row>
    <row r="887335" spans="12:13" x14ac:dyDescent="0.25">
      <c r="L887335" s="472"/>
      <c r="M887335" s="472"/>
    </row>
    <row r="887336" spans="12:13" x14ac:dyDescent="0.25">
      <c r="L887336" s="472"/>
      <c r="M887336" s="472"/>
    </row>
    <row r="887337" spans="12:13" x14ac:dyDescent="0.25">
      <c r="L887337" s="472"/>
      <c r="M887337" s="472"/>
    </row>
    <row r="887409" spans="12:13" x14ac:dyDescent="0.25">
      <c r="L887409" s="472"/>
      <c r="M887409" s="472"/>
    </row>
    <row r="887410" spans="12:13" x14ac:dyDescent="0.25">
      <c r="L887410" s="472"/>
      <c r="M887410" s="472"/>
    </row>
    <row r="887411" spans="12:13" x14ac:dyDescent="0.25">
      <c r="L887411" s="472"/>
      <c r="M887411" s="472"/>
    </row>
    <row r="887483" spans="12:13" x14ac:dyDescent="0.25">
      <c r="L887483" s="472"/>
      <c r="M887483" s="472"/>
    </row>
    <row r="887484" spans="12:13" x14ac:dyDescent="0.25">
      <c r="L887484" s="472"/>
      <c r="M887484" s="472"/>
    </row>
    <row r="887485" spans="12:13" x14ac:dyDescent="0.25">
      <c r="L887485" s="472"/>
      <c r="M887485" s="472"/>
    </row>
    <row r="887557" spans="12:13" x14ac:dyDescent="0.25">
      <c r="L887557" s="472"/>
      <c r="M887557" s="472"/>
    </row>
    <row r="887558" spans="12:13" x14ac:dyDescent="0.25">
      <c r="L887558" s="472"/>
      <c r="M887558" s="472"/>
    </row>
    <row r="887559" spans="12:13" x14ac:dyDescent="0.25">
      <c r="L887559" s="472"/>
      <c r="M887559" s="472"/>
    </row>
    <row r="887631" spans="12:13" x14ac:dyDescent="0.25">
      <c r="L887631" s="472"/>
      <c r="M887631" s="472"/>
    </row>
    <row r="887632" spans="12:13" x14ac:dyDescent="0.25">
      <c r="L887632" s="472"/>
      <c r="M887632" s="472"/>
    </row>
    <row r="887633" spans="12:13" x14ac:dyDescent="0.25">
      <c r="L887633" s="472"/>
      <c r="M887633" s="472"/>
    </row>
    <row r="887705" spans="12:13" x14ac:dyDescent="0.25">
      <c r="L887705" s="472"/>
      <c r="M887705" s="472"/>
    </row>
    <row r="887706" spans="12:13" x14ac:dyDescent="0.25">
      <c r="L887706" s="472"/>
      <c r="M887706" s="472"/>
    </row>
    <row r="887707" spans="12:13" x14ac:dyDescent="0.25">
      <c r="L887707" s="472"/>
      <c r="M887707" s="472"/>
    </row>
    <row r="887779" spans="12:13" x14ac:dyDescent="0.25">
      <c r="L887779" s="472"/>
      <c r="M887779" s="472"/>
    </row>
    <row r="887780" spans="12:13" x14ac:dyDescent="0.25">
      <c r="L887780" s="472"/>
      <c r="M887780" s="472"/>
    </row>
    <row r="887781" spans="12:13" x14ac:dyDescent="0.25">
      <c r="L887781" s="472"/>
      <c r="M887781" s="472"/>
    </row>
    <row r="887853" spans="12:13" x14ac:dyDescent="0.25">
      <c r="L887853" s="472"/>
      <c r="M887853" s="472"/>
    </row>
    <row r="887854" spans="12:13" x14ac:dyDescent="0.25">
      <c r="L887854" s="472"/>
      <c r="M887854" s="472"/>
    </row>
    <row r="887855" spans="12:13" x14ac:dyDescent="0.25">
      <c r="L887855" s="472"/>
      <c r="M887855" s="472"/>
    </row>
    <row r="887927" spans="12:13" x14ac:dyDescent="0.25">
      <c r="L887927" s="472"/>
      <c r="M887927" s="472"/>
    </row>
    <row r="887928" spans="12:13" x14ac:dyDescent="0.25">
      <c r="L887928" s="472"/>
      <c r="M887928" s="472"/>
    </row>
    <row r="887929" spans="12:13" x14ac:dyDescent="0.25">
      <c r="L887929" s="472"/>
      <c r="M887929" s="472"/>
    </row>
    <row r="888001" spans="12:13" x14ac:dyDescent="0.25">
      <c r="L888001" s="472"/>
      <c r="M888001" s="472"/>
    </row>
    <row r="888002" spans="12:13" x14ac:dyDescent="0.25">
      <c r="L888002" s="472"/>
      <c r="M888002" s="472"/>
    </row>
    <row r="888003" spans="12:13" x14ac:dyDescent="0.25">
      <c r="L888003" s="472"/>
      <c r="M888003" s="472"/>
    </row>
    <row r="888075" spans="12:13" x14ac:dyDescent="0.25">
      <c r="L888075" s="472"/>
      <c r="M888075" s="472"/>
    </row>
    <row r="888076" spans="12:13" x14ac:dyDescent="0.25">
      <c r="L888076" s="472"/>
      <c r="M888076" s="472"/>
    </row>
    <row r="888077" spans="12:13" x14ac:dyDescent="0.25">
      <c r="L888077" s="472"/>
      <c r="M888077" s="472"/>
    </row>
    <row r="888149" spans="12:13" x14ac:dyDescent="0.25">
      <c r="L888149" s="472"/>
      <c r="M888149" s="472"/>
    </row>
    <row r="888150" spans="12:13" x14ac:dyDescent="0.25">
      <c r="L888150" s="472"/>
      <c r="M888150" s="472"/>
    </row>
    <row r="888151" spans="12:13" x14ac:dyDescent="0.25">
      <c r="L888151" s="472"/>
      <c r="M888151" s="472"/>
    </row>
    <row r="888223" spans="12:13" x14ac:dyDescent="0.25">
      <c r="L888223" s="472"/>
      <c r="M888223" s="472"/>
    </row>
    <row r="888224" spans="12:13" x14ac:dyDescent="0.25">
      <c r="L888224" s="472"/>
      <c r="M888224" s="472"/>
    </row>
    <row r="888225" spans="12:13" x14ac:dyDescent="0.25">
      <c r="L888225" s="472"/>
      <c r="M888225" s="472"/>
    </row>
    <row r="888297" spans="12:13" x14ac:dyDescent="0.25">
      <c r="L888297" s="472"/>
      <c r="M888297" s="472"/>
    </row>
    <row r="888298" spans="12:13" x14ac:dyDescent="0.25">
      <c r="L888298" s="472"/>
      <c r="M888298" s="472"/>
    </row>
    <row r="888299" spans="12:13" x14ac:dyDescent="0.25">
      <c r="L888299" s="472"/>
      <c r="M888299" s="472"/>
    </row>
    <row r="888371" spans="12:13" x14ac:dyDescent="0.25">
      <c r="L888371" s="472"/>
      <c r="M888371" s="472"/>
    </row>
    <row r="888372" spans="12:13" x14ac:dyDescent="0.25">
      <c r="L888372" s="472"/>
      <c r="M888372" s="472"/>
    </row>
    <row r="888373" spans="12:13" x14ac:dyDescent="0.25">
      <c r="L888373" s="472"/>
      <c r="M888373" s="472"/>
    </row>
    <row r="888445" spans="12:13" x14ac:dyDescent="0.25">
      <c r="L888445" s="472"/>
      <c r="M888445" s="472"/>
    </row>
    <row r="888446" spans="12:13" x14ac:dyDescent="0.25">
      <c r="L888446" s="472"/>
      <c r="M888446" s="472"/>
    </row>
    <row r="888447" spans="12:13" x14ac:dyDescent="0.25">
      <c r="L888447" s="472"/>
      <c r="M888447" s="472"/>
    </row>
    <row r="888519" spans="12:13" x14ac:dyDescent="0.25">
      <c r="L888519" s="472"/>
      <c r="M888519" s="472"/>
    </row>
    <row r="888520" spans="12:13" x14ac:dyDescent="0.25">
      <c r="L888520" s="472"/>
      <c r="M888520" s="472"/>
    </row>
    <row r="888521" spans="12:13" x14ac:dyDescent="0.25">
      <c r="L888521" s="472"/>
      <c r="M888521" s="472"/>
    </row>
    <row r="888593" spans="12:13" x14ac:dyDescent="0.25">
      <c r="L888593" s="472"/>
      <c r="M888593" s="472"/>
    </row>
    <row r="888594" spans="12:13" x14ac:dyDescent="0.25">
      <c r="L888594" s="472"/>
      <c r="M888594" s="472"/>
    </row>
    <row r="888595" spans="12:13" x14ac:dyDescent="0.25">
      <c r="L888595" s="472"/>
      <c r="M888595" s="472"/>
    </row>
    <row r="888667" spans="12:13" x14ac:dyDescent="0.25">
      <c r="L888667" s="472"/>
      <c r="M888667" s="472"/>
    </row>
    <row r="888668" spans="12:13" x14ac:dyDescent="0.25">
      <c r="L888668" s="472"/>
      <c r="M888668" s="472"/>
    </row>
    <row r="888669" spans="12:13" x14ac:dyDescent="0.25">
      <c r="L888669" s="472"/>
      <c r="M888669" s="472"/>
    </row>
    <row r="888741" spans="12:13" x14ac:dyDescent="0.25">
      <c r="L888741" s="472"/>
      <c r="M888741" s="472"/>
    </row>
    <row r="888742" spans="12:13" x14ac:dyDescent="0.25">
      <c r="L888742" s="472"/>
      <c r="M888742" s="472"/>
    </row>
    <row r="888743" spans="12:13" x14ac:dyDescent="0.25">
      <c r="L888743" s="472"/>
      <c r="M888743" s="472"/>
    </row>
    <row r="888815" spans="12:13" x14ac:dyDescent="0.25">
      <c r="L888815" s="472"/>
      <c r="M888815" s="472"/>
    </row>
    <row r="888816" spans="12:13" x14ac:dyDescent="0.25">
      <c r="L888816" s="472"/>
      <c r="M888816" s="472"/>
    </row>
    <row r="888817" spans="12:13" x14ac:dyDescent="0.25">
      <c r="L888817" s="472"/>
      <c r="M888817" s="472"/>
    </row>
    <row r="888889" spans="12:13" x14ac:dyDescent="0.25">
      <c r="L888889" s="472"/>
      <c r="M888889" s="472"/>
    </row>
    <row r="888890" spans="12:13" x14ac:dyDescent="0.25">
      <c r="L888890" s="472"/>
      <c r="M888890" s="472"/>
    </row>
    <row r="888891" spans="12:13" x14ac:dyDescent="0.25">
      <c r="L888891" s="472"/>
      <c r="M888891" s="472"/>
    </row>
    <row r="888963" spans="12:13" x14ac:dyDescent="0.25">
      <c r="L888963" s="472"/>
      <c r="M888963" s="472"/>
    </row>
    <row r="888964" spans="12:13" x14ac:dyDescent="0.25">
      <c r="L888964" s="472"/>
      <c r="M888964" s="472"/>
    </row>
    <row r="888965" spans="12:13" x14ac:dyDescent="0.25">
      <c r="L888965" s="472"/>
      <c r="M888965" s="472"/>
    </row>
    <row r="889037" spans="12:13" x14ac:dyDescent="0.25">
      <c r="L889037" s="472"/>
      <c r="M889037" s="472"/>
    </row>
    <row r="889038" spans="12:13" x14ac:dyDescent="0.25">
      <c r="L889038" s="472"/>
      <c r="M889038" s="472"/>
    </row>
    <row r="889039" spans="12:13" x14ac:dyDescent="0.25">
      <c r="L889039" s="472"/>
      <c r="M889039" s="472"/>
    </row>
    <row r="889111" spans="12:13" x14ac:dyDescent="0.25">
      <c r="L889111" s="472"/>
      <c r="M889111" s="472"/>
    </row>
    <row r="889112" spans="12:13" x14ac:dyDescent="0.25">
      <c r="L889112" s="472"/>
      <c r="M889112" s="472"/>
    </row>
    <row r="889113" spans="12:13" x14ac:dyDescent="0.25">
      <c r="L889113" s="472"/>
      <c r="M889113" s="472"/>
    </row>
    <row r="889185" spans="12:13" x14ac:dyDescent="0.25">
      <c r="L889185" s="472"/>
      <c r="M889185" s="472"/>
    </row>
    <row r="889186" spans="12:13" x14ac:dyDescent="0.25">
      <c r="L889186" s="472"/>
      <c r="M889186" s="472"/>
    </row>
    <row r="889187" spans="12:13" x14ac:dyDescent="0.25">
      <c r="L889187" s="472"/>
      <c r="M889187" s="472"/>
    </row>
    <row r="889259" spans="12:13" x14ac:dyDescent="0.25">
      <c r="L889259" s="472"/>
      <c r="M889259" s="472"/>
    </row>
    <row r="889260" spans="12:13" x14ac:dyDescent="0.25">
      <c r="L889260" s="472"/>
      <c r="M889260" s="472"/>
    </row>
    <row r="889261" spans="12:13" x14ac:dyDescent="0.25">
      <c r="L889261" s="472"/>
      <c r="M889261" s="472"/>
    </row>
    <row r="889333" spans="12:13" x14ac:dyDescent="0.25">
      <c r="L889333" s="472"/>
      <c r="M889333" s="472"/>
    </row>
    <row r="889334" spans="12:13" x14ac:dyDescent="0.25">
      <c r="L889334" s="472"/>
      <c r="M889334" s="472"/>
    </row>
    <row r="889335" spans="12:13" x14ac:dyDescent="0.25">
      <c r="L889335" s="472"/>
      <c r="M889335" s="472"/>
    </row>
    <row r="889407" spans="12:13" x14ac:dyDescent="0.25">
      <c r="L889407" s="472"/>
      <c r="M889407" s="472"/>
    </row>
    <row r="889408" spans="12:13" x14ac:dyDescent="0.25">
      <c r="L889408" s="472"/>
      <c r="M889408" s="472"/>
    </row>
    <row r="889409" spans="12:13" x14ac:dyDescent="0.25">
      <c r="L889409" s="472"/>
      <c r="M889409" s="472"/>
    </row>
    <row r="889481" spans="12:13" x14ac:dyDescent="0.25">
      <c r="L889481" s="472"/>
      <c r="M889481" s="472"/>
    </row>
    <row r="889482" spans="12:13" x14ac:dyDescent="0.25">
      <c r="L889482" s="472"/>
      <c r="M889482" s="472"/>
    </row>
    <row r="889483" spans="12:13" x14ac:dyDescent="0.25">
      <c r="L889483" s="472"/>
      <c r="M889483" s="472"/>
    </row>
    <row r="889555" spans="12:13" x14ac:dyDescent="0.25">
      <c r="L889555" s="472"/>
      <c r="M889555" s="472"/>
    </row>
    <row r="889556" spans="12:13" x14ac:dyDescent="0.25">
      <c r="L889556" s="472"/>
      <c r="M889556" s="472"/>
    </row>
    <row r="889557" spans="12:13" x14ac:dyDescent="0.25">
      <c r="L889557" s="472"/>
      <c r="M889557" s="472"/>
    </row>
    <row r="889629" spans="12:13" x14ac:dyDescent="0.25">
      <c r="L889629" s="472"/>
      <c r="M889629" s="472"/>
    </row>
    <row r="889630" spans="12:13" x14ac:dyDescent="0.25">
      <c r="L889630" s="472"/>
      <c r="M889630" s="472"/>
    </row>
    <row r="889631" spans="12:13" x14ac:dyDescent="0.25">
      <c r="L889631" s="472"/>
      <c r="M889631" s="472"/>
    </row>
    <row r="889703" spans="12:13" x14ac:dyDescent="0.25">
      <c r="L889703" s="472"/>
      <c r="M889703" s="472"/>
    </row>
    <row r="889704" spans="12:13" x14ac:dyDescent="0.25">
      <c r="L889704" s="472"/>
      <c r="M889704" s="472"/>
    </row>
    <row r="889705" spans="12:13" x14ac:dyDescent="0.25">
      <c r="L889705" s="472"/>
      <c r="M889705" s="472"/>
    </row>
    <row r="889777" spans="12:13" x14ac:dyDescent="0.25">
      <c r="L889777" s="472"/>
      <c r="M889777" s="472"/>
    </row>
    <row r="889778" spans="12:13" x14ac:dyDescent="0.25">
      <c r="L889778" s="472"/>
      <c r="M889778" s="472"/>
    </row>
    <row r="889779" spans="12:13" x14ac:dyDescent="0.25">
      <c r="L889779" s="472"/>
      <c r="M889779" s="472"/>
    </row>
    <row r="889851" spans="12:13" x14ac:dyDescent="0.25">
      <c r="L889851" s="472"/>
      <c r="M889851" s="472"/>
    </row>
    <row r="889852" spans="12:13" x14ac:dyDescent="0.25">
      <c r="L889852" s="472"/>
      <c r="M889852" s="472"/>
    </row>
    <row r="889853" spans="12:13" x14ac:dyDescent="0.25">
      <c r="L889853" s="472"/>
      <c r="M889853" s="472"/>
    </row>
    <row r="889925" spans="12:13" x14ac:dyDescent="0.25">
      <c r="L889925" s="472"/>
      <c r="M889925" s="472"/>
    </row>
    <row r="889926" spans="12:13" x14ac:dyDescent="0.25">
      <c r="L889926" s="472"/>
      <c r="M889926" s="472"/>
    </row>
    <row r="889927" spans="12:13" x14ac:dyDescent="0.25">
      <c r="L889927" s="472"/>
      <c r="M889927" s="472"/>
    </row>
    <row r="889999" spans="12:13" x14ac:dyDescent="0.25">
      <c r="L889999" s="472"/>
      <c r="M889999" s="472"/>
    </row>
    <row r="890000" spans="12:13" x14ac:dyDescent="0.25">
      <c r="L890000" s="472"/>
      <c r="M890000" s="472"/>
    </row>
    <row r="890001" spans="12:13" x14ac:dyDescent="0.25">
      <c r="L890001" s="472"/>
      <c r="M890001" s="472"/>
    </row>
    <row r="890073" spans="12:13" x14ac:dyDescent="0.25">
      <c r="L890073" s="472"/>
      <c r="M890073" s="472"/>
    </row>
    <row r="890074" spans="12:13" x14ac:dyDescent="0.25">
      <c r="L890074" s="472"/>
      <c r="M890074" s="472"/>
    </row>
    <row r="890075" spans="12:13" x14ac:dyDescent="0.25">
      <c r="L890075" s="472"/>
      <c r="M890075" s="472"/>
    </row>
    <row r="890147" spans="12:13" x14ac:dyDescent="0.25">
      <c r="L890147" s="472"/>
      <c r="M890147" s="472"/>
    </row>
    <row r="890148" spans="12:13" x14ac:dyDescent="0.25">
      <c r="L890148" s="472"/>
      <c r="M890148" s="472"/>
    </row>
    <row r="890149" spans="12:13" x14ac:dyDescent="0.25">
      <c r="L890149" s="472"/>
      <c r="M890149" s="472"/>
    </row>
    <row r="890221" spans="12:13" x14ac:dyDescent="0.25">
      <c r="L890221" s="472"/>
      <c r="M890221" s="472"/>
    </row>
    <row r="890222" spans="12:13" x14ac:dyDescent="0.25">
      <c r="L890222" s="472"/>
      <c r="M890222" s="472"/>
    </row>
    <row r="890223" spans="12:13" x14ac:dyDescent="0.25">
      <c r="L890223" s="472"/>
      <c r="M890223" s="472"/>
    </row>
    <row r="890295" spans="12:13" x14ac:dyDescent="0.25">
      <c r="L890295" s="472"/>
      <c r="M890295" s="472"/>
    </row>
    <row r="890296" spans="12:13" x14ac:dyDescent="0.25">
      <c r="L890296" s="472"/>
      <c r="M890296" s="472"/>
    </row>
    <row r="890297" spans="12:13" x14ac:dyDescent="0.25">
      <c r="L890297" s="472"/>
      <c r="M890297" s="472"/>
    </row>
    <row r="890369" spans="12:13" x14ac:dyDescent="0.25">
      <c r="L890369" s="472"/>
      <c r="M890369" s="472"/>
    </row>
    <row r="890370" spans="12:13" x14ac:dyDescent="0.25">
      <c r="L890370" s="472"/>
      <c r="M890370" s="472"/>
    </row>
    <row r="890371" spans="12:13" x14ac:dyDescent="0.25">
      <c r="L890371" s="472"/>
      <c r="M890371" s="472"/>
    </row>
    <row r="890443" spans="12:13" x14ac:dyDescent="0.25">
      <c r="L890443" s="472"/>
      <c r="M890443" s="472"/>
    </row>
    <row r="890444" spans="12:13" x14ac:dyDescent="0.25">
      <c r="L890444" s="472"/>
      <c r="M890444" s="472"/>
    </row>
    <row r="890445" spans="12:13" x14ac:dyDescent="0.25">
      <c r="L890445" s="472"/>
      <c r="M890445" s="472"/>
    </row>
    <row r="890517" spans="12:13" x14ac:dyDescent="0.25">
      <c r="L890517" s="472"/>
      <c r="M890517" s="472"/>
    </row>
    <row r="890518" spans="12:13" x14ac:dyDescent="0.25">
      <c r="L890518" s="472"/>
      <c r="M890518" s="472"/>
    </row>
    <row r="890519" spans="12:13" x14ac:dyDescent="0.25">
      <c r="L890519" s="472"/>
      <c r="M890519" s="472"/>
    </row>
    <row r="890591" spans="12:13" x14ac:dyDescent="0.25">
      <c r="L890591" s="472"/>
      <c r="M890591" s="472"/>
    </row>
    <row r="890592" spans="12:13" x14ac:dyDescent="0.25">
      <c r="L890592" s="472"/>
      <c r="M890592" s="472"/>
    </row>
    <row r="890593" spans="12:13" x14ac:dyDescent="0.25">
      <c r="L890593" s="472"/>
      <c r="M890593" s="472"/>
    </row>
    <row r="890665" spans="12:13" x14ac:dyDescent="0.25">
      <c r="L890665" s="472"/>
      <c r="M890665" s="472"/>
    </row>
    <row r="890666" spans="12:13" x14ac:dyDescent="0.25">
      <c r="L890666" s="472"/>
      <c r="M890666" s="472"/>
    </row>
    <row r="890667" spans="12:13" x14ac:dyDescent="0.25">
      <c r="L890667" s="472"/>
      <c r="M890667" s="472"/>
    </row>
    <row r="890739" spans="12:13" x14ac:dyDescent="0.25">
      <c r="L890739" s="472"/>
      <c r="M890739" s="472"/>
    </row>
    <row r="890740" spans="12:13" x14ac:dyDescent="0.25">
      <c r="L890740" s="472"/>
      <c r="M890740" s="472"/>
    </row>
    <row r="890741" spans="12:13" x14ac:dyDescent="0.25">
      <c r="L890741" s="472"/>
      <c r="M890741" s="472"/>
    </row>
    <row r="890813" spans="12:13" x14ac:dyDescent="0.25">
      <c r="L890813" s="472"/>
      <c r="M890813" s="472"/>
    </row>
    <row r="890814" spans="12:13" x14ac:dyDescent="0.25">
      <c r="L890814" s="472"/>
      <c r="M890814" s="472"/>
    </row>
    <row r="890815" spans="12:13" x14ac:dyDescent="0.25">
      <c r="L890815" s="472"/>
      <c r="M890815" s="472"/>
    </row>
    <row r="890887" spans="12:13" x14ac:dyDescent="0.25">
      <c r="L890887" s="472"/>
      <c r="M890887" s="472"/>
    </row>
    <row r="890888" spans="12:13" x14ac:dyDescent="0.25">
      <c r="L890888" s="472"/>
      <c r="M890888" s="472"/>
    </row>
    <row r="890889" spans="12:13" x14ac:dyDescent="0.25">
      <c r="L890889" s="472"/>
      <c r="M890889" s="472"/>
    </row>
    <row r="890961" spans="12:13" x14ac:dyDescent="0.25">
      <c r="L890961" s="472"/>
      <c r="M890961" s="472"/>
    </row>
    <row r="890962" spans="12:13" x14ac:dyDescent="0.25">
      <c r="L890962" s="472"/>
      <c r="M890962" s="472"/>
    </row>
    <row r="890963" spans="12:13" x14ac:dyDescent="0.25">
      <c r="L890963" s="472"/>
      <c r="M890963" s="472"/>
    </row>
    <row r="891035" spans="12:13" x14ac:dyDescent="0.25">
      <c r="L891035" s="472"/>
      <c r="M891035" s="472"/>
    </row>
    <row r="891036" spans="12:13" x14ac:dyDescent="0.25">
      <c r="L891036" s="472"/>
      <c r="M891036" s="472"/>
    </row>
    <row r="891037" spans="12:13" x14ac:dyDescent="0.25">
      <c r="L891037" s="472"/>
      <c r="M891037" s="472"/>
    </row>
    <row r="891109" spans="12:13" x14ac:dyDescent="0.25">
      <c r="L891109" s="472"/>
      <c r="M891109" s="472"/>
    </row>
    <row r="891110" spans="12:13" x14ac:dyDescent="0.25">
      <c r="L891110" s="472"/>
      <c r="M891110" s="472"/>
    </row>
    <row r="891111" spans="12:13" x14ac:dyDescent="0.25">
      <c r="L891111" s="472"/>
      <c r="M891111" s="472"/>
    </row>
    <row r="891183" spans="12:13" x14ac:dyDescent="0.25">
      <c r="L891183" s="472"/>
      <c r="M891183" s="472"/>
    </row>
    <row r="891184" spans="12:13" x14ac:dyDescent="0.25">
      <c r="L891184" s="472"/>
      <c r="M891184" s="472"/>
    </row>
    <row r="891185" spans="12:13" x14ac:dyDescent="0.25">
      <c r="L891185" s="472"/>
      <c r="M891185" s="472"/>
    </row>
    <row r="891257" spans="12:13" x14ac:dyDescent="0.25">
      <c r="L891257" s="472"/>
      <c r="M891257" s="472"/>
    </row>
    <row r="891258" spans="12:13" x14ac:dyDescent="0.25">
      <c r="L891258" s="472"/>
      <c r="M891258" s="472"/>
    </row>
    <row r="891259" spans="12:13" x14ac:dyDescent="0.25">
      <c r="L891259" s="472"/>
      <c r="M891259" s="472"/>
    </row>
    <row r="891331" spans="12:13" x14ac:dyDescent="0.25">
      <c r="L891331" s="472"/>
      <c r="M891331" s="472"/>
    </row>
    <row r="891332" spans="12:13" x14ac:dyDescent="0.25">
      <c r="L891332" s="472"/>
      <c r="M891332" s="472"/>
    </row>
    <row r="891333" spans="12:13" x14ac:dyDescent="0.25">
      <c r="L891333" s="472"/>
      <c r="M891333" s="472"/>
    </row>
    <row r="891405" spans="12:13" x14ac:dyDescent="0.25">
      <c r="L891405" s="472"/>
      <c r="M891405" s="472"/>
    </row>
    <row r="891406" spans="12:13" x14ac:dyDescent="0.25">
      <c r="L891406" s="472"/>
      <c r="M891406" s="472"/>
    </row>
    <row r="891407" spans="12:13" x14ac:dyDescent="0.25">
      <c r="L891407" s="472"/>
      <c r="M891407" s="472"/>
    </row>
    <row r="891479" spans="12:13" x14ac:dyDescent="0.25">
      <c r="L891479" s="472"/>
      <c r="M891479" s="472"/>
    </row>
    <row r="891480" spans="12:13" x14ac:dyDescent="0.25">
      <c r="L891480" s="472"/>
      <c r="M891480" s="472"/>
    </row>
    <row r="891481" spans="12:13" x14ac:dyDescent="0.25">
      <c r="L891481" s="472"/>
      <c r="M891481" s="472"/>
    </row>
    <row r="891553" spans="12:13" x14ac:dyDescent="0.25">
      <c r="L891553" s="472"/>
      <c r="M891553" s="472"/>
    </row>
    <row r="891554" spans="12:13" x14ac:dyDescent="0.25">
      <c r="L891554" s="472"/>
      <c r="M891554" s="472"/>
    </row>
    <row r="891555" spans="12:13" x14ac:dyDescent="0.25">
      <c r="L891555" s="472"/>
      <c r="M891555" s="472"/>
    </row>
    <row r="891627" spans="12:13" x14ac:dyDescent="0.25">
      <c r="L891627" s="472"/>
      <c r="M891627" s="472"/>
    </row>
    <row r="891628" spans="12:13" x14ac:dyDescent="0.25">
      <c r="L891628" s="472"/>
      <c r="M891628" s="472"/>
    </row>
    <row r="891629" spans="12:13" x14ac:dyDescent="0.25">
      <c r="L891629" s="472"/>
      <c r="M891629" s="472"/>
    </row>
    <row r="891701" spans="12:13" x14ac:dyDescent="0.25">
      <c r="L891701" s="472"/>
      <c r="M891701" s="472"/>
    </row>
    <row r="891702" spans="12:13" x14ac:dyDescent="0.25">
      <c r="L891702" s="472"/>
      <c r="M891702" s="472"/>
    </row>
    <row r="891703" spans="12:13" x14ac:dyDescent="0.25">
      <c r="L891703" s="472"/>
      <c r="M891703" s="472"/>
    </row>
    <row r="891775" spans="12:13" x14ac:dyDescent="0.25">
      <c r="L891775" s="472"/>
      <c r="M891775" s="472"/>
    </row>
    <row r="891776" spans="12:13" x14ac:dyDescent="0.25">
      <c r="L891776" s="472"/>
      <c r="M891776" s="472"/>
    </row>
    <row r="891777" spans="12:13" x14ac:dyDescent="0.25">
      <c r="L891777" s="472"/>
      <c r="M891777" s="472"/>
    </row>
    <row r="891849" spans="12:13" x14ac:dyDescent="0.25">
      <c r="L891849" s="472"/>
      <c r="M891849" s="472"/>
    </row>
    <row r="891850" spans="12:13" x14ac:dyDescent="0.25">
      <c r="L891850" s="472"/>
      <c r="M891850" s="472"/>
    </row>
    <row r="891851" spans="12:13" x14ac:dyDescent="0.25">
      <c r="L891851" s="472"/>
      <c r="M891851" s="472"/>
    </row>
    <row r="891923" spans="12:13" x14ac:dyDescent="0.25">
      <c r="L891923" s="472"/>
      <c r="M891923" s="472"/>
    </row>
    <row r="891924" spans="12:13" x14ac:dyDescent="0.25">
      <c r="L891924" s="472"/>
      <c r="M891924" s="472"/>
    </row>
    <row r="891925" spans="12:13" x14ac:dyDescent="0.25">
      <c r="L891925" s="472"/>
      <c r="M891925" s="472"/>
    </row>
    <row r="891997" spans="12:13" x14ac:dyDescent="0.25">
      <c r="L891997" s="472"/>
      <c r="M891997" s="472"/>
    </row>
    <row r="891998" spans="12:13" x14ac:dyDescent="0.25">
      <c r="L891998" s="472"/>
      <c r="M891998" s="472"/>
    </row>
    <row r="891999" spans="12:13" x14ac:dyDescent="0.25">
      <c r="L891999" s="472"/>
      <c r="M891999" s="472"/>
    </row>
    <row r="892071" spans="12:13" x14ac:dyDescent="0.25">
      <c r="L892071" s="472"/>
      <c r="M892071" s="472"/>
    </row>
    <row r="892072" spans="12:13" x14ac:dyDescent="0.25">
      <c r="L892072" s="472"/>
      <c r="M892072" s="472"/>
    </row>
    <row r="892073" spans="12:13" x14ac:dyDescent="0.25">
      <c r="L892073" s="472"/>
      <c r="M892073" s="472"/>
    </row>
    <row r="892145" spans="12:13" x14ac:dyDescent="0.25">
      <c r="L892145" s="472"/>
      <c r="M892145" s="472"/>
    </row>
    <row r="892146" spans="12:13" x14ac:dyDescent="0.25">
      <c r="L892146" s="472"/>
      <c r="M892146" s="472"/>
    </row>
    <row r="892147" spans="12:13" x14ac:dyDescent="0.25">
      <c r="L892147" s="472"/>
      <c r="M892147" s="472"/>
    </row>
    <row r="892219" spans="12:13" x14ac:dyDescent="0.25">
      <c r="L892219" s="472"/>
      <c r="M892219" s="472"/>
    </row>
    <row r="892220" spans="12:13" x14ac:dyDescent="0.25">
      <c r="L892220" s="472"/>
      <c r="M892220" s="472"/>
    </row>
    <row r="892221" spans="12:13" x14ac:dyDescent="0.25">
      <c r="L892221" s="472"/>
      <c r="M892221" s="472"/>
    </row>
    <row r="892293" spans="12:13" x14ac:dyDescent="0.25">
      <c r="L892293" s="472"/>
      <c r="M892293" s="472"/>
    </row>
    <row r="892294" spans="12:13" x14ac:dyDescent="0.25">
      <c r="L892294" s="472"/>
      <c r="M892294" s="472"/>
    </row>
    <row r="892295" spans="12:13" x14ac:dyDescent="0.25">
      <c r="L892295" s="472"/>
      <c r="M892295" s="472"/>
    </row>
    <row r="892367" spans="12:13" x14ac:dyDescent="0.25">
      <c r="L892367" s="472"/>
      <c r="M892367" s="472"/>
    </row>
    <row r="892368" spans="12:13" x14ac:dyDescent="0.25">
      <c r="L892368" s="472"/>
      <c r="M892368" s="472"/>
    </row>
    <row r="892369" spans="12:13" x14ac:dyDescent="0.25">
      <c r="L892369" s="472"/>
      <c r="M892369" s="472"/>
    </row>
    <row r="892441" spans="12:13" x14ac:dyDescent="0.25">
      <c r="L892441" s="472"/>
      <c r="M892441" s="472"/>
    </row>
    <row r="892442" spans="12:13" x14ac:dyDescent="0.25">
      <c r="L892442" s="472"/>
      <c r="M892442" s="472"/>
    </row>
    <row r="892443" spans="12:13" x14ac:dyDescent="0.25">
      <c r="L892443" s="472"/>
      <c r="M892443" s="472"/>
    </row>
    <row r="892515" spans="12:13" x14ac:dyDescent="0.25">
      <c r="L892515" s="472"/>
      <c r="M892515" s="472"/>
    </row>
    <row r="892516" spans="12:13" x14ac:dyDescent="0.25">
      <c r="L892516" s="472"/>
      <c r="M892516" s="472"/>
    </row>
    <row r="892517" spans="12:13" x14ac:dyDescent="0.25">
      <c r="L892517" s="472"/>
      <c r="M892517" s="472"/>
    </row>
    <row r="892589" spans="12:13" x14ac:dyDescent="0.25">
      <c r="L892589" s="472"/>
      <c r="M892589" s="472"/>
    </row>
    <row r="892590" spans="12:13" x14ac:dyDescent="0.25">
      <c r="L892590" s="472"/>
      <c r="M892590" s="472"/>
    </row>
    <row r="892591" spans="12:13" x14ac:dyDescent="0.25">
      <c r="L892591" s="472"/>
      <c r="M892591" s="472"/>
    </row>
    <row r="892663" spans="12:13" x14ac:dyDescent="0.25">
      <c r="L892663" s="472"/>
      <c r="M892663" s="472"/>
    </row>
    <row r="892664" spans="12:13" x14ac:dyDescent="0.25">
      <c r="L892664" s="472"/>
      <c r="M892664" s="472"/>
    </row>
    <row r="892665" spans="12:13" x14ac:dyDescent="0.25">
      <c r="L892665" s="472"/>
      <c r="M892665" s="472"/>
    </row>
    <row r="892737" spans="12:13" x14ac:dyDescent="0.25">
      <c r="L892737" s="472"/>
      <c r="M892737" s="472"/>
    </row>
    <row r="892738" spans="12:13" x14ac:dyDescent="0.25">
      <c r="L892738" s="472"/>
      <c r="M892738" s="472"/>
    </row>
    <row r="892739" spans="12:13" x14ac:dyDescent="0.25">
      <c r="L892739" s="472"/>
      <c r="M892739" s="472"/>
    </row>
    <row r="892811" spans="12:13" x14ac:dyDescent="0.25">
      <c r="L892811" s="472"/>
      <c r="M892811" s="472"/>
    </row>
    <row r="892812" spans="12:13" x14ac:dyDescent="0.25">
      <c r="L892812" s="472"/>
      <c r="M892812" s="472"/>
    </row>
    <row r="892813" spans="12:13" x14ac:dyDescent="0.25">
      <c r="L892813" s="472"/>
      <c r="M892813" s="472"/>
    </row>
    <row r="892885" spans="12:13" x14ac:dyDescent="0.25">
      <c r="L892885" s="472"/>
      <c r="M892885" s="472"/>
    </row>
    <row r="892886" spans="12:13" x14ac:dyDescent="0.25">
      <c r="L892886" s="472"/>
      <c r="M892886" s="472"/>
    </row>
    <row r="892887" spans="12:13" x14ac:dyDescent="0.25">
      <c r="L892887" s="472"/>
      <c r="M892887" s="472"/>
    </row>
    <row r="892959" spans="12:13" x14ac:dyDescent="0.25">
      <c r="L892959" s="472"/>
      <c r="M892959" s="472"/>
    </row>
    <row r="892960" spans="12:13" x14ac:dyDescent="0.25">
      <c r="L892960" s="472"/>
      <c r="M892960" s="472"/>
    </row>
    <row r="892961" spans="12:13" x14ac:dyDescent="0.25">
      <c r="L892961" s="472"/>
      <c r="M892961" s="472"/>
    </row>
    <row r="893033" spans="12:13" x14ac:dyDescent="0.25">
      <c r="L893033" s="472"/>
      <c r="M893033" s="472"/>
    </row>
    <row r="893034" spans="12:13" x14ac:dyDescent="0.25">
      <c r="L893034" s="472"/>
      <c r="M893034" s="472"/>
    </row>
    <row r="893035" spans="12:13" x14ac:dyDescent="0.25">
      <c r="L893035" s="472"/>
      <c r="M893035" s="472"/>
    </row>
    <row r="893107" spans="12:13" x14ac:dyDescent="0.25">
      <c r="L893107" s="472"/>
      <c r="M893107" s="472"/>
    </row>
    <row r="893108" spans="12:13" x14ac:dyDescent="0.25">
      <c r="L893108" s="472"/>
      <c r="M893108" s="472"/>
    </row>
    <row r="893109" spans="12:13" x14ac:dyDescent="0.25">
      <c r="L893109" s="472"/>
      <c r="M893109" s="472"/>
    </row>
    <row r="893181" spans="12:13" x14ac:dyDescent="0.25">
      <c r="L893181" s="472"/>
      <c r="M893181" s="472"/>
    </row>
    <row r="893182" spans="12:13" x14ac:dyDescent="0.25">
      <c r="L893182" s="472"/>
      <c r="M893182" s="472"/>
    </row>
    <row r="893183" spans="12:13" x14ac:dyDescent="0.25">
      <c r="L893183" s="472"/>
      <c r="M893183" s="472"/>
    </row>
    <row r="893255" spans="12:13" x14ac:dyDescent="0.25">
      <c r="L893255" s="472"/>
      <c r="M893255" s="472"/>
    </row>
    <row r="893256" spans="12:13" x14ac:dyDescent="0.25">
      <c r="L893256" s="472"/>
      <c r="M893256" s="472"/>
    </row>
    <row r="893257" spans="12:13" x14ac:dyDescent="0.25">
      <c r="L893257" s="472"/>
      <c r="M893257" s="472"/>
    </row>
    <row r="893329" spans="12:13" x14ac:dyDescent="0.25">
      <c r="L893329" s="472"/>
      <c r="M893329" s="472"/>
    </row>
    <row r="893330" spans="12:13" x14ac:dyDescent="0.25">
      <c r="L893330" s="472"/>
      <c r="M893330" s="472"/>
    </row>
    <row r="893331" spans="12:13" x14ac:dyDescent="0.25">
      <c r="L893331" s="472"/>
      <c r="M893331" s="472"/>
    </row>
    <row r="893403" spans="12:13" x14ac:dyDescent="0.25">
      <c r="L893403" s="472"/>
      <c r="M893403" s="472"/>
    </row>
    <row r="893404" spans="12:13" x14ac:dyDescent="0.25">
      <c r="L893404" s="472"/>
      <c r="M893404" s="472"/>
    </row>
    <row r="893405" spans="12:13" x14ac:dyDescent="0.25">
      <c r="L893405" s="472"/>
      <c r="M893405" s="472"/>
    </row>
    <row r="893477" spans="12:13" x14ac:dyDescent="0.25">
      <c r="L893477" s="472"/>
      <c r="M893477" s="472"/>
    </row>
    <row r="893478" spans="12:13" x14ac:dyDescent="0.25">
      <c r="L893478" s="472"/>
      <c r="M893478" s="472"/>
    </row>
    <row r="893479" spans="12:13" x14ac:dyDescent="0.25">
      <c r="L893479" s="472"/>
      <c r="M893479" s="472"/>
    </row>
    <row r="893551" spans="12:13" x14ac:dyDescent="0.25">
      <c r="L893551" s="472"/>
      <c r="M893551" s="472"/>
    </row>
    <row r="893552" spans="12:13" x14ac:dyDescent="0.25">
      <c r="L893552" s="472"/>
      <c r="M893552" s="472"/>
    </row>
    <row r="893553" spans="12:13" x14ac:dyDescent="0.25">
      <c r="L893553" s="472"/>
      <c r="M893553" s="472"/>
    </row>
    <row r="893625" spans="12:13" x14ac:dyDescent="0.25">
      <c r="L893625" s="472"/>
      <c r="M893625" s="472"/>
    </row>
    <row r="893626" spans="12:13" x14ac:dyDescent="0.25">
      <c r="L893626" s="472"/>
      <c r="M893626" s="472"/>
    </row>
    <row r="893627" spans="12:13" x14ac:dyDescent="0.25">
      <c r="L893627" s="472"/>
      <c r="M893627" s="472"/>
    </row>
    <row r="893699" spans="12:13" x14ac:dyDescent="0.25">
      <c r="L893699" s="472"/>
      <c r="M893699" s="472"/>
    </row>
    <row r="893700" spans="12:13" x14ac:dyDescent="0.25">
      <c r="L893700" s="472"/>
      <c r="M893700" s="472"/>
    </row>
    <row r="893701" spans="12:13" x14ac:dyDescent="0.25">
      <c r="L893701" s="472"/>
      <c r="M893701" s="472"/>
    </row>
    <row r="893773" spans="12:13" x14ac:dyDescent="0.25">
      <c r="L893773" s="472"/>
      <c r="M893773" s="472"/>
    </row>
    <row r="893774" spans="12:13" x14ac:dyDescent="0.25">
      <c r="L893774" s="472"/>
      <c r="M893774" s="472"/>
    </row>
    <row r="893775" spans="12:13" x14ac:dyDescent="0.25">
      <c r="L893775" s="472"/>
      <c r="M893775" s="472"/>
    </row>
    <row r="893847" spans="12:13" x14ac:dyDescent="0.25">
      <c r="L893847" s="472"/>
      <c r="M893847" s="472"/>
    </row>
    <row r="893848" spans="12:13" x14ac:dyDescent="0.25">
      <c r="L893848" s="472"/>
      <c r="M893848" s="472"/>
    </row>
    <row r="893849" spans="12:13" x14ac:dyDescent="0.25">
      <c r="L893849" s="472"/>
      <c r="M893849" s="472"/>
    </row>
    <row r="893921" spans="12:13" x14ac:dyDescent="0.25">
      <c r="L893921" s="472"/>
      <c r="M893921" s="472"/>
    </row>
    <row r="893922" spans="12:13" x14ac:dyDescent="0.25">
      <c r="L893922" s="472"/>
      <c r="M893922" s="472"/>
    </row>
    <row r="893923" spans="12:13" x14ac:dyDescent="0.25">
      <c r="L893923" s="472"/>
      <c r="M893923" s="472"/>
    </row>
    <row r="893995" spans="12:13" x14ac:dyDescent="0.25">
      <c r="L893995" s="472"/>
      <c r="M893995" s="472"/>
    </row>
    <row r="893996" spans="12:13" x14ac:dyDescent="0.25">
      <c r="L893996" s="472"/>
      <c r="M893996" s="472"/>
    </row>
    <row r="893997" spans="12:13" x14ac:dyDescent="0.25">
      <c r="L893997" s="472"/>
      <c r="M893997" s="472"/>
    </row>
    <row r="894069" spans="12:13" x14ac:dyDescent="0.25">
      <c r="L894069" s="472"/>
      <c r="M894069" s="472"/>
    </row>
    <row r="894070" spans="12:13" x14ac:dyDescent="0.25">
      <c r="L894070" s="472"/>
      <c r="M894070" s="472"/>
    </row>
    <row r="894071" spans="12:13" x14ac:dyDescent="0.25">
      <c r="L894071" s="472"/>
      <c r="M894071" s="472"/>
    </row>
    <row r="894143" spans="12:13" x14ac:dyDescent="0.25">
      <c r="L894143" s="472"/>
      <c r="M894143" s="472"/>
    </row>
    <row r="894144" spans="12:13" x14ac:dyDescent="0.25">
      <c r="L894144" s="472"/>
      <c r="M894144" s="472"/>
    </row>
    <row r="894145" spans="12:13" x14ac:dyDescent="0.25">
      <c r="L894145" s="472"/>
      <c r="M894145" s="472"/>
    </row>
    <row r="894217" spans="12:13" x14ac:dyDescent="0.25">
      <c r="L894217" s="472"/>
      <c r="M894217" s="472"/>
    </row>
    <row r="894218" spans="12:13" x14ac:dyDescent="0.25">
      <c r="L894218" s="472"/>
      <c r="M894218" s="472"/>
    </row>
    <row r="894219" spans="12:13" x14ac:dyDescent="0.25">
      <c r="L894219" s="472"/>
      <c r="M894219" s="472"/>
    </row>
    <row r="894291" spans="12:13" x14ac:dyDescent="0.25">
      <c r="L894291" s="472"/>
      <c r="M894291" s="472"/>
    </row>
    <row r="894292" spans="12:13" x14ac:dyDescent="0.25">
      <c r="L894292" s="472"/>
      <c r="M894292" s="472"/>
    </row>
    <row r="894293" spans="12:13" x14ac:dyDescent="0.25">
      <c r="L894293" s="472"/>
      <c r="M894293" s="472"/>
    </row>
    <row r="894365" spans="12:13" x14ac:dyDescent="0.25">
      <c r="L894365" s="472"/>
      <c r="M894365" s="472"/>
    </row>
    <row r="894366" spans="12:13" x14ac:dyDescent="0.25">
      <c r="L894366" s="472"/>
      <c r="M894366" s="472"/>
    </row>
    <row r="894367" spans="12:13" x14ac:dyDescent="0.25">
      <c r="L894367" s="472"/>
      <c r="M894367" s="472"/>
    </row>
    <row r="894439" spans="12:13" x14ac:dyDescent="0.25">
      <c r="L894439" s="472"/>
      <c r="M894439" s="472"/>
    </row>
    <row r="894440" spans="12:13" x14ac:dyDescent="0.25">
      <c r="L894440" s="472"/>
      <c r="M894440" s="472"/>
    </row>
    <row r="894441" spans="12:13" x14ac:dyDescent="0.25">
      <c r="L894441" s="472"/>
      <c r="M894441" s="472"/>
    </row>
    <row r="894513" spans="12:13" x14ac:dyDescent="0.25">
      <c r="L894513" s="472"/>
      <c r="M894513" s="472"/>
    </row>
    <row r="894514" spans="12:13" x14ac:dyDescent="0.25">
      <c r="L894514" s="472"/>
      <c r="M894514" s="472"/>
    </row>
    <row r="894515" spans="12:13" x14ac:dyDescent="0.25">
      <c r="L894515" s="472"/>
      <c r="M894515" s="472"/>
    </row>
    <row r="894587" spans="12:13" x14ac:dyDescent="0.25">
      <c r="L894587" s="472"/>
      <c r="M894587" s="472"/>
    </row>
    <row r="894588" spans="12:13" x14ac:dyDescent="0.25">
      <c r="L894588" s="472"/>
      <c r="M894588" s="472"/>
    </row>
    <row r="894589" spans="12:13" x14ac:dyDescent="0.25">
      <c r="L894589" s="472"/>
      <c r="M894589" s="472"/>
    </row>
    <row r="894661" spans="12:13" x14ac:dyDescent="0.25">
      <c r="L894661" s="472"/>
      <c r="M894661" s="472"/>
    </row>
    <row r="894662" spans="12:13" x14ac:dyDescent="0.25">
      <c r="L894662" s="472"/>
      <c r="M894662" s="472"/>
    </row>
    <row r="894663" spans="12:13" x14ac:dyDescent="0.25">
      <c r="L894663" s="472"/>
      <c r="M894663" s="472"/>
    </row>
    <row r="894735" spans="12:13" x14ac:dyDescent="0.25">
      <c r="L894735" s="472"/>
      <c r="M894735" s="472"/>
    </row>
    <row r="894736" spans="12:13" x14ac:dyDescent="0.25">
      <c r="L894736" s="472"/>
      <c r="M894736" s="472"/>
    </row>
    <row r="894737" spans="12:13" x14ac:dyDescent="0.25">
      <c r="L894737" s="472"/>
      <c r="M894737" s="472"/>
    </row>
    <row r="894809" spans="12:13" x14ac:dyDescent="0.25">
      <c r="L894809" s="472"/>
      <c r="M894809" s="472"/>
    </row>
    <row r="894810" spans="12:13" x14ac:dyDescent="0.25">
      <c r="L894810" s="472"/>
      <c r="M894810" s="472"/>
    </row>
    <row r="894811" spans="12:13" x14ac:dyDescent="0.25">
      <c r="L894811" s="472"/>
      <c r="M894811" s="472"/>
    </row>
    <row r="894883" spans="12:13" x14ac:dyDescent="0.25">
      <c r="L894883" s="472"/>
      <c r="M894883" s="472"/>
    </row>
    <row r="894884" spans="12:13" x14ac:dyDescent="0.25">
      <c r="L894884" s="472"/>
      <c r="M894884" s="472"/>
    </row>
    <row r="894885" spans="12:13" x14ac:dyDescent="0.25">
      <c r="L894885" s="472"/>
      <c r="M894885" s="472"/>
    </row>
    <row r="894957" spans="12:13" x14ac:dyDescent="0.25">
      <c r="L894957" s="472"/>
      <c r="M894957" s="472"/>
    </row>
    <row r="894958" spans="12:13" x14ac:dyDescent="0.25">
      <c r="L894958" s="472"/>
      <c r="M894958" s="472"/>
    </row>
    <row r="894959" spans="12:13" x14ac:dyDescent="0.25">
      <c r="L894959" s="472"/>
      <c r="M894959" s="472"/>
    </row>
    <row r="895031" spans="12:13" x14ac:dyDescent="0.25">
      <c r="L895031" s="472"/>
      <c r="M895031" s="472"/>
    </row>
    <row r="895032" spans="12:13" x14ac:dyDescent="0.25">
      <c r="L895032" s="472"/>
      <c r="M895032" s="472"/>
    </row>
    <row r="895033" spans="12:13" x14ac:dyDescent="0.25">
      <c r="L895033" s="472"/>
      <c r="M895033" s="472"/>
    </row>
    <row r="895105" spans="12:13" x14ac:dyDescent="0.25">
      <c r="L895105" s="472"/>
      <c r="M895105" s="472"/>
    </row>
    <row r="895106" spans="12:13" x14ac:dyDescent="0.25">
      <c r="L895106" s="472"/>
      <c r="M895106" s="472"/>
    </row>
    <row r="895107" spans="12:13" x14ac:dyDescent="0.25">
      <c r="L895107" s="472"/>
      <c r="M895107" s="472"/>
    </row>
    <row r="895179" spans="12:13" x14ac:dyDescent="0.25">
      <c r="L895179" s="472"/>
      <c r="M895179" s="472"/>
    </row>
    <row r="895180" spans="12:13" x14ac:dyDescent="0.25">
      <c r="L895180" s="472"/>
      <c r="M895180" s="472"/>
    </row>
    <row r="895181" spans="12:13" x14ac:dyDescent="0.25">
      <c r="L895181" s="472"/>
      <c r="M895181" s="472"/>
    </row>
    <row r="895253" spans="12:13" x14ac:dyDescent="0.25">
      <c r="L895253" s="472"/>
      <c r="M895253" s="472"/>
    </row>
    <row r="895254" spans="12:13" x14ac:dyDescent="0.25">
      <c r="L895254" s="472"/>
      <c r="M895254" s="472"/>
    </row>
    <row r="895255" spans="12:13" x14ac:dyDescent="0.25">
      <c r="L895255" s="472"/>
      <c r="M895255" s="472"/>
    </row>
    <row r="895327" spans="12:13" x14ac:dyDescent="0.25">
      <c r="L895327" s="472"/>
      <c r="M895327" s="472"/>
    </row>
    <row r="895328" spans="12:13" x14ac:dyDescent="0.25">
      <c r="L895328" s="472"/>
      <c r="M895328" s="472"/>
    </row>
    <row r="895329" spans="12:13" x14ac:dyDescent="0.25">
      <c r="L895329" s="472"/>
      <c r="M895329" s="472"/>
    </row>
    <row r="895401" spans="12:13" x14ac:dyDescent="0.25">
      <c r="L895401" s="472"/>
      <c r="M895401" s="472"/>
    </row>
    <row r="895402" spans="12:13" x14ac:dyDescent="0.25">
      <c r="L895402" s="472"/>
      <c r="M895402" s="472"/>
    </row>
    <row r="895403" spans="12:13" x14ac:dyDescent="0.25">
      <c r="L895403" s="472"/>
      <c r="M895403" s="472"/>
    </row>
    <row r="895475" spans="12:13" x14ac:dyDescent="0.25">
      <c r="L895475" s="472"/>
      <c r="M895475" s="472"/>
    </row>
    <row r="895476" spans="12:13" x14ac:dyDescent="0.25">
      <c r="L895476" s="472"/>
      <c r="M895476" s="472"/>
    </row>
    <row r="895477" spans="12:13" x14ac:dyDescent="0.25">
      <c r="L895477" s="472"/>
      <c r="M895477" s="472"/>
    </row>
    <row r="895549" spans="12:13" x14ac:dyDescent="0.25">
      <c r="L895549" s="472"/>
      <c r="M895549" s="472"/>
    </row>
    <row r="895550" spans="12:13" x14ac:dyDescent="0.25">
      <c r="L895550" s="472"/>
      <c r="M895550" s="472"/>
    </row>
    <row r="895551" spans="12:13" x14ac:dyDescent="0.25">
      <c r="L895551" s="472"/>
      <c r="M895551" s="472"/>
    </row>
    <row r="895623" spans="12:13" x14ac:dyDescent="0.25">
      <c r="L895623" s="472"/>
      <c r="M895623" s="472"/>
    </row>
    <row r="895624" spans="12:13" x14ac:dyDescent="0.25">
      <c r="L895624" s="472"/>
      <c r="M895624" s="472"/>
    </row>
    <row r="895625" spans="12:13" x14ac:dyDescent="0.25">
      <c r="L895625" s="472"/>
      <c r="M895625" s="472"/>
    </row>
    <row r="895697" spans="12:13" x14ac:dyDescent="0.25">
      <c r="L895697" s="472"/>
      <c r="M895697" s="472"/>
    </row>
    <row r="895698" spans="12:13" x14ac:dyDescent="0.25">
      <c r="L895698" s="472"/>
      <c r="M895698" s="472"/>
    </row>
    <row r="895699" spans="12:13" x14ac:dyDescent="0.25">
      <c r="L895699" s="472"/>
      <c r="M895699" s="472"/>
    </row>
    <row r="895771" spans="12:13" x14ac:dyDescent="0.25">
      <c r="L895771" s="472"/>
      <c r="M895771" s="472"/>
    </row>
    <row r="895772" spans="12:13" x14ac:dyDescent="0.25">
      <c r="L895772" s="472"/>
      <c r="M895772" s="472"/>
    </row>
    <row r="895773" spans="12:13" x14ac:dyDescent="0.25">
      <c r="L895773" s="472"/>
      <c r="M895773" s="472"/>
    </row>
    <row r="895845" spans="12:13" x14ac:dyDescent="0.25">
      <c r="L895845" s="472"/>
      <c r="M895845" s="472"/>
    </row>
    <row r="895846" spans="12:13" x14ac:dyDescent="0.25">
      <c r="L895846" s="472"/>
      <c r="M895846" s="472"/>
    </row>
    <row r="895847" spans="12:13" x14ac:dyDescent="0.25">
      <c r="L895847" s="472"/>
      <c r="M895847" s="472"/>
    </row>
    <row r="895919" spans="12:13" x14ac:dyDescent="0.25">
      <c r="L895919" s="472"/>
      <c r="M895919" s="472"/>
    </row>
    <row r="895920" spans="12:13" x14ac:dyDescent="0.25">
      <c r="L895920" s="472"/>
      <c r="M895920" s="472"/>
    </row>
    <row r="895921" spans="12:13" x14ac:dyDescent="0.25">
      <c r="L895921" s="472"/>
      <c r="M895921" s="472"/>
    </row>
    <row r="895993" spans="12:13" x14ac:dyDescent="0.25">
      <c r="L895993" s="472"/>
      <c r="M895993" s="472"/>
    </row>
    <row r="895994" spans="12:13" x14ac:dyDescent="0.25">
      <c r="L895994" s="472"/>
      <c r="M895994" s="472"/>
    </row>
    <row r="895995" spans="12:13" x14ac:dyDescent="0.25">
      <c r="L895995" s="472"/>
      <c r="M895995" s="472"/>
    </row>
    <row r="896067" spans="12:13" x14ac:dyDescent="0.25">
      <c r="L896067" s="472"/>
      <c r="M896067" s="472"/>
    </row>
    <row r="896068" spans="12:13" x14ac:dyDescent="0.25">
      <c r="L896068" s="472"/>
      <c r="M896068" s="472"/>
    </row>
    <row r="896069" spans="12:13" x14ac:dyDescent="0.25">
      <c r="L896069" s="472"/>
      <c r="M896069" s="472"/>
    </row>
    <row r="896141" spans="12:13" x14ac:dyDescent="0.25">
      <c r="L896141" s="472"/>
      <c r="M896141" s="472"/>
    </row>
    <row r="896142" spans="12:13" x14ac:dyDescent="0.25">
      <c r="L896142" s="472"/>
      <c r="M896142" s="472"/>
    </row>
    <row r="896143" spans="12:13" x14ac:dyDescent="0.25">
      <c r="L896143" s="472"/>
      <c r="M896143" s="472"/>
    </row>
    <row r="896215" spans="12:13" x14ac:dyDescent="0.25">
      <c r="L896215" s="472"/>
      <c r="M896215" s="472"/>
    </row>
    <row r="896216" spans="12:13" x14ac:dyDescent="0.25">
      <c r="L896216" s="472"/>
      <c r="M896216" s="472"/>
    </row>
    <row r="896217" spans="12:13" x14ac:dyDescent="0.25">
      <c r="L896217" s="472"/>
      <c r="M896217" s="472"/>
    </row>
    <row r="896289" spans="12:13" x14ac:dyDescent="0.25">
      <c r="L896289" s="472"/>
      <c r="M896289" s="472"/>
    </row>
    <row r="896290" spans="12:13" x14ac:dyDescent="0.25">
      <c r="L896290" s="472"/>
      <c r="M896290" s="472"/>
    </row>
    <row r="896291" spans="12:13" x14ac:dyDescent="0.25">
      <c r="L896291" s="472"/>
      <c r="M896291" s="472"/>
    </row>
    <row r="896363" spans="12:13" x14ac:dyDescent="0.25">
      <c r="L896363" s="472"/>
      <c r="M896363" s="472"/>
    </row>
    <row r="896364" spans="12:13" x14ac:dyDescent="0.25">
      <c r="L896364" s="472"/>
      <c r="M896364" s="472"/>
    </row>
    <row r="896365" spans="12:13" x14ac:dyDescent="0.25">
      <c r="L896365" s="472"/>
      <c r="M896365" s="472"/>
    </row>
    <row r="896437" spans="12:13" x14ac:dyDescent="0.25">
      <c r="L896437" s="472"/>
      <c r="M896437" s="472"/>
    </row>
    <row r="896438" spans="12:13" x14ac:dyDescent="0.25">
      <c r="L896438" s="472"/>
      <c r="M896438" s="472"/>
    </row>
    <row r="896439" spans="12:13" x14ac:dyDescent="0.25">
      <c r="L896439" s="472"/>
      <c r="M896439" s="472"/>
    </row>
    <row r="896511" spans="12:13" x14ac:dyDescent="0.25">
      <c r="L896511" s="472"/>
      <c r="M896511" s="472"/>
    </row>
    <row r="896512" spans="12:13" x14ac:dyDescent="0.25">
      <c r="L896512" s="472"/>
      <c r="M896512" s="472"/>
    </row>
    <row r="896513" spans="12:13" x14ac:dyDescent="0.25">
      <c r="L896513" s="472"/>
      <c r="M896513" s="472"/>
    </row>
    <row r="896585" spans="12:13" x14ac:dyDescent="0.25">
      <c r="L896585" s="472"/>
      <c r="M896585" s="472"/>
    </row>
    <row r="896586" spans="12:13" x14ac:dyDescent="0.25">
      <c r="L896586" s="472"/>
      <c r="M896586" s="472"/>
    </row>
    <row r="896587" spans="12:13" x14ac:dyDescent="0.25">
      <c r="L896587" s="472"/>
      <c r="M896587" s="472"/>
    </row>
    <row r="896659" spans="12:13" x14ac:dyDescent="0.25">
      <c r="L896659" s="472"/>
      <c r="M896659" s="472"/>
    </row>
    <row r="896660" spans="12:13" x14ac:dyDescent="0.25">
      <c r="L896660" s="472"/>
      <c r="M896660" s="472"/>
    </row>
    <row r="896661" spans="12:13" x14ac:dyDescent="0.25">
      <c r="L896661" s="472"/>
      <c r="M896661" s="472"/>
    </row>
    <row r="896733" spans="12:13" x14ac:dyDescent="0.25">
      <c r="L896733" s="472"/>
      <c r="M896733" s="472"/>
    </row>
    <row r="896734" spans="12:13" x14ac:dyDescent="0.25">
      <c r="L896734" s="472"/>
      <c r="M896734" s="472"/>
    </row>
    <row r="896735" spans="12:13" x14ac:dyDescent="0.25">
      <c r="L896735" s="472"/>
      <c r="M896735" s="472"/>
    </row>
    <row r="896807" spans="12:13" x14ac:dyDescent="0.25">
      <c r="L896807" s="472"/>
      <c r="M896807" s="472"/>
    </row>
    <row r="896808" spans="12:13" x14ac:dyDescent="0.25">
      <c r="L896808" s="472"/>
      <c r="M896808" s="472"/>
    </row>
    <row r="896809" spans="12:13" x14ac:dyDescent="0.25">
      <c r="L896809" s="472"/>
      <c r="M896809" s="472"/>
    </row>
    <row r="896881" spans="12:13" x14ac:dyDescent="0.25">
      <c r="L896881" s="472"/>
      <c r="M896881" s="472"/>
    </row>
    <row r="896882" spans="12:13" x14ac:dyDescent="0.25">
      <c r="L896882" s="472"/>
      <c r="M896882" s="472"/>
    </row>
    <row r="896883" spans="12:13" x14ac:dyDescent="0.25">
      <c r="L896883" s="472"/>
      <c r="M896883" s="472"/>
    </row>
    <row r="896955" spans="12:13" x14ac:dyDescent="0.25">
      <c r="L896955" s="472"/>
      <c r="M896955" s="472"/>
    </row>
    <row r="896956" spans="12:13" x14ac:dyDescent="0.25">
      <c r="L896956" s="472"/>
      <c r="M896956" s="472"/>
    </row>
    <row r="896957" spans="12:13" x14ac:dyDescent="0.25">
      <c r="L896957" s="472"/>
      <c r="M896957" s="472"/>
    </row>
    <row r="897029" spans="12:13" x14ac:dyDescent="0.25">
      <c r="L897029" s="472"/>
      <c r="M897029" s="472"/>
    </row>
    <row r="897030" spans="12:13" x14ac:dyDescent="0.25">
      <c r="L897030" s="472"/>
      <c r="M897030" s="472"/>
    </row>
    <row r="897031" spans="12:13" x14ac:dyDescent="0.25">
      <c r="L897031" s="472"/>
      <c r="M897031" s="472"/>
    </row>
    <row r="897103" spans="12:13" x14ac:dyDescent="0.25">
      <c r="L897103" s="472"/>
      <c r="M897103" s="472"/>
    </row>
    <row r="897104" spans="12:13" x14ac:dyDescent="0.25">
      <c r="L897104" s="472"/>
      <c r="M897104" s="472"/>
    </row>
    <row r="897105" spans="12:13" x14ac:dyDescent="0.25">
      <c r="L897105" s="472"/>
      <c r="M897105" s="472"/>
    </row>
    <row r="897177" spans="12:13" x14ac:dyDescent="0.25">
      <c r="L897177" s="472"/>
      <c r="M897177" s="472"/>
    </row>
    <row r="897178" spans="12:13" x14ac:dyDescent="0.25">
      <c r="L897178" s="472"/>
      <c r="M897178" s="472"/>
    </row>
    <row r="897179" spans="12:13" x14ac:dyDescent="0.25">
      <c r="L897179" s="472"/>
      <c r="M897179" s="472"/>
    </row>
    <row r="897251" spans="12:13" x14ac:dyDescent="0.25">
      <c r="L897251" s="472"/>
      <c r="M897251" s="472"/>
    </row>
    <row r="897252" spans="12:13" x14ac:dyDescent="0.25">
      <c r="L897252" s="472"/>
      <c r="M897252" s="472"/>
    </row>
    <row r="897253" spans="12:13" x14ac:dyDescent="0.25">
      <c r="L897253" s="472"/>
      <c r="M897253" s="472"/>
    </row>
    <row r="897325" spans="12:13" x14ac:dyDescent="0.25">
      <c r="L897325" s="472"/>
      <c r="M897325" s="472"/>
    </row>
    <row r="897326" spans="12:13" x14ac:dyDescent="0.25">
      <c r="L897326" s="472"/>
      <c r="M897326" s="472"/>
    </row>
    <row r="897327" spans="12:13" x14ac:dyDescent="0.25">
      <c r="L897327" s="472"/>
      <c r="M897327" s="472"/>
    </row>
    <row r="897399" spans="12:13" x14ac:dyDescent="0.25">
      <c r="L897399" s="472"/>
      <c r="M897399" s="472"/>
    </row>
    <row r="897400" spans="12:13" x14ac:dyDescent="0.25">
      <c r="L897400" s="472"/>
      <c r="M897400" s="472"/>
    </row>
    <row r="897401" spans="12:13" x14ac:dyDescent="0.25">
      <c r="L897401" s="472"/>
      <c r="M897401" s="472"/>
    </row>
    <row r="897473" spans="12:13" x14ac:dyDescent="0.25">
      <c r="L897473" s="472"/>
      <c r="M897473" s="472"/>
    </row>
    <row r="897474" spans="12:13" x14ac:dyDescent="0.25">
      <c r="L897474" s="472"/>
      <c r="M897474" s="472"/>
    </row>
    <row r="897475" spans="12:13" x14ac:dyDescent="0.25">
      <c r="L897475" s="472"/>
      <c r="M897475" s="472"/>
    </row>
    <row r="897547" spans="12:13" x14ac:dyDescent="0.25">
      <c r="L897547" s="472"/>
      <c r="M897547" s="472"/>
    </row>
    <row r="897548" spans="12:13" x14ac:dyDescent="0.25">
      <c r="L897548" s="472"/>
      <c r="M897548" s="472"/>
    </row>
    <row r="897549" spans="12:13" x14ac:dyDescent="0.25">
      <c r="L897549" s="472"/>
      <c r="M897549" s="472"/>
    </row>
    <row r="897621" spans="12:13" x14ac:dyDescent="0.25">
      <c r="L897621" s="472"/>
      <c r="M897621" s="472"/>
    </row>
    <row r="897622" spans="12:13" x14ac:dyDescent="0.25">
      <c r="L897622" s="472"/>
      <c r="M897622" s="472"/>
    </row>
    <row r="897623" spans="12:13" x14ac:dyDescent="0.25">
      <c r="L897623" s="472"/>
      <c r="M897623" s="472"/>
    </row>
    <row r="897695" spans="12:13" x14ac:dyDescent="0.25">
      <c r="L897695" s="472"/>
      <c r="M897695" s="472"/>
    </row>
    <row r="897696" spans="12:13" x14ac:dyDescent="0.25">
      <c r="L897696" s="472"/>
      <c r="M897696" s="472"/>
    </row>
    <row r="897697" spans="12:13" x14ac:dyDescent="0.25">
      <c r="L897697" s="472"/>
      <c r="M897697" s="472"/>
    </row>
    <row r="897769" spans="12:13" x14ac:dyDescent="0.25">
      <c r="L897769" s="472"/>
      <c r="M897769" s="472"/>
    </row>
    <row r="897770" spans="12:13" x14ac:dyDescent="0.25">
      <c r="L897770" s="472"/>
      <c r="M897770" s="472"/>
    </row>
    <row r="897771" spans="12:13" x14ac:dyDescent="0.25">
      <c r="L897771" s="472"/>
      <c r="M897771" s="472"/>
    </row>
    <row r="897843" spans="12:13" x14ac:dyDescent="0.25">
      <c r="L897843" s="472"/>
      <c r="M897843" s="472"/>
    </row>
    <row r="897844" spans="12:13" x14ac:dyDescent="0.25">
      <c r="L897844" s="472"/>
      <c r="M897844" s="472"/>
    </row>
    <row r="897845" spans="12:13" x14ac:dyDescent="0.25">
      <c r="L897845" s="472"/>
      <c r="M897845" s="472"/>
    </row>
    <row r="897917" spans="12:13" x14ac:dyDescent="0.25">
      <c r="L897917" s="472"/>
      <c r="M897917" s="472"/>
    </row>
    <row r="897918" spans="12:13" x14ac:dyDescent="0.25">
      <c r="L897918" s="472"/>
      <c r="M897918" s="472"/>
    </row>
    <row r="897919" spans="12:13" x14ac:dyDescent="0.25">
      <c r="L897919" s="472"/>
      <c r="M897919" s="472"/>
    </row>
    <row r="897991" spans="12:13" x14ac:dyDescent="0.25">
      <c r="L897991" s="472"/>
      <c r="M897991" s="472"/>
    </row>
    <row r="897992" spans="12:13" x14ac:dyDescent="0.25">
      <c r="L897992" s="472"/>
      <c r="M897992" s="472"/>
    </row>
    <row r="897993" spans="12:13" x14ac:dyDescent="0.25">
      <c r="L897993" s="472"/>
      <c r="M897993" s="472"/>
    </row>
    <row r="898065" spans="12:13" x14ac:dyDescent="0.25">
      <c r="L898065" s="472"/>
      <c r="M898065" s="472"/>
    </row>
    <row r="898066" spans="12:13" x14ac:dyDescent="0.25">
      <c r="L898066" s="472"/>
      <c r="M898066" s="472"/>
    </row>
    <row r="898067" spans="12:13" x14ac:dyDescent="0.25">
      <c r="L898067" s="472"/>
      <c r="M898067" s="472"/>
    </row>
    <row r="898139" spans="12:13" x14ac:dyDescent="0.25">
      <c r="L898139" s="472"/>
      <c r="M898139" s="472"/>
    </row>
    <row r="898140" spans="12:13" x14ac:dyDescent="0.25">
      <c r="L898140" s="472"/>
      <c r="M898140" s="472"/>
    </row>
    <row r="898141" spans="12:13" x14ac:dyDescent="0.25">
      <c r="L898141" s="472"/>
      <c r="M898141" s="472"/>
    </row>
    <row r="898213" spans="12:13" x14ac:dyDescent="0.25">
      <c r="L898213" s="472"/>
      <c r="M898213" s="472"/>
    </row>
    <row r="898214" spans="12:13" x14ac:dyDescent="0.25">
      <c r="L898214" s="472"/>
      <c r="M898214" s="472"/>
    </row>
    <row r="898215" spans="12:13" x14ac:dyDescent="0.25">
      <c r="L898215" s="472"/>
      <c r="M898215" s="472"/>
    </row>
    <row r="898287" spans="12:13" x14ac:dyDescent="0.25">
      <c r="L898287" s="472"/>
      <c r="M898287" s="472"/>
    </row>
    <row r="898288" spans="12:13" x14ac:dyDescent="0.25">
      <c r="L898288" s="472"/>
      <c r="M898288" s="472"/>
    </row>
    <row r="898289" spans="12:13" x14ac:dyDescent="0.25">
      <c r="L898289" s="472"/>
      <c r="M898289" s="472"/>
    </row>
    <row r="898361" spans="12:13" x14ac:dyDescent="0.25">
      <c r="L898361" s="472"/>
      <c r="M898361" s="472"/>
    </row>
    <row r="898362" spans="12:13" x14ac:dyDescent="0.25">
      <c r="L898362" s="472"/>
      <c r="M898362" s="472"/>
    </row>
    <row r="898363" spans="12:13" x14ac:dyDescent="0.25">
      <c r="L898363" s="472"/>
      <c r="M898363" s="472"/>
    </row>
    <row r="898435" spans="12:13" x14ac:dyDescent="0.25">
      <c r="L898435" s="472"/>
      <c r="M898435" s="472"/>
    </row>
    <row r="898436" spans="12:13" x14ac:dyDescent="0.25">
      <c r="L898436" s="472"/>
      <c r="M898436" s="472"/>
    </row>
    <row r="898437" spans="12:13" x14ac:dyDescent="0.25">
      <c r="L898437" s="472"/>
      <c r="M898437" s="472"/>
    </row>
    <row r="898509" spans="12:13" x14ac:dyDescent="0.25">
      <c r="L898509" s="472"/>
      <c r="M898509" s="472"/>
    </row>
    <row r="898510" spans="12:13" x14ac:dyDescent="0.25">
      <c r="L898510" s="472"/>
      <c r="M898510" s="472"/>
    </row>
    <row r="898511" spans="12:13" x14ac:dyDescent="0.25">
      <c r="L898511" s="472"/>
      <c r="M898511" s="472"/>
    </row>
    <row r="898583" spans="12:13" x14ac:dyDescent="0.25">
      <c r="L898583" s="472"/>
      <c r="M898583" s="472"/>
    </row>
    <row r="898584" spans="12:13" x14ac:dyDescent="0.25">
      <c r="L898584" s="472"/>
      <c r="M898584" s="472"/>
    </row>
    <row r="898585" spans="12:13" x14ac:dyDescent="0.25">
      <c r="L898585" s="472"/>
      <c r="M898585" s="472"/>
    </row>
    <row r="898657" spans="12:13" x14ac:dyDescent="0.25">
      <c r="L898657" s="472"/>
      <c r="M898657" s="472"/>
    </row>
    <row r="898658" spans="12:13" x14ac:dyDescent="0.25">
      <c r="L898658" s="472"/>
      <c r="M898658" s="472"/>
    </row>
    <row r="898659" spans="12:13" x14ac:dyDescent="0.25">
      <c r="L898659" s="472"/>
      <c r="M898659" s="472"/>
    </row>
    <row r="898731" spans="12:13" x14ac:dyDescent="0.25">
      <c r="L898731" s="472"/>
      <c r="M898731" s="472"/>
    </row>
    <row r="898732" spans="12:13" x14ac:dyDescent="0.25">
      <c r="L898732" s="472"/>
      <c r="M898732" s="472"/>
    </row>
    <row r="898733" spans="12:13" x14ac:dyDescent="0.25">
      <c r="L898733" s="472"/>
      <c r="M898733" s="472"/>
    </row>
    <row r="898805" spans="12:13" x14ac:dyDescent="0.25">
      <c r="L898805" s="472"/>
      <c r="M898805" s="472"/>
    </row>
    <row r="898806" spans="12:13" x14ac:dyDescent="0.25">
      <c r="L898806" s="472"/>
      <c r="M898806" s="472"/>
    </row>
    <row r="898807" spans="12:13" x14ac:dyDescent="0.25">
      <c r="L898807" s="472"/>
      <c r="M898807" s="472"/>
    </row>
    <row r="898879" spans="12:13" x14ac:dyDescent="0.25">
      <c r="L898879" s="472"/>
      <c r="M898879" s="472"/>
    </row>
    <row r="898880" spans="12:13" x14ac:dyDescent="0.25">
      <c r="L898880" s="472"/>
      <c r="M898880" s="472"/>
    </row>
    <row r="898881" spans="12:13" x14ac:dyDescent="0.25">
      <c r="L898881" s="472"/>
      <c r="M898881" s="472"/>
    </row>
    <row r="898953" spans="12:13" x14ac:dyDescent="0.25">
      <c r="L898953" s="472"/>
      <c r="M898953" s="472"/>
    </row>
    <row r="898954" spans="12:13" x14ac:dyDescent="0.25">
      <c r="L898954" s="472"/>
      <c r="M898954" s="472"/>
    </row>
    <row r="898955" spans="12:13" x14ac:dyDescent="0.25">
      <c r="L898955" s="472"/>
      <c r="M898955" s="472"/>
    </row>
    <row r="899027" spans="12:13" x14ac:dyDescent="0.25">
      <c r="L899027" s="472"/>
      <c r="M899027" s="472"/>
    </row>
    <row r="899028" spans="12:13" x14ac:dyDescent="0.25">
      <c r="L899028" s="472"/>
      <c r="M899028" s="472"/>
    </row>
    <row r="899029" spans="12:13" x14ac:dyDescent="0.25">
      <c r="L899029" s="472"/>
      <c r="M899029" s="472"/>
    </row>
    <row r="899101" spans="12:13" x14ac:dyDescent="0.25">
      <c r="L899101" s="472"/>
      <c r="M899101" s="472"/>
    </row>
    <row r="899102" spans="12:13" x14ac:dyDescent="0.25">
      <c r="L899102" s="472"/>
      <c r="M899102" s="472"/>
    </row>
    <row r="899103" spans="12:13" x14ac:dyDescent="0.25">
      <c r="L899103" s="472"/>
      <c r="M899103" s="472"/>
    </row>
    <row r="899175" spans="12:13" x14ac:dyDescent="0.25">
      <c r="L899175" s="472"/>
      <c r="M899175" s="472"/>
    </row>
    <row r="899176" spans="12:13" x14ac:dyDescent="0.25">
      <c r="L899176" s="472"/>
      <c r="M899176" s="472"/>
    </row>
    <row r="899177" spans="12:13" x14ac:dyDescent="0.25">
      <c r="L899177" s="472"/>
      <c r="M899177" s="472"/>
    </row>
    <row r="899249" spans="12:13" x14ac:dyDescent="0.25">
      <c r="L899249" s="472"/>
      <c r="M899249" s="472"/>
    </row>
    <row r="899250" spans="12:13" x14ac:dyDescent="0.25">
      <c r="L899250" s="472"/>
      <c r="M899250" s="472"/>
    </row>
    <row r="899251" spans="12:13" x14ac:dyDescent="0.25">
      <c r="L899251" s="472"/>
      <c r="M899251" s="472"/>
    </row>
    <row r="899323" spans="12:13" x14ac:dyDescent="0.25">
      <c r="L899323" s="472"/>
      <c r="M899323" s="472"/>
    </row>
    <row r="899324" spans="12:13" x14ac:dyDescent="0.25">
      <c r="L899324" s="472"/>
      <c r="M899324" s="472"/>
    </row>
    <row r="899325" spans="12:13" x14ac:dyDescent="0.25">
      <c r="L899325" s="472"/>
      <c r="M899325" s="472"/>
    </row>
    <row r="899397" spans="12:13" x14ac:dyDescent="0.25">
      <c r="L899397" s="472"/>
      <c r="M899397" s="472"/>
    </row>
    <row r="899398" spans="12:13" x14ac:dyDescent="0.25">
      <c r="L899398" s="472"/>
      <c r="M899398" s="472"/>
    </row>
    <row r="899399" spans="12:13" x14ac:dyDescent="0.25">
      <c r="L899399" s="472"/>
      <c r="M899399" s="472"/>
    </row>
    <row r="899471" spans="12:13" x14ac:dyDescent="0.25">
      <c r="L899471" s="472"/>
      <c r="M899471" s="472"/>
    </row>
    <row r="899472" spans="12:13" x14ac:dyDescent="0.25">
      <c r="L899472" s="472"/>
      <c r="M899472" s="472"/>
    </row>
    <row r="899473" spans="12:13" x14ac:dyDescent="0.25">
      <c r="L899473" s="472"/>
      <c r="M899473" s="472"/>
    </row>
    <row r="899545" spans="12:13" x14ac:dyDescent="0.25">
      <c r="L899545" s="472"/>
      <c r="M899545" s="472"/>
    </row>
    <row r="899546" spans="12:13" x14ac:dyDescent="0.25">
      <c r="L899546" s="472"/>
      <c r="M899546" s="472"/>
    </row>
    <row r="899547" spans="12:13" x14ac:dyDescent="0.25">
      <c r="L899547" s="472"/>
      <c r="M899547" s="472"/>
    </row>
    <row r="899619" spans="12:13" x14ac:dyDescent="0.25">
      <c r="L899619" s="472"/>
      <c r="M899619" s="472"/>
    </row>
    <row r="899620" spans="12:13" x14ac:dyDescent="0.25">
      <c r="L899620" s="472"/>
      <c r="M899620" s="472"/>
    </row>
    <row r="899621" spans="12:13" x14ac:dyDescent="0.25">
      <c r="L899621" s="472"/>
      <c r="M899621" s="472"/>
    </row>
    <row r="899693" spans="12:13" x14ac:dyDescent="0.25">
      <c r="L899693" s="472"/>
      <c r="M899693" s="472"/>
    </row>
    <row r="899694" spans="12:13" x14ac:dyDescent="0.25">
      <c r="L899694" s="472"/>
      <c r="M899694" s="472"/>
    </row>
    <row r="899695" spans="12:13" x14ac:dyDescent="0.25">
      <c r="L899695" s="472"/>
      <c r="M899695" s="472"/>
    </row>
    <row r="899767" spans="12:13" x14ac:dyDescent="0.25">
      <c r="L899767" s="472"/>
      <c r="M899767" s="472"/>
    </row>
    <row r="899768" spans="12:13" x14ac:dyDescent="0.25">
      <c r="L899768" s="472"/>
      <c r="M899768" s="472"/>
    </row>
    <row r="899769" spans="12:13" x14ac:dyDescent="0.25">
      <c r="L899769" s="472"/>
      <c r="M899769" s="472"/>
    </row>
    <row r="899841" spans="12:13" x14ac:dyDescent="0.25">
      <c r="L899841" s="472"/>
      <c r="M899841" s="472"/>
    </row>
    <row r="899842" spans="12:13" x14ac:dyDescent="0.25">
      <c r="L899842" s="472"/>
      <c r="M899842" s="472"/>
    </row>
    <row r="899843" spans="12:13" x14ac:dyDescent="0.25">
      <c r="L899843" s="472"/>
      <c r="M899843" s="472"/>
    </row>
    <row r="899915" spans="12:13" x14ac:dyDescent="0.25">
      <c r="L899915" s="472"/>
      <c r="M899915" s="472"/>
    </row>
    <row r="899916" spans="12:13" x14ac:dyDescent="0.25">
      <c r="L899916" s="472"/>
      <c r="M899916" s="472"/>
    </row>
    <row r="899917" spans="12:13" x14ac:dyDescent="0.25">
      <c r="L899917" s="472"/>
      <c r="M899917" s="472"/>
    </row>
    <row r="899989" spans="12:13" x14ac:dyDescent="0.25">
      <c r="L899989" s="472"/>
      <c r="M899989" s="472"/>
    </row>
    <row r="899990" spans="12:13" x14ac:dyDescent="0.25">
      <c r="L899990" s="472"/>
      <c r="M899990" s="472"/>
    </row>
    <row r="899991" spans="12:13" x14ac:dyDescent="0.25">
      <c r="L899991" s="472"/>
      <c r="M899991" s="472"/>
    </row>
    <row r="900063" spans="12:13" x14ac:dyDescent="0.25">
      <c r="L900063" s="472"/>
      <c r="M900063" s="472"/>
    </row>
    <row r="900064" spans="12:13" x14ac:dyDescent="0.25">
      <c r="L900064" s="472"/>
      <c r="M900064" s="472"/>
    </row>
    <row r="900065" spans="12:13" x14ac:dyDescent="0.25">
      <c r="L900065" s="472"/>
      <c r="M900065" s="472"/>
    </row>
    <row r="900137" spans="12:13" x14ac:dyDescent="0.25">
      <c r="L900137" s="472"/>
      <c r="M900137" s="472"/>
    </row>
    <row r="900138" spans="12:13" x14ac:dyDescent="0.25">
      <c r="L900138" s="472"/>
      <c r="M900138" s="472"/>
    </row>
    <row r="900139" spans="12:13" x14ac:dyDescent="0.25">
      <c r="L900139" s="472"/>
      <c r="M900139" s="472"/>
    </row>
    <row r="900211" spans="12:13" x14ac:dyDescent="0.25">
      <c r="L900211" s="472"/>
      <c r="M900211" s="472"/>
    </row>
    <row r="900212" spans="12:13" x14ac:dyDescent="0.25">
      <c r="L900212" s="472"/>
      <c r="M900212" s="472"/>
    </row>
    <row r="900213" spans="12:13" x14ac:dyDescent="0.25">
      <c r="L900213" s="472"/>
      <c r="M900213" s="472"/>
    </row>
    <row r="900285" spans="12:13" x14ac:dyDescent="0.25">
      <c r="L900285" s="472"/>
      <c r="M900285" s="472"/>
    </row>
    <row r="900286" spans="12:13" x14ac:dyDescent="0.25">
      <c r="L900286" s="472"/>
      <c r="M900286" s="472"/>
    </row>
    <row r="900287" spans="12:13" x14ac:dyDescent="0.25">
      <c r="L900287" s="472"/>
      <c r="M900287" s="472"/>
    </row>
    <row r="900359" spans="12:13" x14ac:dyDescent="0.25">
      <c r="L900359" s="472"/>
      <c r="M900359" s="472"/>
    </row>
    <row r="900360" spans="12:13" x14ac:dyDescent="0.25">
      <c r="L900360" s="472"/>
      <c r="M900360" s="472"/>
    </row>
    <row r="900361" spans="12:13" x14ac:dyDescent="0.25">
      <c r="L900361" s="472"/>
      <c r="M900361" s="472"/>
    </row>
    <row r="900433" spans="12:13" x14ac:dyDescent="0.25">
      <c r="L900433" s="472"/>
      <c r="M900433" s="472"/>
    </row>
    <row r="900434" spans="12:13" x14ac:dyDescent="0.25">
      <c r="L900434" s="472"/>
      <c r="M900434" s="472"/>
    </row>
    <row r="900435" spans="12:13" x14ac:dyDescent="0.25">
      <c r="L900435" s="472"/>
      <c r="M900435" s="472"/>
    </row>
    <row r="900507" spans="12:13" x14ac:dyDescent="0.25">
      <c r="L900507" s="472"/>
      <c r="M900507" s="472"/>
    </row>
    <row r="900508" spans="12:13" x14ac:dyDescent="0.25">
      <c r="L900508" s="472"/>
      <c r="M900508" s="472"/>
    </row>
    <row r="900509" spans="12:13" x14ac:dyDescent="0.25">
      <c r="L900509" s="472"/>
      <c r="M900509" s="472"/>
    </row>
    <row r="900581" spans="12:13" x14ac:dyDescent="0.25">
      <c r="L900581" s="472"/>
      <c r="M900581" s="472"/>
    </row>
    <row r="900582" spans="12:13" x14ac:dyDescent="0.25">
      <c r="L900582" s="472"/>
      <c r="M900582" s="472"/>
    </row>
    <row r="900583" spans="12:13" x14ac:dyDescent="0.25">
      <c r="L900583" s="472"/>
      <c r="M900583" s="472"/>
    </row>
    <row r="900655" spans="12:13" x14ac:dyDescent="0.25">
      <c r="L900655" s="472"/>
      <c r="M900655" s="472"/>
    </row>
    <row r="900656" spans="12:13" x14ac:dyDescent="0.25">
      <c r="L900656" s="472"/>
      <c r="M900656" s="472"/>
    </row>
    <row r="900657" spans="12:13" x14ac:dyDescent="0.25">
      <c r="L900657" s="472"/>
      <c r="M900657" s="472"/>
    </row>
    <row r="900729" spans="12:13" x14ac:dyDescent="0.25">
      <c r="L900729" s="472"/>
      <c r="M900729" s="472"/>
    </row>
    <row r="900730" spans="12:13" x14ac:dyDescent="0.25">
      <c r="L900730" s="472"/>
      <c r="M900730" s="472"/>
    </row>
    <row r="900731" spans="12:13" x14ac:dyDescent="0.25">
      <c r="L900731" s="472"/>
      <c r="M900731" s="472"/>
    </row>
    <row r="900803" spans="12:13" x14ac:dyDescent="0.25">
      <c r="L900803" s="472"/>
      <c r="M900803" s="472"/>
    </row>
    <row r="900804" spans="12:13" x14ac:dyDescent="0.25">
      <c r="L900804" s="472"/>
      <c r="M900804" s="472"/>
    </row>
    <row r="900805" spans="12:13" x14ac:dyDescent="0.25">
      <c r="L900805" s="472"/>
      <c r="M900805" s="472"/>
    </row>
    <row r="900877" spans="12:13" x14ac:dyDescent="0.25">
      <c r="L900877" s="472"/>
      <c r="M900877" s="472"/>
    </row>
    <row r="900878" spans="12:13" x14ac:dyDescent="0.25">
      <c r="L900878" s="472"/>
      <c r="M900878" s="472"/>
    </row>
    <row r="900879" spans="12:13" x14ac:dyDescent="0.25">
      <c r="L900879" s="472"/>
      <c r="M900879" s="472"/>
    </row>
    <row r="900951" spans="12:13" x14ac:dyDescent="0.25">
      <c r="L900951" s="472"/>
      <c r="M900951" s="472"/>
    </row>
    <row r="900952" spans="12:13" x14ac:dyDescent="0.25">
      <c r="L900952" s="472"/>
      <c r="M900952" s="472"/>
    </row>
    <row r="900953" spans="12:13" x14ac:dyDescent="0.25">
      <c r="L900953" s="472"/>
      <c r="M900953" s="472"/>
    </row>
    <row r="901025" spans="12:13" x14ac:dyDescent="0.25">
      <c r="L901025" s="472"/>
      <c r="M901025" s="472"/>
    </row>
    <row r="901026" spans="12:13" x14ac:dyDescent="0.25">
      <c r="L901026" s="472"/>
      <c r="M901026" s="472"/>
    </row>
    <row r="901027" spans="12:13" x14ac:dyDescent="0.25">
      <c r="L901027" s="472"/>
      <c r="M901027" s="472"/>
    </row>
    <row r="901099" spans="12:13" x14ac:dyDescent="0.25">
      <c r="L901099" s="472"/>
      <c r="M901099" s="472"/>
    </row>
    <row r="901100" spans="12:13" x14ac:dyDescent="0.25">
      <c r="L901100" s="472"/>
      <c r="M901100" s="472"/>
    </row>
    <row r="901101" spans="12:13" x14ac:dyDescent="0.25">
      <c r="L901101" s="472"/>
      <c r="M901101" s="472"/>
    </row>
    <row r="901173" spans="12:13" x14ac:dyDescent="0.25">
      <c r="L901173" s="472"/>
      <c r="M901173" s="472"/>
    </row>
    <row r="901174" spans="12:13" x14ac:dyDescent="0.25">
      <c r="L901174" s="472"/>
      <c r="M901174" s="472"/>
    </row>
    <row r="901175" spans="12:13" x14ac:dyDescent="0.25">
      <c r="L901175" s="472"/>
      <c r="M901175" s="472"/>
    </row>
    <row r="901247" spans="12:13" x14ac:dyDescent="0.25">
      <c r="L901247" s="472"/>
      <c r="M901247" s="472"/>
    </row>
    <row r="901248" spans="12:13" x14ac:dyDescent="0.25">
      <c r="L901248" s="472"/>
      <c r="M901248" s="472"/>
    </row>
    <row r="901249" spans="12:13" x14ac:dyDescent="0.25">
      <c r="L901249" s="472"/>
      <c r="M901249" s="472"/>
    </row>
    <row r="901321" spans="12:13" x14ac:dyDescent="0.25">
      <c r="L901321" s="472"/>
      <c r="M901321" s="472"/>
    </row>
    <row r="901322" spans="12:13" x14ac:dyDescent="0.25">
      <c r="L901322" s="472"/>
      <c r="M901322" s="472"/>
    </row>
    <row r="901323" spans="12:13" x14ac:dyDescent="0.25">
      <c r="L901323" s="472"/>
      <c r="M901323" s="472"/>
    </row>
    <row r="901395" spans="12:13" x14ac:dyDescent="0.25">
      <c r="L901395" s="472"/>
      <c r="M901395" s="472"/>
    </row>
    <row r="901396" spans="12:13" x14ac:dyDescent="0.25">
      <c r="L901396" s="472"/>
      <c r="M901396" s="472"/>
    </row>
    <row r="901397" spans="12:13" x14ac:dyDescent="0.25">
      <c r="L901397" s="472"/>
      <c r="M901397" s="472"/>
    </row>
    <row r="901469" spans="12:13" x14ac:dyDescent="0.25">
      <c r="L901469" s="472"/>
      <c r="M901469" s="472"/>
    </row>
    <row r="901470" spans="12:13" x14ac:dyDescent="0.25">
      <c r="L901470" s="472"/>
      <c r="M901470" s="472"/>
    </row>
    <row r="901471" spans="12:13" x14ac:dyDescent="0.25">
      <c r="L901471" s="472"/>
      <c r="M901471" s="472"/>
    </row>
    <row r="901543" spans="12:13" x14ac:dyDescent="0.25">
      <c r="L901543" s="472"/>
      <c r="M901543" s="472"/>
    </row>
    <row r="901544" spans="12:13" x14ac:dyDescent="0.25">
      <c r="L901544" s="472"/>
      <c r="M901544" s="472"/>
    </row>
    <row r="901545" spans="12:13" x14ac:dyDescent="0.25">
      <c r="L901545" s="472"/>
      <c r="M901545" s="472"/>
    </row>
    <row r="901617" spans="12:13" x14ac:dyDescent="0.25">
      <c r="L901617" s="472"/>
      <c r="M901617" s="472"/>
    </row>
    <row r="901618" spans="12:13" x14ac:dyDescent="0.25">
      <c r="L901618" s="472"/>
      <c r="M901618" s="472"/>
    </row>
    <row r="901619" spans="12:13" x14ac:dyDescent="0.25">
      <c r="L901619" s="472"/>
      <c r="M901619" s="472"/>
    </row>
    <row r="901691" spans="12:13" x14ac:dyDescent="0.25">
      <c r="L901691" s="472"/>
      <c r="M901691" s="472"/>
    </row>
    <row r="901692" spans="12:13" x14ac:dyDescent="0.25">
      <c r="L901692" s="472"/>
      <c r="M901692" s="472"/>
    </row>
    <row r="901693" spans="12:13" x14ac:dyDescent="0.25">
      <c r="L901693" s="472"/>
      <c r="M901693" s="472"/>
    </row>
    <row r="901765" spans="12:13" x14ac:dyDescent="0.25">
      <c r="L901765" s="472"/>
      <c r="M901765" s="472"/>
    </row>
    <row r="901766" spans="12:13" x14ac:dyDescent="0.25">
      <c r="L901766" s="472"/>
      <c r="M901766" s="472"/>
    </row>
    <row r="901767" spans="12:13" x14ac:dyDescent="0.25">
      <c r="L901767" s="472"/>
      <c r="M901767" s="472"/>
    </row>
    <row r="901839" spans="12:13" x14ac:dyDescent="0.25">
      <c r="L901839" s="472"/>
      <c r="M901839" s="472"/>
    </row>
    <row r="901840" spans="12:13" x14ac:dyDescent="0.25">
      <c r="L901840" s="472"/>
      <c r="M901840" s="472"/>
    </row>
    <row r="901841" spans="12:13" x14ac:dyDescent="0.25">
      <c r="L901841" s="472"/>
      <c r="M901841" s="472"/>
    </row>
    <row r="901913" spans="12:13" x14ac:dyDescent="0.25">
      <c r="L901913" s="472"/>
      <c r="M901913" s="472"/>
    </row>
    <row r="901914" spans="12:13" x14ac:dyDescent="0.25">
      <c r="L901914" s="472"/>
      <c r="M901914" s="472"/>
    </row>
    <row r="901915" spans="12:13" x14ac:dyDescent="0.25">
      <c r="L901915" s="472"/>
      <c r="M901915" s="472"/>
    </row>
    <row r="901987" spans="12:13" x14ac:dyDescent="0.25">
      <c r="L901987" s="472"/>
      <c r="M901987" s="472"/>
    </row>
    <row r="901988" spans="12:13" x14ac:dyDescent="0.25">
      <c r="L901988" s="472"/>
      <c r="M901988" s="472"/>
    </row>
    <row r="901989" spans="12:13" x14ac:dyDescent="0.25">
      <c r="L901989" s="472"/>
      <c r="M901989" s="472"/>
    </row>
    <row r="902061" spans="12:13" x14ac:dyDescent="0.25">
      <c r="L902061" s="472"/>
      <c r="M902061" s="472"/>
    </row>
    <row r="902062" spans="12:13" x14ac:dyDescent="0.25">
      <c r="L902062" s="472"/>
      <c r="M902062" s="472"/>
    </row>
    <row r="902063" spans="12:13" x14ac:dyDescent="0.25">
      <c r="L902063" s="472"/>
      <c r="M902063" s="472"/>
    </row>
    <row r="902135" spans="12:13" x14ac:dyDescent="0.25">
      <c r="L902135" s="472"/>
      <c r="M902135" s="472"/>
    </row>
    <row r="902136" spans="12:13" x14ac:dyDescent="0.25">
      <c r="L902136" s="472"/>
      <c r="M902136" s="472"/>
    </row>
    <row r="902137" spans="12:13" x14ac:dyDescent="0.25">
      <c r="L902137" s="472"/>
      <c r="M902137" s="472"/>
    </row>
    <row r="902209" spans="12:13" x14ac:dyDescent="0.25">
      <c r="L902209" s="472"/>
      <c r="M902209" s="472"/>
    </row>
    <row r="902210" spans="12:13" x14ac:dyDescent="0.25">
      <c r="L902210" s="472"/>
      <c r="M902210" s="472"/>
    </row>
    <row r="902211" spans="12:13" x14ac:dyDescent="0.25">
      <c r="L902211" s="472"/>
      <c r="M902211" s="472"/>
    </row>
    <row r="902283" spans="12:13" x14ac:dyDescent="0.25">
      <c r="L902283" s="472"/>
      <c r="M902283" s="472"/>
    </row>
    <row r="902284" spans="12:13" x14ac:dyDescent="0.25">
      <c r="L902284" s="472"/>
      <c r="M902284" s="472"/>
    </row>
    <row r="902285" spans="12:13" x14ac:dyDescent="0.25">
      <c r="L902285" s="472"/>
      <c r="M902285" s="472"/>
    </row>
    <row r="902357" spans="12:13" x14ac:dyDescent="0.25">
      <c r="L902357" s="472"/>
      <c r="M902357" s="472"/>
    </row>
    <row r="902358" spans="12:13" x14ac:dyDescent="0.25">
      <c r="L902358" s="472"/>
      <c r="M902358" s="472"/>
    </row>
    <row r="902359" spans="12:13" x14ac:dyDescent="0.25">
      <c r="L902359" s="472"/>
      <c r="M902359" s="472"/>
    </row>
    <row r="902431" spans="12:13" x14ac:dyDescent="0.25">
      <c r="L902431" s="472"/>
      <c r="M902431" s="472"/>
    </row>
    <row r="902432" spans="12:13" x14ac:dyDescent="0.25">
      <c r="L902432" s="472"/>
      <c r="M902432" s="472"/>
    </row>
    <row r="902433" spans="12:13" x14ac:dyDescent="0.25">
      <c r="L902433" s="472"/>
      <c r="M902433" s="472"/>
    </row>
    <row r="902505" spans="12:13" x14ac:dyDescent="0.25">
      <c r="L902505" s="472"/>
      <c r="M902505" s="472"/>
    </row>
    <row r="902506" spans="12:13" x14ac:dyDescent="0.25">
      <c r="L902506" s="472"/>
      <c r="M902506" s="472"/>
    </row>
    <row r="902507" spans="12:13" x14ac:dyDescent="0.25">
      <c r="L902507" s="472"/>
      <c r="M902507" s="472"/>
    </row>
    <row r="902579" spans="12:13" x14ac:dyDescent="0.25">
      <c r="L902579" s="472"/>
      <c r="M902579" s="472"/>
    </row>
    <row r="902580" spans="12:13" x14ac:dyDescent="0.25">
      <c r="L902580" s="472"/>
      <c r="M902580" s="472"/>
    </row>
    <row r="902581" spans="12:13" x14ac:dyDescent="0.25">
      <c r="L902581" s="472"/>
      <c r="M902581" s="472"/>
    </row>
    <row r="902653" spans="12:13" x14ac:dyDescent="0.25">
      <c r="L902653" s="472"/>
      <c r="M902653" s="472"/>
    </row>
    <row r="902654" spans="12:13" x14ac:dyDescent="0.25">
      <c r="L902654" s="472"/>
      <c r="M902654" s="472"/>
    </row>
    <row r="902655" spans="12:13" x14ac:dyDescent="0.25">
      <c r="L902655" s="472"/>
      <c r="M902655" s="472"/>
    </row>
    <row r="902727" spans="12:13" x14ac:dyDescent="0.25">
      <c r="L902727" s="472"/>
      <c r="M902727" s="472"/>
    </row>
    <row r="902728" spans="12:13" x14ac:dyDescent="0.25">
      <c r="L902728" s="472"/>
      <c r="M902728" s="472"/>
    </row>
    <row r="902729" spans="12:13" x14ac:dyDescent="0.25">
      <c r="L902729" s="472"/>
      <c r="M902729" s="472"/>
    </row>
    <row r="902801" spans="12:13" x14ac:dyDescent="0.25">
      <c r="L902801" s="472"/>
      <c r="M902801" s="472"/>
    </row>
    <row r="902802" spans="12:13" x14ac:dyDescent="0.25">
      <c r="L902802" s="472"/>
      <c r="M902802" s="472"/>
    </row>
    <row r="902803" spans="12:13" x14ac:dyDescent="0.25">
      <c r="L902803" s="472"/>
      <c r="M902803" s="472"/>
    </row>
    <row r="902875" spans="12:13" x14ac:dyDescent="0.25">
      <c r="L902875" s="472"/>
      <c r="M902875" s="472"/>
    </row>
    <row r="902876" spans="12:13" x14ac:dyDescent="0.25">
      <c r="L902876" s="472"/>
      <c r="M902876" s="472"/>
    </row>
    <row r="902877" spans="12:13" x14ac:dyDescent="0.25">
      <c r="L902877" s="472"/>
      <c r="M902877" s="472"/>
    </row>
    <row r="902949" spans="12:13" x14ac:dyDescent="0.25">
      <c r="L902949" s="472"/>
      <c r="M902949" s="472"/>
    </row>
    <row r="902950" spans="12:13" x14ac:dyDescent="0.25">
      <c r="L902950" s="472"/>
      <c r="M902950" s="472"/>
    </row>
    <row r="902951" spans="12:13" x14ac:dyDescent="0.25">
      <c r="L902951" s="472"/>
      <c r="M902951" s="472"/>
    </row>
    <row r="903023" spans="12:13" x14ac:dyDescent="0.25">
      <c r="L903023" s="472"/>
      <c r="M903023" s="472"/>
    </row>
    <row r="903024" spans="12:13" x14ac:dyDescent="0.25">
      <c r="L903024" s="472"/>
      <c r="M903024" s="472"/>
    </row>
    <row r="903025" spans="12:13" x14ac:dyDescent="0.25">
      <c r="L903025" s="472"/>
      <c r="M903025" s="472"/>
    </row>
    <row r="903097" spans="12:13" x14ac:dyDescent="0.25">
      <c r="L903097" s="472"/>
      <c r="M903097" s="472"/>
    </row>
    <row r="903098" spans="12:13" x14ac:dyDescent="0.25">
      <c r="L903098" s="472"/>
      <c r="M903098" s="472"/>
    </row>
    <row r="903099" spans="12:13" x14ac:dyDescent="0.25">
      <c r="L903099" s="472"/>
      <c r="M903099" s="472"/>
    </row>
    <row r="903171" spans="12:13" x14ac:dyDescent="0.25">
      <c r="L903171" s="472"/>
      <c r="M903171" s="472"/>
    </row>
    <row r="903172" spans="12:13" x14ac:dyDescent="0.25">
      <c r="L903172" s="472"/>
      <c r="M903172" s="472"/>
    </row>
    <row r="903173" spans="12:13" x14ac:dyDescent="0.25">
      <c r="L903173" s="472"/>
      <c r="M903173" s="472"/>
    </row>
    <row r="903245" spans="12:13" x14ac:dyDescent="0.25">
      <c r="L903245" s="472"/>
      <c r="M903245" s="472"/>
    </row>
    <row r="903246" spans="12:13" x14ac:dyDescent="0.25">
      <c r="L903246" s="472"/>
      <c r="M903246" s="472"/>
    </row>
    <row r="903247" spans="12:13" x14ac:dyDescent="0.25">
      <c r="L903247" s="472"/>
      <c r="M903247" s="472"/>
    </row>
    <row r="903319" spans="12:13" x14ac:dyDescent="0.25">
      <c r="L903319" s="472"/>
      <c r="M903319" s="472"/>
    </row>
    <row r="903320" spans="12:13" x14ac:dyDescent="0.25">
      <c r="L903320" s="472"/>
      <c r="M903320" s="472"/>
    </row>
    <row r="903321" spans="12:13" x14ac:dyDescent="0.25">
      <c r="L903321" s="472"/>
      <c r="M903321" s="472"/>
    </row>
    <row r="903393" spans="12:13" x14ac:dyDescent="0.25">
      <c r="L903393" s="472"/>
      <c r="M903393" s="472"/>
    </row>
    <row r="903394" spans="12:13" x14ac:dyDescent="0.25">
      <c r="L903394" s="472"/>
      <c r="M903394" s="472"/>
    </row>
    <row r="903395" spans="12:13" x14ac:dyDescent="0.25">
      <c r="L903395" s="472"/>
      <c r="M903395" s="472"/>
    </row>
    <row r="903467" spans="12:13" x14ac:dyDescent="0.25">
      <c r="L903467" s="472"/>
      <c r="M903467" s="472"/>
    </row>
    <row r="903468" spans="12:13" x14ac:dyDescent="0.25">
      <c r="L903468" s="472"/>
      <c r="M903468" s="472"/>
    </row>
    <row r="903469" spans="12:13" x14ac:dyDescent="0.25">
      <c r="L903469" s="472"/>
      <c r="M903469" s="472"/>
    </row>
    <row r="903541" spans="12:13" x14ac:dyDescent="0.25">
      <c r="L903541" s="472"/>
      <c r="M903541" s="472"/>
    </row>
    <row r="903542" spans="12:13" x14ac:dyDescent="0.25">
      <c r="L903542" s="472"/>
      <c r="M903542" s="472"/>
    </row>
    <row r="903543" spans="12:13" x14ac:dyDescent="0.25">
      <c r="L903543" s="472"/>
      <c r="M903543" s="472"/>
    </row>
    <row r="903615" spans="12:13" x14ac:dyDescent="0.25">
      <c r="L903615" s="472"/>
      <c r="M903615" s="472"/>
    </row>
    <row r="903616" spans="12:13" x14ac:dyDescent="0.25">
      <c r="L903616" s="472"/>
      <c r="M903616" s="472"/>
    </row>
    <row r="903617" spans="12:13" x14ac:dyDescent="0.25">
      <c r="L903617" s="472"/>
      <c r="M903617" s="472"/>
    </row>
    <row r="903689" spans="12:13" x14ac:dyDescent="0.25">
      <c r="L903689" s="472"/>
      <c r="M903689" s="472"/>
    </row>
    <row r="903690" spans="12:13" x14ac:dyDescent="0.25">
      <c r="L903690" s="472"/>
      <c r="M903690" s="472"/>
    </row>
    <row r="903691" spans="12:13" x14ac:dyDescent="0.25">
      <c r="L903691" s="472"/>
      <c r="M903691" s="472"/>
    </row>
    <row r="903763" spans="12:13" x14ac:dyDescent="0.25">
      <c r="L903763" s="472"/>
      <c r="M903763" s="472"/>
    </row>
    <row r="903764" spans="12:13" x14ac:dyDescent="0.25">
      <c r="L903764" s="472"/>
      <c r="M903764" s="472"/>
    </row>
    <row r="903765" spans="12:13" x14ac:dyDescent="0.25">
      <c r="L903765" s="472"/>
      <c r="M903765" s="472"/>
    </row>
    <row r="903837" spans="12:13" x14ac:dyDescent="0.25">
      <c r="L903837" s="472"/>
      <c r="M903837" s="472"/>
    </row>
    <row r="903838" spans="12:13" x14ac:dyDescent="0.25">
      <c r="L903838" s="472"/>
      <c r="M903838" s="472"/>
    </row>
    <row r="903839" spans="12:13" x14ac:dyDescent="0.25">
      <c r="L903839" s="472"/>
      <c r="M903839" s="472"/>
    </row>
    <row r="903911" spans="12:13" x14ac:dyDescent="0.25">
      <c r="L903911" s="472"/>
      <c r="M903911" s="472"/>
    </row>
    <row r="903912" spans="12:13" x14ac:dyDescent="0.25">
      <c r="L903912" s="472"/>
      <c r="M903912" s="472"/>
    </row>
    <row r="903913" spans="12:13" x14ac:dyDescent="0.25">
      <c r="L903913" s="472"/>
      <c r="M903913" s="472"/>
    </row>
    <row r="903985" spans="12:13" x14ac:dyDescent="0.25">
      <c r="L903985" s="472"/>
      <c r="M903985" s="472"/>
    </row>
    <row r="903986" spans="12:13" x14ac:dyDescent="0.25">
      <c r="L903986" s="472"/>
      <c r="M903986" s="472"/>
    </row>
    <row r="903987" spans="12:13" x14ac:dyDescent="0.25">
      <c r="L903987" s="472"/>
      <c r="M903987" s="472"/>
    </row>
    <row r="904059" spans="12:13" x14ac:dyDescent="0.25">
      <c r="L904059" s="472"/>
      <c r="M904059" s="472"/>
    </row>
    <row r="904060" spans="12:13" x14ac:dyDescent="0.25">
      <c r="L904060" s="472"/>
      <c r="M904060" s="472"/>
    </row>
    <row r="904061" spans="12:13" x14ac:dyDescent="0.25">
      <c r="L904061" s="472"/>
      <c r="M904061" s="472"/>
    </row>
    <row r="904133" spans="12:13" x14ac:dyDescent="0.25">
      <c r="L904133" s="472"/>
      <c r="M904133" s="472"/>
    </row>
    <row r="904134" spans="12:13" x14ac:dyDescent="0.25">
      <c r="L904134" s="472"/>
      <c r="M904134" s="472"/>
    </row>
    <row r="904135" spans="12:13" x14ac:dyDescent="0.25">
      <c r="L904135" s="472"/>
      <c r="M904135" s="472"/>
    </row>
    <row r="904207" spans="12:13" x14ac:dyDescent="0.25">
      <c r="L904207" s="472"/>
      <c r="M904207" s="472"/>
    </row>
    <row r="904208" spans="12:13" x14ac:dyDescent="0.25">
      <c r="L904208" s="472"/>
      <c r="M904208" s="472"/>
    </row>
    <row r="904209" spans="12:13" x14ac:dyDescent="0.25">
      <c r="L904209" s="472"/>
      <c r="M904209" s="472"/>
    </row>
    <row r="904281" spans="12:13" x14ac:dyDescent="0.25">
      <c r="L904281" s="472"/>
      <c r="M904281" s="472"/>
    </row>
    <row r="904282" spans="12:13" x14ac:dyDescent="0.25">
      <c r="L904282" s="472"/>
      <c r="M904282" s="472"/>
    </row>
    <row r="904283" spans="12:13" x14ac:dyDescent="0.25">
      <c r="L904283" s="472"/>
      <c r="M904283" s="472"/>
    </row>
    <row r="904355" spans="12:13" x14ac:dyDescent="0.25">
      <c r="L904355" s="472"/>
      <c r="M904355" s="472"/>
    </row>
    <row r="904356" spans="12:13" x14ac:dyDescent="0.25">
      <c r="L904356" s="472"/>
      <c r="M904356" s="472"/>
    </row>
    <row r="904357" spans="12:13" x14ac:dyDescent="0.25">
      <c r="L904357" s="472"/>
      <c r="M904357" s="472"/>
    </row>
    <row r="904429" spans="12:13" x14ac:dyDescent="0.25">
      <c r="L904429" s="472"/>
      <c r="M904429" s="472"/>
    </row>
    <row r="904430" spans="12:13" x14ac:dyDescent="0.25">
      <c r="L904430" s="472"/>
      <c r="M904430" s="472"/>
    </row>
    <row r="904431" spans="12:13" x14ac:dyDescent="0.25">
      <c r="L904431" s="472"/>
      <c r="M904431" s="472"/>
    </row>
    <row r="904503" spans="12:13" x14ac:dyDescent="0.25">
      <c r="L904503" s="472"/>
      <c r="M904503" s="472"/>
    </row>
    <row r="904504" spans="12:13" x14ac:dyDescent="0.25">
      <c r="L904504" s="472"/>
      <c r="M904504" s="472"/>
    </row>
    <row r="904505" spans="12:13" x14ac:dyDescent="0.25">
      <c r="L904505" s="472"/>
      <c r="M904505" s="472"/>
    </row>
    <row r="904577" spans="12:13" x14ac:dyDescent="0.25">
      <c r="L904577" s="472"/>
      <c r="M904577" s="472"/>
    </row>
    <row r="904578" spans="12:13" x14ac:dyDescent="0.25">
      <c r="L904578" s="472"/>
      <c r="M904578" s="472"/>
    </row>
    <row r="904579" spans="12:13" x14ac:dyDescent="0.25">
      <c r="L904579" s="472"/>
      <c r="M904579" s="472"/>
    </row>
    <row r="904651" spans="12:13" x14ac:dyDescent="0.25">
      <c r="L904651" s="472"/>
      <c r="M904651" s="472"/>
    </row>
    <row r="904652" spans="12:13" x14ac:dyDescent="0.25">
      <c r="L904652" s="472"/>
      <c r="M904652" s="472"/>
    </row>
    <row r="904653" spans="12:13" x14ac:dyDescent="0.25">
      <c r="L904653" s="472"/>
      <c r="M904653" s="472"/>
    </row>
    <row r="904725" spans="12:13" x14ac:dyDescent="0.25">
      <c r="L904725" s="472"/>
      <c r="M904725" s="472"/>
    </row>
    <row r="904726" spans="12:13" x14ac:dyDescent="0.25">
      <c r="L904726" s="472"/>
      <c r="M904726" s="472"/>
    </row>
    <row r="904727" spans="12:13" x14ac:dyDescent="0.25">
      <c r="L904727" s="472"/>
      <c r="M904727" s="472"/>
    </row>
    <row r="904799" spans="12:13" x14ac:dyDescent="0.25">
      <c r="L904799" s="472"/>
      <c r="M904799" s="472"/>
    </row>
    <row r="904800" spans="12:13" x14ac:dyDescent="0.25">
      <c r="L904800" s="472"/>
      <c r="M904800" s="472"/>
    </row>
    <row r="904801" spans="12:13" x14ac:dyDescent="0.25">
      <c r="L904801" s="472"/>
      <c r="M904801" s="472"/>
    </row>
    <row r="904873" spans="12:13" x14ac:dyDescent="0.25">
      <c r="L904873" s="472"/>
      <c r="M904873" s="472"/>
    </row>
    <row r="904874" spans="12:13" x14ac:dyDescent="0.25">
      <c r="L904874" s="472"/>
      <c r="M904874" s="472"/>
    </row>
    <row r="904875" spans="12:13" x14ac:dyDescent="0.25">
      <c r="L904875" s="472"/>
      <c r="M904875" s="472"/>
    </row>
    <row r="904947" spans="12:13" x14ac:dyDescent="0.25">
      <c r="L904947" s="472"/>
      <c r="M904947" s="472"/>
    </row>
    <row r="904948" spans="12:13" x14ac:dyDescent="0.25">
      <c r="L904948" s="472"/>
      <c r="M904948" s="472"/>
    </row>
    <row r="904949" spans="12:13" x14ac:dyDescent="0.25">
      <c r="L904949" s="472"/>
      <c r="M904949" s="472"/>
    </row>
    <row r="905021" spans="12:13" x14ac:dyDescent="0.25">
      <c r="L905021" s="472"/>
      <c r="M905021" s="472"/>
    </row>
    <row r="905022" spans="12:13" x14ac:dyDescent="0.25">
      <c r="L905022" s="472"/>
      <c r="M905022" s="472"/>
    </row>
    <row r="905023" spans="12:13" x14ac:dyDescent="0.25">
      <c r="L905023" s="472"/>
      <c r="M905023" s="472"/>
    </row>
    <row r="905095" spans="12:13" x14ac:dyDescent="0.25">
      <c r="L905095" s="472"/>
      <c r="M905095" s="472"/>
    </row>
    <row r="905096" spans="12:13" x14ac:dyDescent="0.25">
      <c r="L905096" s="472"/>
      <c r="M905096" s="472"/>
    </row>
    <row r="905097" spans="12:13" x14ac:dyDescent="0.25">
      <c r="L905097" s="472"/>
      <c r="M905097" s="472"/>
    </row>
    <row r="905169" spans="12:13" x14ac:dyDescent="0.25">
      <c r="L905169" s="472"/>
      <c r="M905169" s="472"/>
    </row>
    <row r="905170" spans="12:13" x14ac:dyDescent="0.25">
      <c r="L905170" s="472"/>
      <c r="M905170" s="472"/>
    </row>
    <row r="905171" spans="12:13" x14ac:dyDescent="0.25">
      <c r="L905171" s="472"/>
      <c r="M905171" s="472"/>
    </row>
    <row r="905243" spans="12:13" x14ac:dyDescent="0.25">
      <c r="L905243" s="472"/>
      <c r="M905243" s="472"/>
    </row>
    <row r="905244" spans="12:13" x14ac:dyDescent="0.25">
      <c r="L905244" s="472"/>
      <c r="M905244" s="472"/>
    </row>
    <row r="905245" spans="12:13" x14ac:dyDescent="0.25">
      <c r="L905245" s="472"/>
      <c r="M905245" s="472"/>
    </row>
    <row r="905317" spans="12:13" x14ac:dyDescent="0.25">
      <c r="L905317" s="472"/>
      <c r="M905317" s="472"/>
    </row>
    <row r="905318" spans="12:13" x14ac:dyDescent="0.25">
      <c r="L905318" s="472"/>
      <c r="M905318" s="472"/>
    </row>
    <row r="905319" spans="12:13" x14ac:dyDescent="0.25">
      <c r="L905319" s="472"/>
      <c r="M905319" s="472"/>
    </row>
    <row r="905391" spans="12:13" x14ac:dyDescent="0.25">
      <c r="L905391" s="472"/>
      <c r="M905391" s="472"/>
    </row>
    <row r="905392" spans="12:13" x14ac:dyDescent="0.25">
      <c r="L905392" s="472"/>
      <c r="M905392" s="472"/>
    </row>
    <row r="905393" spans="12:13" x14ac:dyDescent="0.25">
      <c r="L905393" s="472"/>
      <c r="M905393" s="472"/>
    </row>
    <row r="905465" spans="12:13" x14ac:dyDescent="0.25">
      <c r="L905465" s="472"/>
      <c r="M905465" s="472"/>
    </row>
    <row r="905466" spans="12:13" x14ac:dyDescent="0.25">
      <c r="L905466" s="472"/>
      <c r="M905466" s="472"/>
    </row>
    <row r="905467" spans="12:13" x14ac:dyDescent="0.25">
      <c r="L905467" s="472"/>
      <c r="M905467" s="472"/>
    </row>
    <row r="905539" spans="12:13" x14ac:dyDescent="0.25">
      <c r="L905539" s="472"/>
      <c r="M905539" s="472"/>
    </row>
    <row r="905540" spans="12:13" x14ac:dyDescent="0.25">
      <c r="L905540" s="472"/>
      <c r="M905540" s="472"/>
    </row>
    <row r="905541" spans="12:13" x14ac:dyDescent="0.25">
      <c r="L905541" s="472"/>
      <c r="M905541" s="472"/>
    </row>
    <row r="905613" spans="12:13" x14ac:dyDescent="0.25">
      <c r="L905613" s="472"/>
      <c r="M905613" s="472"/>
    </row>
    <row r="905614" spans="12:13" x14ac:dyDescent="0.25">
      <c r="L905614" s="472"/>
      <c r="M905614" s="472"/>
    </row>
    <row r="905615" spans="12:13" x14ac:dyDescent="0.25">
      <c r="L905615" s="472"/>
      <c r="M905615" s="472"/>
    </row>
    <row r="905687" spans="12:13" x14ac:dyDescent="0.25">
      <c r="L905687" s="472"/>
      <c r="M905687" s="472"/>
    </row>
    <row r="905688" spans="12:13" x14ac:dyDescent="0.25">
      <c r="L905688" s="472"/>
      <c r="M905688" s="472"/>
    </row>
    <row r="905689" spans="12:13" x14ac:dyDescent="0.25">
      <c r="L905689" s="472"/>
      <c r="M905689" s="472"/>
    </row>
    <row r="905761" spans="12:13" x14ac:dyDescent="0.25">
      <c r="L905761" s="472"/>
      <c r="M905761" s="472"/>
    </row>
    <row r="905762" spans="12:13" x14ac:dyDescent="0.25">
      <c r="L905762" s="472"/>
      <c r="M905762" s="472"/>
    </row>
    <row r="905763" spans="12:13" x14ac:dyDescent="0.25">
      <c r="L905763" s="472"/>
      <c r="M905763" s="472"/>
    </row>
    <row r="905835" spans="12:13" x14ac:dyDescent="0.25">
      <c r="L905835" s="472"/>
      <c r="M905835" s="472"/>
    </row>
    <row r="905836" spans="12:13" x14ac:dyDescent="0.25">
      <c r="L905836" s="472"/>
      <c r="M905836" s="472"/>
    </row>
    <row r="905837" spans="12:13" x14ac:dyDescent="0.25">
      <c r="L905837" s="472"/>
      <c r="M905837" s="472"/>
    </row>
    <row r="905909" spans="12:13" x14ac:dyDescent="0.25">
      <c r="L905909" s="472"/>
      <c r="M905909" s="472"/>
    </row>
    <row r="905910" spans="12:13" x14ac:dyDescent="0.25">
      <c r="L905910" s="472"/>
      <c r="M905910" s="472"/>
    </row>
    <row r="905911" spans="12:13" x14ac:dyDescent="0.25">
      <c r="L905911" s="472"/>
      <c r="M905911" s="472"/>
    </row>
    <row r="905983" spans="12:13" x14ac:dyDescent="0.25">
      <c r="L905983" s="472"/>
      <c r="M905983" s="472"/>
    </row>
    <row r="905984" spans="12:13" x14ac:dyDescent="0.25">
      <c r="L905984" s="472"/>
      <c r="M905984" s="472"/>
    </row>
    <row r="905985" spans="12:13" x14ac:dyDescent="0.25">
      <c r="L905985" s="472"/>
      <c r="M905985" s="472"/>
    </row>
    <row r="906057" spans="12:13" x14ac:dyDescent="0.25">
      <c r="L906057" s="472"/>
      <c r="M906057" s="472"/>
    </row>
    <row r="906058" spans="12:13" x14ac:dyDescent="0.25">
      <c r="L906058" s="472"/>
      <c r="M906058" s="472"/>
    </row>
    <row r="906059" spans="12:13" x14ac:dyDescent="0.25">
      <c r="L906059" s="472"/>
      <c r="M906059" s="472"/>
    </row>
    <row r="906131" spans="12:13" x14ac:dyDescent="0.25">
      <c r="L906131" s="472"/>
      <c r="M906131" s="472"/>
    </row>
    <row r="906132" spans="12:13" x14ac:dyDescent="0.25">
      <c r="L906132" s="472"/>
      <c r="M906132" s="472"/>
    </row>
    <row r="906133" spans="12:13" x14ac:dyDescent="0.25">
      <c r="L906133" s="472"/>
      <c r="M906133" s="472"/>
    </row>
    <row r="906205" spans="12:13" x14ac:dyDescent="0.25">
      <c r="L906205" s="472"/>
      <c r="M906205" s="472"/>
    </row>
    <row r="906206" spans="12:13" x14ac:dyDescent="0.25">
      <c r="L906206" s="472"/>
      <c r="M906206" s="472"/>
    </row>
    <row r="906207" spans="12:13" x14ac:dyDescent="0.25">
      <c r="L906207" s="472"/>
      <c r="M906207" s="472"/>
    </row>
    <row r="906279" spans="12:13" x14ac:dyDescent="0.25">
      <c r="L906279" s="472"/>
      <c r="M906279" s="472"/>
    </row>
    <row r="906280" spans="12:13" x14ac:dyDescent="0.25">
      <c r="L906280" s="472"/>
      <c r="M906280" s="472"/>
    </row>
    <row r="906281" spans="12:13" x14ac:dyDescent="0.25">
      <c r="L906281" s="472"/>
      <c r="M906281" s="472"/>
    </row>
    <row r="906353" spans="12:13" x14ac:dyDescent="0.25">
      <c r="L906353" s="472"/>
      <c r="M906353" s="472"/>
    </row>
    <row r="906354" spans="12:13" x14ac:dyDescent="0.25">
      <c r="L906354" s="472"/>
      <c r="M906354" s="472"/>
    </row>
    <row r="906355" spans="12:13" x14ac:dyDescent="0.25">
      <c r="L906355" s="472"/>
      <c r="M906355" s="472"/>
    </row>
    <row r="906427" spans="12:13" x14ac:dyDescent="0.25">
      <c r="L906427" s="472"/>
      <c r="M906427" s="472"/>
    </row>
    <row r="906428" spans="12:13" x14ac:dyDescent="0.25">
      <c r="L906428" s="472"/>
      <c r="M906428" s="472"/>
    </row>
    <row r="906429" spans="12:13" x14ac:dyDescent="0.25">
      <c r="L906429" s="472"/>
      <c r="M906429" s="472"/>
    </row>
    <row r="906501" spans="12:13" x14ac:dyDescent="0.25">
      <c r="L906501" s="472"/>
      <c r="M906501" s="472"/>
    </row>
    <row r="906502" spans="12:13" x14ac:dyDescent="0.25">
      <c r="L906502" s="472"/>
      <c r="M906502" s="472"/>
    </row>
    <row r="906503" spans="12:13" x14ac:dyDescent="0.25">
      <c r="L906503" s="472"/>
      <c r="M906503" s="472"/>
    </row>
    <row r="906575" spans="12:13" x14ac:dyDescent="0.25">
      <c r="L906575" s="472"/>
      <c r="M906575" s="472"/>
    </row>
    <row r="906576" spans="12:13" x14ac:dyDescent="0.25">
      <c r="L906576" s="472"/>
      <c r="M906576" s="472"/>
    </row>
    <row r="906577" spans="12:13" x14ac:dyDescent="0.25">
      <c r="L906577" s="472"/>
      <c r="M906577" s="472"/>
    </row>
    <row r="906649" spans="12:13" x14ac:dyDescent="0.25">
      <c r="L906649" s="472"/>
      <c r="M906649" s="472"/>
    </row>
    <row r="906650" spans="12:13" x14ac:dyDescent="0.25">
      <c r="L906650" s="472"/>
      <c r="M906650" s="472"/>
    </row>
    <row r="906651" spans="12:13" x14ac:dyDescent="0.25">
      <c r="L906651" s="472"/>
      <c r="M906651" s="472"/>
    </row>
    <row r="906723" spans="12:13" x14ac:dyDescent="0.25">
      <c r="L906723" s="472"/>
      <c r="M906723" s="472"/>
    </row>
    <row r="906724" spans="12:13" x14ac:dyDescent="0.25">
      <c r="L906724" s="472"/>
      <c r="M906724" s="472"/>
    </row>
    <row r="906725" spans="12:13" x14ac:dyDescent="0.25">
      <c r="L906725" s="472"/>
      <c r="M906725" s="472"/>
    </row>
    <row r="906797" spans="12:13" x14ac:dyDescent="0.25">
      <c r="L906797" s="472"/>
      <c r="M906797" s="472"/>
    </row>
    <row r="906798" spans="12:13" x14ac:dyDescent="0.25">
      <c r="L906798" s="472"/>
      <c r="M906798" s="472"/>
    </row>
    <row r="906799" spans="12:13" x14ac:dyDescent="0.25">
      <c r="L906799" s="472"/>
      <c r="M906799" s="472"/>
    </row>
    <row r="906871" spans="12:13" x14ac:dyDescent="0.25">
      <c r="L906871" s="472"/>
      <c r="M906871" s="472"/>
    </row>
    <row r="906872" spans="12:13" x14ac:dyDescent="0.25">
      <c r="L906872" s="472"/>
      <c r="M906872" s="472"/>
    </row>
    <row r="906873" spans="12:13" x14ac:dyDescent="0.25">
      <c r="L906873" s="472"/>
      <c r="M906873" s="472"/>
    </row>
    <row r="906945" spans="12:13" x14ac:dyDescent="0.25">
      <c r="L906945" s="472"/>
      <c r="M906945" s="472"/>
    </row>
    <row r="906946" spans="12:13" x14ac:dyDescent="0.25">
      <c r="L906946" s="472"/>
      <c r="M906946" s="472"/>
    </row>
    <row r="906947" spans="12:13" x14ac:dyDescent="0.25">
      <c r="L906947" s="472"/>
      <c r="M906947" s="472"/>
    </row>
    <row r="907019" spans="12:13" x14ac:dyDescent="0.25">
      <c r="L907019" s="472"/>
      <c r="M907019" s="472"/>
    </row>
    <row r="907020" spans="12:13" x14ac:dyDescent="0.25">
      <c r="L907020" s="472"/>
      <c r="M907020" s="472"/>
    </row>
    <row r="907021" spans="12:13" x14ac:dyDescent="0.25">
      <c r="L907021" s="472"/>
      <c r="M907021" s="472"/>
    </row>
    <row r="907093" spans="12:13" x14ac:dyDescent="0.25">
      <c r="L907093" s="472"/>
      <c r="M907093" s="472"/>
    </row>
    <row r="907094" spans="12:13" x14ac:dyDescent="0.25">
      <c r="L907094" s="472"/>
      <c r="M907094" s="472"/>
    </row>
    <row r="907095" spans="12:13" x14ac:dyDescent="0.25">
      <c r="L907095" s="472"/>
      <c r="M907095" s="472"/>
    </row>
    <row r="907167" spans="12:13" x14ac:dyDescent="0.25">
      <c r="L907167" s="472"/>
      <c r="M907167" s="472"/>
    </row>
    <row r="907168" spans="12:13" x14ac:dyDescent="0.25">
      <c r="L907168" s="472"/>
      <c r="M907168" s="472"/>
    </row>
    <row r="907169" spans="12:13" x14ac:dyDescent="0.25">
      <c r="L907169" s="472"/>
      <c r="M907169" s="472"/>
    </row>
    <row r="907241" spans="12:13" x14ac:dyDescent="0.25">
      <c r="L907241" s="472"/>
      <c r="M907241" s="472"/>
    </row>
    <row r="907242" spans="12:13" x14ac:dyDescent="0.25">
      <c r="L907242" s="472"/>
      <c r="M907242" s="472"/>
    </row>
    <row r="907243" spans="12:13" x14ac:dyDescent="0.25">
      <c r="L907243" s="472"/>
      <c r="M907243" s="472"/>
    </row>
    <row r="907315" spans="12:13" x14ac:dyDescent="0.25">
      <c r="L907315" s="472"/>
      <c r="M907315" s="472"/>
    </row>
    <row r="907316" spans="12:13" x14ac:dyDescent="0.25">
      <c r="L907316" s="472"/>
      <c r="M907316" s="472"/>
    </row>
    <row r="907317" spans="12:13" x14ac:dyDescent="0.25">
      <c r="L907317" s="472"/>
      <c r="M907317" s="472"/>
    </row>
    <row r="907389" spans="12:13" x14ac:dyDescent="0.25">
      <c r="L907389" s="472"/>
      <c r="M907389" s="472"/>
    </row>
    <row r="907390" spans="12:13" x14ac:dyDescent="0.25">
      <c r="L907390" s="472"/>
      <c r="M907390" s="472"/>
    </row>
    <row r="907391" spans="12:13" x14ac:dyDescent="0.25">
      <c r="L907391" s="472"/>
      <c r="M907391" s="472"/>
    </row>
    <row r="907463" spans="12:13" x14ac:dyDescent="0.25">
      <c r="L907463" s="472"/>
      <c r="M907463" s="472"/>
    </row>
    <row r="907464" spans="12:13" x14ac:dyDescent="0.25">
      <c r="L907464" s="472"/>
      <c r="M907464" s="472"/>
    </row>
    <row r="907465" spans="12:13" x14ac:dyDescent="0.25">
      <c r="L907465" s="472"/>
      <c r="M907465" s="472"/>
    </row>
    <row r="907537" spans="12:13" x14ac:dyDescent="0.25">
      <c r="L907537" s="472"/>
      <c r="M907537" s="472"/>
    </row>
    <row r="907538" spans="12:13" x14ac:dyDescent="0.25">
      <c r="L907538" s="472"/>
      <c r="M907538" s="472"/>
    </row>
    <row r="907539" spans="12:13" x14ac:dyDescent="0.25">
      <c r="L907539" s="472"/>
      <c r="M907539" s="472"/>
    </row>
    <row r="907611" spans="12:13" x14ac:dyDescent="0.25">
      <c r="L907611" s="472"/>
      <c r="M907611" s="472"/>
    </row>
    <row r="907612" spans="12:13" x14ac:dyDescent="0.25">
      <c r="L907612" s="472"/>
      <c r="M907612" s="472"/>
    </row>
    <row r="907613" spans="12:13" x14ac:dyDescent="0.25">
      <c r="L907613" s="472"/>
      <c r="M907613" s="472"/>
    </row>
    <row r="907685" spans="12:13" x14ac:dyDescent="0.25">
      <c r="L907685" s="472"/>
      <c r="M907685" s="472"/>
    </row>
    <row r="907686" spans="12:13" x14ac:dyDescent="0.25">
      <c r="L907686" s="472"/>
      <c r="M907686" s="472"/>
    </row>
    <row r="907687" spans="12:13" x14ac:dyDescent="0.25">
      <c r="L907687" s="472"/>
      <c r="M907687" s="472"/>
    </row>
    <row r="907759" spans="12:13" x14ac:dyDescent="0.25">
      <c r="L907759" s="472"/>
      <c r="M907759" s="472"/>
    </row>
    <row r="907760" spans="12:13" x14ac:dyDescent="0.25">
      <c r="L907760" s="472"/>
      <c r="M907760" s="472"/>
    </row>
    <row r="907761" spans="12:13" x14ac:dyDescent="0.25">
      <c r="L907761" s="472"/>
      <c r="M907761" s="472"/>
    </row>
    <row r="907833" spans="12:13" x14ac:dyDescent="0.25">
      <c r="L907833" s="472"/>
      <c r="M907833" s="472"/>
    </row>
    <row r="907834" spans="12:13" x14ac:dyDescent="0.25">
      <c r="L907834" s="472"/>
      <c r="M907834" s="472"/>
    </row>
    <row r="907835" spans="12:13" x14ac:dyDescent="0.25">
      <c r="L907835" s="472"/>
      <c r="M907835" s="472"/>
    </row>
    <row r="907907" spans="12:13" x14ac:dyDescent="0.25">
      <c r="L907907" s="472"/>
      <c r="M907907" s="472"/>
    </row>
    <row r="907908" spans="12:13" x14ac:dyDescent="0.25">
      <c r="L907908" s="472"/>
      <c r="M907908" s="472"/>
    </row>
    <row r="907909" spans="12:13" x14ac:dyDescent="0.25">
      <c r="L907909" s="472"/>
      <c r="M907909" s="472"/>
    </row>
    <row r="907981" spans="12:13" x14ac:dyDescent="0.25">
      <c r="L907981" s="472"/>
      <c r="M907981" s="472"/>
    </row>
    <row r="907982" spans="12:13" x14ac:dyDescent="0.25">
      <c r="L907982" s="472"/>
      <c r="M907982" s="472"/>
    </row>
    <row r="907983" spans="12:13" x14ac:dyDescent="0.25">
      <c r="L907983" s="472"/>
      <c r="M907983" s="472"/>
    </row>
    <row r="908055" spans="12:13" x14ac:dyDescent="0.25">
      <c r="L908055" s="472"/>
      <c r="M908055" s="472"/>
    </row>
    <row r="908056" spans="12:13" x14ac:dyDescent="0.25">
      <c r="L908056" s="472"/>
      <c r="M908056" s="472"/>
    </row>
    <row r="908057" spans="12:13" x14ac:dyDescent="0.25">
      <c r="L908057" s="472"/>
      <c r="M908057" s="472"/>
    </row>
    <row r="908129" spans="12:13" x14ac:dyDescent="0.25">
      <c r="L908129" s="472"/>
      <c r="M908129" s="472"/>
    </row>
    <row r="908130" spans="12:13" x14ac:dyDescent="0.25">
      <c r="L908130" s="472"/>
      <c r="M908130" s="472"/>
    </row>
    <row r="908131" spans="12:13" x14ac:dyDescent="0.25">
      <c r="L908131" s="472"/>
      <c r="M908131" s="472"/>
    </row>
    <row r="908203" spans="12:13" x14ac:dyDescent="0.25">
      <c r="L908203" s="472"/>
      <c r="M908203" s="472"/>
    </row>
    <row r="908204" spans="12:13" x14ac:dyDescent="0.25">
      <c r="L908204" s="472"/>
      <c r="M908204" s="472"/>
    </row>
    <row r="908205" spans="12:13" x14ac:dyDescent="0.25">
      <c r="L908205" s="472"/>
      <c r="M908205" s="472"/>
    </row>
    <row r="908277" spans="12:13" x14ac:dyDescent="0.25">
      <c r="L908277" s="472"/>
      <c r="M908277" s="472"/>
    </row>
    <row r="908278" spans="12:13" x14ac:dyDescent="0.25">
      <c r="L908278" s="472"/>
      <c r="M908278" s="472"/>
    </row>
    <row r="908279" spans="12:13" x14ac:dyDescent="0.25">
      <c r="L908279" s="472"/>
      <c r="M908279" s="472"/>
    </row>
    <row r="908351" spans="12:13" x14ac:dyDescent="0.25">
      <c r="L908351" s="472"/>
      <c r="M908351" s="472"/>
    </row>
    <row r="908352" spans="12:13" x14ac:dyDescent="0.25">
      <c r="L908352" s="472"/>
      <c r="M908352" s="472"/>
    </row>
    <row r="908353" spans="12:13" x14ac:dyDescent="0.25">
      <c r="L908353" s="472"/>
      <c r="M908353" s="472"/>
    </row>
    <row r="908425" spans="12:13" x14ac:dyDescent="0.25">
      <c r="L908425" s="472"/>
      <c r="M908425" s="472"/>
    </row>
    <row r="908426" spans="12:13" x14ac:dyDescent="0.25">
      <c r="L908426" s="472"/>
      <c r="M908426" s="472"/>
    </row>
    <row r="908427" spans="12:13" x14ac:dyDescent="0.25">
      <c r="L908427" s="472"/>
      <c r="M908427" s="472"/>
    </row>
    <row r="908499" spans="12:13" x14ac:dyDescent="0.25">
      <c r="L908499" s="472"/>
      <c r="M908499" s="472"/>
    </row>
    <row r="908500" spans="12:13" x14ac:dyDescent="0.25">
      <c r="L908500" s="472"/>
      <c r="M908500" s="472"/>
    </row>
    <row r="908501" spans="12:13" x14ac:dyDescent="0.25">
      <c r="L908501" s="472"/>
      <c r="M908501" s="472"/>
    </row>
    <row r="908573" spans="12:13" x14ac:dyDescent="0.25">
      <c r="L908573" s="472"/>
      <c r="M908573" s="472"/>
    </row>
    <row r="908574" spans="12:13" x14ac:dyDescent="0.25">
      <c r="L908574" s="472"/>
      <c r="M908574" s="472"/>
    </row>
    <row r="908575" spans="12:13" x14ac:dyDescent="0.25">
      <c r="L908575" s="472"/>
      <c r="M908575" s="472"/>
    </row>
    <row r="908647" spans="12:13" x14ac:dyDescent="0.25">
      <c r="L908647" s="472"/>
      <c r="M908647" s="472"/>
    </row>
    <row r="908648" spans="12:13" x14ac:dyDescent="0.25">
      <c r="L908648" s="472"/>
      <c r="M908648" s="472"/>
    </row>
    <row r="908649" spans="12:13" x14ac:dyDescent="0.25">
      <c r="L908649" s="472"/>
      <c r="M908649" s="472"/>
    </row>
    <row r="908721" spans="12:13" x14ac:dyDescent="0.25">
      <c r="L908721" s="472"/>
      <c r="M908721" s="472"/>
    </row>
    <row r="908722" spans="12:13" x14ac:dyDescent="0.25">
      <c r="L908722" s="472"/>
      <c r="M908722" s="472"/>
    </row>
    <row r="908723" spans="12:13" x14ac:dyDescent="0.25">
      <c r="L908723" s="472"/>
      <c r="M908723" s="472"/>
    </row>
    <row r="908795" spans="12:13" x14ac:dyDescent="0.25">
      <c r="L908795" s="472"/>
      <c r="M908795" s="472"/>
    </row>
    <row r="908796" spans="12:13" x14ac:dyDescent="0.25">
      <c r="L908796" s="472"/>
      <c r="M908796" s="472"/>
    </row>
    <row r="908797" spans="12:13" x14ac:dyDescent="0.25">
      <c r="L908797" s="472"/>
      <c r="M908797" s="472"/>
    </row>
    <row r="908869" spans="12:13" x14ac:dyDescent="0.25">
      <c r="L908869" s="472"/>
      <c r="M908869" s="472"/>
    </row>
    <row r="908870" spans="12:13" x14ac:dyDescent="0.25">
      <c r="L908870" s="472"/>
      <c r="M908870" s="472"/>
    </row>
    <row r="908871" spans="12:13" x14ac:dyDescent="0.25">
      <c r="L908871" s="472"/>
      <c r="M908871" s="472"/>
    </row>
    <row r="908943" spans="12:13" x14ac:dyDescent="0.25">
      <c r="L908943" s="472"/>
      <c r="M908943" s="472"/>
    </row>
    <row r="908944" spans="12:13" x14ac:dyDescent="0.25">
      <c r="L908944" s="472"/>
      <c r="M908944" s="472"/>
    </row>
    <row r="908945" spans="12:13" x14ac:dyDescent="0.25">
      <c r="L908945" s="472"/>
      <c r="M908945" s="472"/>
    </row>
    <row r="909017" spans="12:13" x14ac:dyDescent="0.25">
      <c r="L909017" s="472"/>
      <c r="M909017" s="472"/>
    </row>
    <row r="909018" spans="12:13" x14ac:dyDescent="0.25">
      <c r="L909018" s="472"/>
      <c r="M909018" s="472"/>
    </row>
    <row r="909019" spans="12:13" x14ac:dyDescent="0.25">
      <c r="L909019" s="472"/>
      <c r="M909019" s="472"/>
    </row>
    <row r="909091" spans="12:13" x14ac:dyDescent="0.25">
      <c r="L909091" s="472"/>
      <c r="M909091" s="472"/>
    </row>
    <row r="909092" spans="12:13" x14ac:dyDescent="0.25">
      <c r="L909092" s="472"/>
      <c r="M909092" s="472"/>
    </row>
    <row r="909093" spans="12:13" x14ac:dyDescent="0.25">
      <c r="L909093" s="472"/>
      <c r="M909093" s="472"/>
    </row>
    <row r="909165" spans="12:13" x14ac:dyDescent="0.25">
      <c r="L909165" s="472"/>
      <c r="M909165" s="472"/>
    </row>
    <row r="909166" spans="12:13" x14ac:dyDescent="0.25">
      <c r="L909166" s="472"/>
      <c r="M909166" s="472"/>
    </row>
    <row r="909167" spans="12:13" x14ac:dyDescent="0.25">
      <c r="L909167" s="472"/>
      <c r="M909167" s="472"/>
    </row>
    <row r="909239" spans="12:13" x14ac:dyDescent="0.25">
      <c r="L909239" s="472"/>
      <c r="M909239" s="472"/>
    </row>
    <row r="909240" spans="12:13" x14ac:dyDescent="0.25">
      <c r="L909240" s="472"/>
      <c r="M909240" s="472"/>
    </row>
    <row r="909241" spans="12:13" x14ac:dyDescent="0.25">
      <c r="L909241" s="472"/>
      <c r="M909241" s="472"/>
    </row>
    <row r="909313" spans="12:13" x14ac:dyDescent="0.25">
      <c r="L909313" s="472"/>
      <c r="M909313" s="472"/>
    </row>
    <row r="909314" spans="12:13" x14ac:dyDescent="0.25">
      <c r="L909314" s="472"/>
      <c r="M909314" s="472"/>
    </row>
    <row r="909315" spans="12:13" x14ac:dyDescent="0.25">
      <c r="L909315" s="472"/>
      <c r="M909315" s="472"/>
    </row>
    <row r="909387" spans="12:13" x14ac:dyDescent="0.25">
      <c r="L909387" s="472"/>
      <c r="M909387" s="472"/>
    </row>
    <row r="909388" spans="12:13" x14ac:dyDescent="0.25">
      <c r="L909388" s="472"/>
      <c r="M909388" s="472"/>
    </row>
    <row r="909389" spans="12:13" x14ac:dyDescent="0.25">
      <c r="L909389" s="472"/>
      <c r="M909389" s="472"/>
    </row>
    <row r="909461" spans="12:13" x14ac:dyDescent="0.25">
      <c r="L909461" s="472"/>
      <c r="M909461" s="472"/>
    </row>
    <row r="909462" spans="12:13" x14ac:dyDescent="0.25">
      <c r="L909462" s="472"/>
      <c r="M909462" s="472"/>
    </row>
    <row r="909463" spans="12:13" x14ac:dyDescent="0.25">
      <c r="L909463" s="472"/>
      <c r="M909463" s="472"/>
    </row>
    <row r="909535" spans="12:13" x14ac:dyDescent="0.25">
      <c r="L909535" s="472"/>
      <c r="M909535" s="472"/>
    </row>
    <row r="909536" spans="12:13" x14ac:dyDescent="0.25">
      <c r="L909536" s="472"/>
      <c r="M909536" s="472"/>
    </row>
    <row r="909537" spans="12:13" x14ac:dyDescent="0.25">
      <c r="L909537" s="472"/>
      <c r="M909537" s="472"/>
    </row>
    <row r="909609" spans="12:13" x14ac:dyDescent="0.25">
      <c r="L909609" s="472"/>
      <c r="M909609" s="472"/>
    </row>
    <row r="909610" spans="12:13" x14ac:dyDescent="0.25">
      <c r="L909610" s="472"/>
      <c r="M909610" s="472"/>
    </row>
    <row r="909611" spans="12:13" x14ac:dyDescent="0.25">
      <c r="L909611" s="472"/>
      <c r="M909611" s="472"/>
    </row>
    <row r="909683" spans="12:13" x14ac:dyDescent="0.25">
      <c r="L909683" s="472"/>
      <c r="M909683" s="472"/>
    </row>
    <row r="909684" spans="12:13" x14ac:dyDescent="0.25">
      <c r="L909684" s="472"/>
      <c r="M909684" s="472"/>
    </row>
    <row r="909685" spans="12:13" x14ac:dyDescent="0.25">
      <c r="L909685" s="472"/>
      <c r="M909685" s="472"/>
    </row>
    <row r="909757" spans="12:13" x14ac:dyDescent="0.25">
      <c r="L909757" s="472"/>
      <c r="M909757" s="472"/>
    </row>
    <row r="909758" spans="12:13" x14ac:dyDescent="0.25">
      <c r="L909758" s="472"/>
      <c r="M909758" s="472"/>
    </row>
    <row r="909759" spans="12:13" x14ac:dyDescent="0.25">
      <c r="L909759" s="472"/>
      <c r="M909759" s="472"/>
    </row>
    <row r="909831" spans="12:13" x14ac:dyDescent="0.25">
      <c r="L909831" s="472"/>
      <c r="M909831" s="472"/>
    </row>
    <row r="909832" spans="12:13" x14ac:dyDescent="0.25">
      <c r="L909832" s="472"/>
      <c r="M909832" s="472"/>
    </row>
    <row r="909833" spans="12:13" x14ac:dyDescent="0.25">
      <c r="L909833" s="472"/>
      <c r="M909833" s="472"/>
    </row>
    <row r="909905" spans="12:13" x14ac:dyDescent="0.25">
      <c r="L909905" s="472"/>
      <c r="M909905" s="472"/>
    </row>
    <row r="909906" spans="12:13" x14ac:dyDescent="0.25">
      <c r="L909906" s="472"/>
      <c r="M909906" s="472"/>
    </row>
    <row r="909907" spans="12:13" x14ac:dyDescent="0.25">
      <c r="L909907" s="472"/>
      <c r="M909907" s="472"/>
    </row>
    <row r="909979" spans="12:13" x14ac:dyDescent="0.25">
      <c r="L909979" s="472"/>
      <c r="M909979" s="472"/>
    </row>
    <row r="909980" spans="12:13" x14ac:dyDescent="0.25">
      <c r="L909980" s="472"/>
      <c r="M909980" s="472"/>
    </row>
    <row r="909981" spans="12:13" x14ac:dyDescent="0.25">
      <c r="L909981" s="472"/>
      <c r="M909981" s="472"/>
    </row>
    <row r="910053" spans="12:13" x14ac:dyDescent="0.25">
      <c r="L910053" s="472"/>
      <c r="M910053" s="472"/>
    </row>
    <row r="910054" spans="12:13" x14ac:dyDescent="0.25">
      <c r="L910054" s="472"/>
      <c r="M910054" s="472"/>
    </row>
    <row r="910055" spans="12:13" x14ac:dyDescent="0.25">
      <c r="L910055" s="472"/>
      <c r="M910055" s="472"/>
    </row>
    <row r="910127" spans="12:13" x14ac:dyDescent="0.25">
      <c r="L910127" s="472"/>
      <c r="M910127" s="472"/>
    </row>
    <row r="910128" spans="12:13" x14ac:dyDescent="0.25">
      <c r="L910128" s="472"/>
      <c r="M910128" s="472"/>
    </row>
    <row r="910129" spans="12:13" x14ac:dyDescent="0.25">
      <c r="L910129" s="472"/>
      <c r="M910129" s="472"/>
    </row>
    <row r="910201" spans="12:13" x14ac:dyDescent="0.25">
      <c r="L910201" s="472"/>
      <c r="M910201" s="472"/>
    </row>
    <row r="910202" spans="12:13" x14ac:dyDescent="0.25">
      <c r="L910202" s="472"/>
      <c r="M910202" s="472"/>
    </row>
    <row r="910203" spans="12:13" x14ac:dyDescent="0.25">
      <c r="L910203" s="472"/>
      <c r="M910203" s="472"/>
    </row>
    <row r="910275" spans="12:13" x14ac:dyDescent="0.25">
      <c r="L910275" s="472"/>
      <c r="M910275" s="472"/>
    </row>
    <row r="910276" spans="12:13" x14ac:dyDescent="0.25">
      <c r="L910276" s="472"/>
      <c r="M910276" s="472"/>
    </row>
    <row r="910277" spans="12:13" x14ac:dyDescent="0.25">
      <c r="L910277" s="472"/>
      <c r="M910277" s="472"/>
    </row>
    <row r="910349" spans="12:13" x14ac:dyDescent="0.25">
      <c r="L910349" s="472"/>
      <c r="M910349" s="472"/>
    </row>
    <row r="910350" spans="12:13" x14ac:dyDescent="0.25">
      <c r="L910350" s="472"/>
      <c r="M910350" s="472"/>
    </row>
    <row r="910351" spans="12:13" x14ac:dyDescent="0.25">
      <c r="L910351" s="472"/>
      <c r="M910351" s="472"/>
    </row>
    <row r="910423" spans="12:13" x14ac:dyDescent="0.25">
      <c r="L910423" s="472"/>
      <c r="M910423" s="472"/>
    </row>
    <row r="910424" spans="12:13" x14ac:dyDescent="0.25">
      <c r="L910424" s="472"/>
      <c r="M910424" s="472"/>
    </row>
    <row r="910425" spans="12:13" x14ac:dyDescent="0.25">
      <c r="L910425" s="472"/>
      <c r="M910425" s="472"/>
    </row>
    <row r="910497" spans="12:13" x14ac:dyDescent="0.25">
      <c r="L910497" s="472"/>
      <c r="M910497" s="472"/>
    </row>
    <row r="910498" spans="12:13" x14ac:dyDescent="0.25">
      <c r="L910498" s="472"/>
      <c r="M910498" s="472"/>
    </row>
    <row r="910499" spans="12:13" x14ac:dyDescent="0.25">
      <c r="L910499" s="472"/>
      <c r="M910499" s="472"/>
    </row>
    <row r="910571" spans="12:13" x14ac:dyDescent="0.25">
      <c r="L910571" s="472"/>
      <c r="M910571" s="472"/>
    </row>
    <row r="910572" spans="12:13" x14ac:dyDescent="0.25">
      <c r="L910572" s="472"/>
      <c r="M910572" s="472"/>
    </row>
    <row r="910573" spans="12:13" x14ac:dyDescent="0.25">
      <c r="L910573" s="472"/>
      <c r="M910573" s="472"/>
    </row>
    <row r="910645" spans="12:13" x14ac:dyDescent="0.25">
      <c r="L910645" s="472"/>
      <c r="M910645" s="472"/>
    </row>
    <row r="910646" spans="12:13" x14ac:dyDescent="0.25">
      <c r="L910646" s="472"/>
      <c r="M910646" s="472"/>
    </row>
    <row r="910647" spans="12:13" x14ac:dyDescent="0.25">
      <c r="L910647" s="472"/>
      <c r="M910647" s="472"/>
    </row>
    <row r="910719" spans="12:13" x14ac:dyDescent="0.25">
      <c r="L910719" s="472"/>
      <c r="M910719" s="472"/>
    </row>
    <row r="910720" spans="12:13" x14ac:dyDescent="0.25">
      <c r="L910720" s="472"/>
      <c r="M910720" s="472"/>
    </row>
    <row r="910721" spans="12:13" x14ac:dyDescent="0.25">
      <c r="L910721" s="472"/>
      <c r="M910721" s="472"/>
    </row>
    <row r="910793" spans="12:13" x14ac:dyDescent="0.25">
      <c r="L910793" s="472"/>
      <c r="M910793" s="472"/>
    </row>
    <row r="910794" spans="12:13" x14ac:dyDescent="0.25">
      <c r="L910794" s="472"/>
      <c r="M910794" s="472"/>
    </row>
    <row r="910795" spans="12:13" x14ac:dyDescent="0.25">
      <c r="L910795" s="472"/>
      <c r="M910795" s="472"/>
    </row>
    <row r="910867" spans="12:13" x14ac:dyDescent="0.25">
      <c r="L910867" s="472"/>
      <c r="M910867" s="472"/>
    </row>
    <row r="910868" spans="12:13" x14ac:dyDescent="0.25">
      <c r="L910868" s="472"/>
      <c r="M910868" s="472"/>
    </row>
    <row r="910869" spans="12:13" x14ac:dyDescent="0.25">
      <c r="L910869" s="472"/>
      <c r="M910869" s="472"/>
    </row>
    <row r="910941" spans="12:13" x14ac:dyDescent="0.25">
      <c r="L910941" s="472"/>
      <c r="M910941" s="472"/>
    </row>
    <row r="910942" spans="12:13" x14ac:dyDescent="0.25">
      <c r="L910942" s="472"/>
      <c r="M910942" s="472"/>
    </row>
    <row r="910943" spans="12:13" x14ac:dyDescent="0.25">
      <c r="L910943" s="472"/>
      <c r="M910943" s="472"/>
    </row>
    <row r="911015" spans="12:13" x14ac:dyDescent="0.25">
      <c r="L911015" s="472"/>
      <c r="M911015" s="472"/>
    </row>
    <row r="911016" spans="12:13" x14ac:dyDescent="0.25">
      <c r="L911016" s="472"/>
      <c r="M911016" s="472"/>
    </row>
    <row r="911017" spans="12:13" x14ac:dyDescent="0.25">
      <c r="L911017" s="472"/>
      <c r="M911017" s="472"/>
    </row>
    <row r="911089" spans="12:13" x14ac:dyDescent="0.25">
      <c r="L911089" s="472"/>
      <c r="M911089" s="472"/>
    </row>
    <row r="911090" spans="12:13" x14ac:dyDescent="0.25">
      <c r="L911090" s="472"/>
      <c r="M911090" s="472"/>
    </row>
    <row r="911091" spans="12:13" x14ac:dyDescent="0.25">
      <c r="L911091" s="472"/>
      <c r="M911091" s="472"/>
    </row>
    <row r="911163" spans="12:13" x14ac:dyDescent="0.25">
      <c r="L911163" s="472"/>
      <c r="M911163" s="472"/>
    </row>
    <row r="911164" spans="12:13" x14ac:dyDescent="0.25">
      <c r="L911164" s="472"/>
      <c r="M911164" s="472"/>
    </row>
    <row r="911165" spans="12:13" x14ac:dyDescent="0.25">
      <c r="L911165" s="472"/>
      <c r="M911165" s="472"/>
    </row>
    <row r="911237" spans="12:13" x14ac:dyDescent="0.25">
      <c r="L911237" s="472"/>
      <c r="M911237" s="472"/>
    </row>
    <row r="911238" spans="12:13" x14ac:dyDescent="0.25">
      <c r="L911238" s="472"/>
      <c r="M911238" s="472"/>
    </row>
    <row r="911239" spans="12:13" x14ac:dyDescent="0.25">
      <c r="L911239" s="472"/>
      <c r="M911239" s="472"/>
    </row>
    <row r="911311" spans="12:13" x14ac:dyDescent="0.25">
      <c r="L911311" s="472"/>
      <c r="M911311" s="472"/>
    </row>
    <row r="911312" spans="12:13" x14ac:dyDescent="0.25">
      <c r="L911312" s="472"/>
      <c r="M911312" s="472"/>
    </row>
    <row r="911313" spans="12:13" x14ac:dyDescent="0.25">
      <c r="L911313" s="472"/>
      <c r="M911313" s="472"/>
    </row>
    <row r="911385" spans="12:13" x14ac:dyDescent="0.25">
      <c r="L911385" s="472"/>
      <c r="M911385" s="472"/>
    </row>
    <row r="911386" spans="12:13" x14ac:dyDescent="0.25">
      <c r="L911386" s="472"/>
      <c r="M911386" s="472"/>
    </row>
    <row r="911387" spans="12:13" x14ac:dyDescent="0.25">
      <c r="L911387" s="472"/>
      <c r="M911387" s="472"/>
    </row>
    <row r="911459" spans="12:13" x14ac:dyDescent="0.25">
      <c r="L911459" s="472"/>
      <c r="M911459" s="472"/>
    </row>
    <row r="911460" spans="12:13" x14ac:dyDescent="0.25">
      <c r="L911460" s="472"/>
      <c r="M911460" s="472"/>
    </row>
    <row r="911461" spans="12:13" x14ac:dyDescent="0.25">
      <c r="L911461" s="472"/>
      <c r="M911461" s="472"/>
    </row>
    <row r="911533" spans="12:13" x14ac:dyDescent="0.25">
      <c r="L911533" s="472"/>
      <c r="M911533" s="472"/>
    </row>
    <row r="911534" spans="12:13" x14ac:dyDescent="0.25">
      <c r="L911534" s="472"/>
      <c r="M911534" s="472"/>
    </row>
    <row r="911535" spans="12:13" x14ac:dyDescent="0.25">
      <c r="L911535" s="472"/>
      <c r="M911535" s="472"/>
    </row>
    <row r="911607" spans="12:13" x14ac:dyDescent="0.25">
      <c r="L911607" s="472"/>
      <c r="M911607" s="472"/>
    </row>
    <row r="911608" spans="12:13" x14ac:dyDescent="0.25">
      <c r="L911608" s="472"/>
      <c r="M911608" s="472"/>
    </row>
    <row r="911609" spans="12:13" x14ac:dyDescent="0.25">
      <c r="L911609" s="472"/>
      <c r="M911609" s="472"/>
    </row>
    <row r="911681" spans="12:13" x14ac:dyDescent="0.25">
      <c r="L911681" s="472"/>
      <c r="M911681" s="472"/>
    </row>
    <row r="911682" spans="12:13" x14ac:dyDescent="0.25">
      <c r="L911682" s="472"/>
      <c r="M911682" s="472"/>
    </row>
    <row r="911683" spans="12:13" x14ac:dyDescent="0.25">
      <c r="L911683" s="472"/>
      <c r="M911683" s="472"/>
    </row>
    <row r="911755" spans="12:13" x14ac:dyDescent="0.25">
      <c r="L911755" s="472"/>
      <c r="M911755" s="472"/>
    </row>
    <row r="911756" spans="12:13" x14ac:dyDescent="0.25">
      <c r="L911756" s="472"/>
      <c r="M911756" s="472"/>
    </row>
    <row r="911757" spans="12:13" x14ac:dyDescent="0.25">
      <c r="L911757" s="472"/>
      <c r="M911757" s="472"/>
    </row>
    <row r="911829" spans="12:13" x14ac:dyDescent="0.25">
      <c r="L911829" s="472"/>
      <c r="M911829" s="472"/>
    </row>
    <row r="911830" spans="12:13" x14ac:dyDescent="0.25">
      <c r="L911830" s="472"/>
      <c r="M911830" s="472"/>
    </row>
    <row r="911831" spans="12:13" x14ac:dyDescent="0.25">
      <c r="L911831" s="472"/>
      <c r="M911831" s="472"/>
    </row>
    <row r="911903" spans="12:13" x14ac:dyDescent="0.25">
      <c r="L911903" s="472"/>
      <c r="M911903" s="472"/>
    </row>
    <row r="911904" spans="12:13" x14ac:dyDescent="0.25">
      <c r="L911904" s="472"/>
      <c r="M911904" s="472"/>
    </row>
    <row r="911905" spans="12:13" x14ac:dyDescent="0.25">
      <c r="L911905" s="472"/>
      <c r="M911905" s="472"/>
    </row>
    <row r="911977" spans="12:13" x14ac:dyDescent="0.25">
      <c r="L911977" s="472"/>
      <c r="M911977" s="472"/>
    </row>
    <row r="911978" spans="12:13" x14ac:dyDescent="0.25">
      <c r="L911978" s="472"/>
      <c r="M911978" s="472"/>
    </row>
    <row r="911979" spans="12:13" x14ac:dyDescent="0.25">
      <c r="L911979" s="472"/>
      <c r="M911979" s="472"/>
    </row>
    <row r="912051" spans="12:13" x14ac:dyDescent="0.25">
      <c r="L912051" s="472"/>
      <c r="M912051" s="472"/>
    </row>
    <row r="912052" spans="12:13" x14ac:dyDescent="0.25">
      <c r="L912052" s="472"/>
      <c r="M912052" s="472"/>
    </row>
    <row r="912053" spans="12:13" x14ac:dyDescent="0.25">
      <c r="L912053" s="472"/>
      <c r="M912053" s="472"/>
    </row>
    <row r="912125" spans="12:13" x14ac:dyDescent="0.25">
      <c r="L912125" s="472"/>
      <c r="M912125" s="472"/>
    </row>
    <row r="912126" spans="12:13" x14ac:dyDescent="0.25">
      <c r="L912126" s="472"/>
      <c r="M912126" s="472"/>
    </row>
    <row r="912127" spans="12:13" x14ac:dyDescent="0.25">
      <c r="L912127" s="472"/>
      <c r="M912127" s="472"/>
    </row>
    <row r="912199" spans="12:13" x14ac:dyDescent="0.25">
      <c r="L912199" s="472"/>
      <c r="M912199" s="472"/>
    </row>
    <row r="912200" spans="12:13" x14ac:dyDescent="0.25">
      <c r="L912200" s="472"/>
      <c r="M912200" s="472"/>
    </row>
    <row r="912201" spans="12:13" x14ac:dyDescent="0.25">
      <c r="L912201" s="472"/>
      <c r="M912201" s="472"/>
    </row>
    <row r="912273" spans="12:13" x14ac:dyDescent="0.25">
      <c r="L912273" s="472"/>
      <c r="M912273" s="472"/>
    </row>
    <row r="912274" spans="12:13" x14ac:dyDescent="0.25">
      <c r="L912274" s="472"/>
      <c r="M912274" s="472"/>
    </row>
    <row r="912275" spans="12:13" x14ac:dyDescent="0.25">
      <c r="L912275" s="472"/>
      <c r="M912275" s="472"/>
    </row>
    <row r="912347" spans="12:13" x14ac:dyDescent="0.25">
      <c r="L912347" s="472"/>
      <c r="M912347" s="472"/>
    </row>
    <row r="912348" spans="12:13" x14ac:dyDescent="0.25">
      <c r="L912348" s="472"/>
      <c r="M912348" s="472"/>
    </row>
    <row r="912349" spans="12:13" x14ac:dyDescent="0.25">
      <c r="L912349" s="472"/>
      <c r="M912349" s="472"/>
    </row>
    <row r="912421" spans="12:13" x14ac:dyDescent="0.25">
      <c r="L912421" s="472"/>
      <c r="M912421" s="472"/>
    </row>
    <row r="912422" spans="12:13" x14ac:dyDescent="0.25">
      <c r="L912422" s="472"/>
      <c r="M912422" s="472"/>
    </row>
    <row r="912423" spans="12:13" x14ac:dyDescent="0.25">
      <c r="L912423" s="472"/>
      <c r="M912423" s="472"/>
    </row>
    <row r="912495" spans="12:13" x14ac:dyDescent="0.25">
      <c r="L912495" s="472"/>
      <c r="M912495" s="472"/>
    </row>
    <row r="912496" spans="12:13" x14ac:dyDescent="0.25">
      <c r="L912496" s="472"/>
      <c r="M912496" s="472"/>
    </row>
    <row r="912497" spans="12:13" x14ac:dyDescent="0.25">
      <c r="L912497" s="472"/>
      <c r="M912497" s="472"/>
    </row>
    <row r="912569" spans="12:13" x14ac:dyDescent="0.25">
      <c r="L912569" s="472"/>
      <c r="M912569" s="472"/>
    </row>
    <row r="912570" spans="12:13" x14ac:dyDescent="0.25">
      <c r="L912570" s="472"/>
      <c r="M912570" s="472"/>
    </row>
    <row r="912571" spans="12:13" x14ac:dyDescent="0.25">
      <c r="L912571" s="472"/>
      <c r="M912571" s="472"/>
    </row>
    <row r="912643" spans="12:13" x14ac:dyDescent="0.25">
      <c r="L912643" s="472"/>
      <c r="M912643" s="472"/>
    </row>
    <row r="912644" spans="12:13" x14ac:dyDescent="0.25">
      <c r="L912644" s="472"/>
      <c r="M912644" s="472"/>
    </row>
    <row r="912645" spans="12:13" x14ac:dyDescent="0.25">
      <c r="L912645" s="472"/>
      <c r="M912645" s="472"/>
    </row>
    <row r="912717" spans="12:13" x14ac:dyDescent="0.25">
      <c r="L912717" s="472"/>
      <c r="M912717" s="472"/>
    </row>
    <row r="912718" spans="12:13" x14ac:dyDescent="0.25">
      <c r="L912718" s="472"/>
      <c r="M912718" s="472"/>
    </row>
    <row r="912719" spans="12:13" x14ac:dyDescent="0.25">
      <c r="L912719" s="472"/>
      <c r="M912719" s="472"/>
    </row>
    <row r="912791" spans="12:13" x14ac:dyDescent="0.25">
      <c r="L912791" s="472"/>
      <c r="M912791" s="472"/>
    </row>
    <row r="912792" spans="12:13" x14ac:dyDescent="0.25">
      <c r="L912792" s="472"/>
      <c r="M912792" s="472"/>
    </row>
    <row r="912793" spans="12:13" x14ac:dyDescent="0.25">
      <c r="L912793" s="472"/>
      <c r="M912793" s="472"/>
    </row>
    <row r="912865" spans="12:13" x14ac:dyDescent="0.25">
      <c r="L912865" s="472"/>
      <c r="M912865" s="472"/>
    </row>
    <row r="912866" spans="12:13" x14ac:dyDescent="0.25">
      <c r="L912866" s="472"/>
      <c r="M912866" s="472"/>
    </row>
    <row r="912867" spans="12:13" x14ac:dyDescent="0.25">
      <c r="L912867" s="472"/>
      <c r="M912867" s="472"/>
    </row>
    <row r="912939" spans="12:13" x14ac:dyDescent="0.25">
      <c r="L912939" s="472"/>
      <c r="M912939" s="472"/>
    </row>
    <row r="912940" spans="12:13" x14ac:dyDescent="0.25">
      <c r="L912940" s="472"/>
      <c r="M912940" s="472"/>
    </row>
    <row r="912941" spans="12:13" x14ac:dyDescent="0.25">
      <c r="L912941" s="472"/>
      <c r="M912941" s="472"/>
    </row>
    <row r="913013" spans="12:13" x14ac:dyDescent="0.25">
      <c r="L913013" s="472"/>
      <c r="M913013" s="472"/>
    </row>
    <row r="913014" spans="12:13" x14ac:dyDescent="0.25">
      <c r="L913014" s="472"/>
      <c r="M913014" s="472"/>
    </row>
    <row r="913015" spans="12:13" x14ac:dyDescent="0.25">
      <c r="L913015" s="472"/>
      <c r="M913015" s="472"/>
    </row>
    <row r="913087" spans="12:13" x14ac:dyDescent="0.25">
      <c r="L913087" s="472"/>
      <c r="M913087" s="472"/>
    </row>
    <row r="913088" spans="12:13" x14ac:dyDescent="0.25">
      <c r="L913088" s="472"/>
      <c r="M913088" s="472"/>
    </row>
    <row r="913089" spans="12:13" x14ac:dyDescent="0.25">
      <c r="L913089" s="472"/>
      <c r="M913089" s="472"/>
    </row>
    <row r="913161" spans="12:13" x14ac:dyDescent="0.25">
      <c r="L913161" s="472"/>
      <c r="M913161" s="472"/>
    </row>
    <row r="913162" spans="12:13" x14ac:dyDescent="0.25">
      <c r="L913162" s="472"/>
      <c r="M913162" s="472"/>
    </row>
    <row r="913163" spans="12:13" x14ac:dyDescent="0.25">
      <c r="L913163" s="472"/>
      <c r="M913163" s="472"/>
    </row>
    <row r="913235" spans="12:13" x14ac:dyDescent="0.25">
      <c r="L913235" s="472"/>
      <c r="M913235" s="472"/>
    </row>
    <row r="913236" spans="12:13" x14ac:dyDescent="0.25">
      <c r="L913236" s="472"/>
      <c r="M913236" s="472"/>
    </row>
    <row r="913237" spans="12:13" x14ac:dyDescent="0.25">
      <c r="L913237" s="472"/>
      <c r="M913237" s="472"/>
    </row>
    <row r="913309" spans="12:13" x14ac:dyDescent="0.25">
      <c r="L913309" s="472"/>
      <c r="M913309" s="472"/>
    </row>
    <row r="913310" spans="12:13" x14ac:dyDescent="0.25">
      <c r="L913310" s="472"/>
      <c r="M913310" s="472"/>
    </row>
    <row r="913311" spans="12:13" x14ac:dyDescent="0.25">
      <c r="L913311" s="472"/>
      <c r="M913311" s="472"/>
    </row>
    <row r="913383" spans="12:13" x14ac:dyDescent="0.25">
      <c r="L913383" s="472"/>
      <c r="M913383" s="472"/>
    </row>
    <row r="913384" spans="12:13" x14ac:dyDescent="0.25">
      <c r="L913384" s="472"/>
      <c r="M913384" s="472"/>
    </row>
    <row r="913385" spans="12:13" x14ac:dyDescent="0.25">
      <c r="L913385" s="472"/>
      <c r="M913385" s="472"/>
    </row>
    <row r="913457" spans="12:13" x14ac:dyDescent="0.25">
      <c r="L913457" s="472"/>
      <c r="M913457" s="472"/>
    </row>
    <row r="913458" spans="12:13" x14ac:dyDescent="0.25">
      <c r="L913458" s="472"/>
      <c r="M913458" s="472"/>
    </row>
    <row r="913459" spans="12:13" x14ac:dyDescent="0.25">
      <c r="L913459" s="472"/>
      <c r="M913459" s="472"/>
    </row>
    <row r="913531" spans="12:13" x14ac:dyDescent="0.25">
      <c r="L913531" s="472"/>
      <c r="M913531" s="472"/>
    </row>
    <row r="913532" spans="12:13" x14ac:dyDescent="0.25">
      <c r="L913532" s="472"/>
      <c r="M913532" s="472"/>
    </row>
    <row r="913533" spans="12:13" x14ac:dyDescent="0.25">
      <c r="L913533" s="472"/>
      <c r="M913533" s="472"/>
    </row>
    <row r="913605" spans="12:13" x14ac:dyDescent="0.25">
      <c r="L913605" s="472"/>
      <c r="M913605" s="472"/>
    </row>
    <row r="913606" spans="12:13" x14ac:dyDescent="0.25">
      <c r="L913606" s="472"/>
      <c r="M913606" s="472"/>
    </row>
    <row r="913607" spans="12:13" x14ac:dyDescent="0.25">
      <c r="L913607" s="472"/>
      <c r="M913607" s="472"/>
    </row>
    <row r="913679" spans="12:13" x14ac:dyDescent="0.25">
      <c r="L913679" s="472"/>
      <c r="M913679" s="472"/>
    </row>
    <row r="913680" spans="12:13" x14ac:dyDescent="0.25">
      <c r="L913680" s="472"/>
      <c r="M913680" s="472"/>
    </row>
    <row r="913681" spans="12:13" x14ac:dyDescent="0.25">
      <c r="L913681" s="472"/>
      <c r="M913681" s="472"/>
    </row>
    <row r="913753" spans="12:13" x14ac:dyDescent="0.25">
      <c r="L913753" s="472"/>
      <c r="M913753" s="472"/>
    </row>
    <row r="913754" spans="12:13" x14ac:dyDescent="0.25">
      <c r="L913754" s="472"/>
      <c r="M913754" s="472"/>
    </row>
    <row r="913755" spans="12:13" x14ac:dyDescent="0.25">
      <c r="L913755" s="472"/>
      <c r="M913755" s="472"/>
    </row>
    <row r="913827" spans="12:13" x14ac:dyDescent="0.25">
      <c r="L913827" s="472"/>
      <c r="M913827" s="472"/>
    </row>
    <row r="913828" spans="12:13" x14ac:dyDescent="0.25">
      <c r="L913828" s="472"/>
      <c r="M913828" s="472"/>
    </row>
    <row r="913829" spans="12:13" x14ac:dyDescent="0.25">
      <c r="L913829" s="472"/>
      <c r="M913829" s="472"/>
    </row>
    <row r="913901" spans="12:13" x14ac:dyDescent="0.25">
      <c r="L913901" s="472"/>
      <c r="M913901" s="472"/>
    </row>
    <row r="913902" spans="12:13" x14ac:dyDescent="0.25">
      <c r="L913902" s="472"/>
      <c r="M913902" s="472"/>
    </row>
    <row r="913903" spans="12:13" x14ac:dyDescent="0.25">
      <c r="L913903" s="472"/>
      <c r="M913903" s="472"/>
    </row>
    <row r="913975" spans="12:13" x14ac:dyDescent="0.25">
      <c r="L913975" s="472"/>
      <c r="M913975" s="472"/>
    </row>
    <row r="913976" spans="12:13" x14ac:dyDescent="0.25">
      <c r="L913976" s="472"/>
      <c r="M913976" s="472"/>
    </row>
    <row r="913977" spans="12:13" x14ac:dyDescent="0.25">
      <c r="L913977" s="472"/>
      <c r="M913977" s="472"/>
    </row>
    <row r="914049" spans="12:13" x14ac:dyDescent="0.25">
      <c r="L914049" s="472"/>
      <c r="M914049" s="472"/>
    </row>
    <row r="914050" spans="12:13" x14ac:dyDescent="0.25">
      <c r="L914050" s="472"/>
      <c r="M914050" s="472"/>
    </row>
    <row r="914051" spans="12:13" x14ac:dyDescent="0.25">
      <c r="L914051" s="472"/>
      <c r="M914051" s="472"/>
    </row>
    <row r="914123" spans="12:13" x14ac:dyDescent="0.25">
      <c r="L914123" s="472"/>
      <c r="M914123" s="472"/>
    </row>
    <row r="914124" spans="12:13" x14ac:dyDescent="0.25">
      <c r="L914124" s="472"/>
      <c r="M914124" s="472"/>
    </row>
    <row r="914125" spans="12:13" x14ac:dyDescent="0.25">
      <c r="L914125" s="472"/>
      <c r="M914125" s="472"/>
    </row>
    <row r="914197" spans="12:13" x14ac:dyDescent="0.25">
      <c r="L914197" s="472"/>
      <c r="M914197" s="472"/>
    </row>
    <row r="914198" spans="12:13" x14ac:dyDescent="0.25">
      <c r="L914198" s="472"/>
      <c r="M914198" s="472"/>
    </row>
    <row r="914199" spans="12:13" x14ac:dyDescent="0.25">
      <c r="L914199" s="472"/>
      <c r="M914199" s="472"/>
    </row>
    <row r="914271" spans="12:13" x14ac:dyDescent="0.25">
      <c r="L914271" s="472"/>
      <c r="M914271" s="472"/>
    </row>
    <row r="914272" spans="12:13" x14ac:dyDescent="0.25">
      <c r="L914272" s="472"/>
      <c r="M914272" s="472"/>
    </row>
    <row r="914273" spans="12:13" x14ac:dyDescent="0.25">
      <c r="L914273" s="472"/>
      <c r="M914273" s="472"/>
    </row>
    <row r="914345" spans="12:13" x14ac:dyDescent="0.25">
      <c r="L914345" s="472"/>
      <c r="M914345" s="472"/>
    </row>
    <row r="914346" spans="12:13" x14ac:dyDescent="0.25">
      <c r="L914346" s="472"/>
      <c r="M914346" s="472"/>
    </row>
    <row r="914347" spans="12:13" x14ac:dyDescent="0.25">
      <c r="L914347" s="472"/>
      <c r="M914347" s="472"/>
    </row>
    <row r="914419" spans="12:13" x14ac:dyDescent="0.25">
      <c r="L914419" s="472"/>
      <c r="M914419" s="472"/>
    </row>
    <row r="914420" spans="12:13" x14ac:dyDescent="0.25">
      <c r="L914420" s="472"/>
      <c r="M914420" s="472"/>
    </row>
    <row r="914421" spans="12:13" x14ac:dyDescent="0.25">
      <c r="L914421" s="472"/>
      <c r="M914421" s="472"/>
    </row>
    <row r="914493" spans="12:13" x14ac:dyDescent="0.25">
      <c r="L914493" s="472"/>
      <c r="M914493" s="472"/>
    </row>
    <row r="914494" spans="12:13" x14ac:dyDescent="0.25">
      <c r="L914494" s="472"/>
      <c r="M914494" s="472"/>
    </row>
    <row r="914495" spans="12:13" x14ac:dyDescent="0.25">
      <c r="L914495" s="472"/>
      <c r="M914495" s="472"/>
    </row>
    <row r="914567" spans="12:13" x14ac:dyDescent="0.25">
      <c r="L914567" s="472"/>
      <c r="M914567" s="472"/>
    </row>
    <row r="914568" spans="12:13" x14ac:dyDescent="0.25">
      <c r="L914568" s="472"/>
      <c r="M914568" s="472"/>
    </row>
    <row r="914569" spans="12:13" x14ac:dyDescent="0.25">
      <c r="L914569" s="472"/>
      <c r="M914569" s="472"/>
    </row>
    <row r="914641" spans="12:13" x14ac:dyDescent="0.25">
      <c r="L914641" s="472"/>
      <c r="M914641" s="472"/>
    </row>
    <row r="914642" spans="12:13" x14ac:dyDescent="0.25">
      <c r="L914642" s="472"/>
      <c r="M914642" s="472"/>
    </row>
    <row r="914643" spans="12:13" x14ac:dyDescent="0.25">
      <c r="L914643" s="472"/>
      <c r="M914643" s="472"/>
    </row>
    <row r="914715" spans="12:13" x14ac:dyDescent="0.25">
      <c r="L914715" s="472"/>
      <c r="M914715" s="472"/>
    </row>
    <row r="914716" spans="12:13" x14ac:dyDescent="0.25">
      <c r="L914716" s="472"/>
      <c r="M914716" s="472"/>
    </row>
    <row r="914717" spans="12:13" x14ac:dyDescent="0.25">
      <c r="L914717" s="472"/>
      <c r="M914717" s="472"/>
    </row>
    <row r="914789" spans="12:13" x14ac:dyDescent="0.25">
      <c r="L914789" s="472"/>
      <c r="M914789" s="472"/>
    </row>
    <row r="914790" spans="12:13" x14ac:dyDescent="0.25">
      <c r="L914790" s="472"/>
      <c r="M914790" s="472"/>
    </row>
    <row r="914791" spans="12:13" x14ac:dyDescent="0.25">
      <c r="L914791" s="472"/>
      <c r="M914791" s="472"/>
    </row>
    <row r="914863" spans="12:13" x14ac:dyDescent="0.25">
      <c r="L914863" s="472"/>
      <c r="M914863" s="472"/>
    </row>
    <row r="914864" spans="12:13" x14ac:dyDescent="0.25">
      <c r="L914864" s="472"/>
      <c r="M914864" s="472"/>
    </row>
    <row r="914865" spans="12:13" x14ac:dyDescent="0.25">
      <c r="L914865" s="472"/>
      <c r="M914865" s="472"/>
    </row>
    <row r="914937" spans="12:13" x14ac:dyDescent="0.25">
      <c r="L914937" s="472"/>
      <c r="M914937" s="472"/>
    </row>
    <row r="914938" spans="12:13" x14ac:dyDescent="0.25">
      <c r="L914938" s="472"/>
      <c r="M914938" s="472"/>
    </row>
    <row r="914939" spans="12:13" x14ac:dyDescent="0.25">
      <c r="L914939" s="472"/>
      <c r="M914939" s="472"/>
    </row>
    <row r="915011" spans="12:13" x14ac:dyDescent="0.25">
      <c r="L915011" s="472"/>
      <c r="M915011" s="472"/>
    </row>
    <row r="915012" spans="12:13" x14ac:dyDescent="0.25">
      <c r="L915012" s="472"/>
      <c r="M915012" s="472"/>
    </row>
    <row r="915013" spans="12:13" x14ac:dyDescent="0.25">
      <c r="L915013" s="472"/>
      <c r="M915013" s="472"/>
    </row>
    <row r="915085" spans="12:13" x14ac:dyDescent="0.25">
      <c r="L915085" s="472"/>
      <c r="M915085" s="472"/>
    </row>
    <row r="915086" spans="12:13" x14ac:dyDescent="0.25">
      <c r="L915086" s="472"/>
      <c r="M915086" s="472"/>
    </row>
    <row r="915087" spans="12:13" x14ac:dyDescent="0.25">
      <c r="L915087" s="472"/>
      <c r="M915087" s="472"/>
    </row>
    <row r="915159" spans="12:13" x14ac:dyDescent="0.25">
      <c r="L915159" s="472"/>
      <c r="M915159" s="472"/>
    </row>
    <row r="915160" spans="12:13" x14ac:dyDescent="0.25">
      <c r="L915160" s="472"/>
      <c r="M915160" s="472"/>
    </row>
    <row r="915161" spans="12:13" x14ac:dyDescent="0.25">
      <c r="L915161" s="472"/>
      <c r="M915161" s="472"/>
    </row>
    <row r="915233" spans="12:13" x14ac:dyDescent="0.25">
      <c r="L915233" s="472"/>
      <c r="M915233" s="472"/>
    </row>
    <row r="915234" spans="12:13" x14ac:dyDescent="0.25">
      <c r="L915234" s="472"/>
      <c r="M915234" s="472"/>
    </row>
    <row r="915235" spans="12:13" x14ac:dyDescent="0.25">
      <c r="L915235" s="472"/>
      <c r="M915235" s="472"/>
    </row>
    <row r="915307" spans="12:13" x14ac:dyDescent="0.25">
      <c r="L915307" s="472"/>
      <c r="M915307" s="472"/>
    </row>
    <row r="915308" spans="12:13" x14ac:dyDescent="0.25">
      <c r="L915308" s="472"/>
      <c r="M915308" s="472"/>
    </row>
    <row r="915309" spans="12:13" x14ac:dyDescent="0.25">
      <c r="L915309" s="472"/>
      <c r="M915309" s="472"/>
    </row>
    <row r="915381" spans="12:13" x14ac:dyDescent="0.25">
      <c r="L915381" s="472"/>
      <c r="M915381" s="472"/>
    </row>
    <row r="915382" spans="12:13" x14ac:dyDescent="0.25">
      <c r="L915382" s="472"/>
      <c r="M915382" s="472"/>
    </row>
    <row r="915383" spans="12:13" x14ac:dyDescent="0.25">
      <c r="L915383" s="472"/>
      <c r="M915383" s="472"/>
    </row>
    <row r="915455" spans="12:13" x14ac:dyDescent="0.25">
      <c r="L915455" s="472"/>
      <c r="M915455" s="472"/>
    </row>
    <row r="915456" spans="12:13" x14ac:dyDescent="0.25">
      <c r="L915456" s="472"/>
      <c r="M915456" s="472"/>
    </row>
    <row r="915457" spans="12:13" x14ac:dyDescent="0.25">
      <c r="L915457" s="472"/>
      <c r="M915457" s="472"/>
    </row>
    <row r="915529" spans="12:13" x14ac:dyDescent="0.25">
      <c r="L915529" s="472"/>
      <c r="M915529" s="472"/>
    </row>
    <row r="915530" spans="12:13" x14ac:dyDescent="0.25">
      <c r="L915530" s="472"/>
      <c r="M915530" s="472"/>
    </row>
    <row r="915531" spans="12:13" x14ac:dyDescent="0.25">
      <c r="L915531" s="472"/>
      <c r="M915531" s="472"/>
    </row>
    <row r="915603" spans="12:13" x14ac:dyDescent="0.25">
      <c r="L915603" s="472"/>
      <c r="M915603" s="472"/>
    </row>
    <row r="915604" spans="12:13" x14ac:dyDescent="0.25">
      <c r="L915604" s="472"/>
      <c r="M915604" s="472"/>
    </row>
    <row r="915605" spans="12:13" x14ac:dyDescent="0.25">
      <c r="L915605" s="472"/>
      <c r="M915605" s="472"/>
    </row>
    <row r="915677" spans="12:13" x14ac:dyDescent="0.25">
      <c r="L915677" s="472"/>
      <c r="M915677" s="472"/>
    </row>
    <row r="915678" spans="12:13" x14ac:dyDescent="0.25">
      <c r="L915678" s="472"/>
      <c r="M915678" s="472"/>
    </row>
    <row r="915679" spans="12:13" x14ac:dyDescent="0.25">
      <c r="L915679" s="472"/>
      <c r="M915679" s="472"/>
    </row>
    <row r="915751" spans="12:13" x14ac:dyDescent="0.25">
      <c r="L915751" s="472"/>
      <c r="M915751" s="472"/>
    </row>
    <row r="915752" spans="12:13" x14ac:dyDescent="0.25">
      <c r="L915752" s="472"/>
      <c r="M915752" s="472"/>
    </row>
    <row r="915753" spans="12:13" x14ac:dyDescent="0.25">
      <c r="L915753" s="472"/>
      <c r="M915753" s="472"/>
    </row>
    <row r="915825" spans="12:13" x14ac:dyDescent="0.25">
      <c r="L915825" s="472"/>
      <c r="M915825" s="472"/>
    </row>
    <row r="915826" spans="12:13" x14ac:dyDescent="0.25">
      <c r="L915826" s="472"/>
      <c r="M915826" s="472"/>
    </row>
    <row r="915827" spans="12:13" x14ac:dyDescent="0.25">
      <c r="L915827" s="472"/>
      <c r="M915827" s="472"/>
    </row>
    <row r="915899" spans="12:13" x14ac:dyDescent="0.25">
      <c r="L915899" s="472"/>
      <c r="M915899" s="472"/>
    </row>
    <row r="915900" spans="12:13" x14ac:dyDescent="0.25">
      <c r="L915900" s="472"/>
      <c r="M915900" s="472"/>
    </row>
    <row r="915901" spans="12:13" x14ac:dyDescent="0.25">
      <c r="L915901" s="472"/>
      <c r="M915901" s="472"/>
    </row>
    <row r="915973" spans="12:13" x14ac:dyDescent="0.25">
      <c r="L915973" s="472"/>
      <c r="M915973" s="472"/>
    </row>
    <row r="915974" spans="12:13" x14ac:dyDescent="0.25">
      <c r="L915974" s="472"/>
      <c r="M915974" s="472"/>
    </row>
    <row r="915975" spans="12:13" x14ac:dyDescent="0.25">
      <c r="L915975" s="472"/>
      <c r="M915975" s="472"/>
    </row>
    <row r="916047" spans="12:13" x14ac:dyDescent="0.25">
      <c r="L916047" s="472"/>
      <c r="M916047" s="472"/>
    </row>
    <row r="916048" spans="12:13" x14ac:dyDescent="0.25">
      <c r="L916048" s="472"/>
      <c r="M916048" s="472"/>
    </row>
    <row r="916049" spans="12:13" x14ac:dyDescent="0.25">
      <c r="L916049" s="472"/>
      <c r="M916049" s="472"/>
    </row>
    <row r="916121" spans="12:13" x14ac:dyDescent="0.25">
      <c r="L916121" s="472"/>
      <c r="M916121" s="472"/>
    </row>
    <row r="916122" spans="12:13" x14ac:dyDescent="0.25">
      <c r="L916122" s="472"/>
      <c r="M916122" s="472"/>
    </row>
    <row r="916123" spans="12:13" x14ac:dyDescent="0.25">
      <c r="L916123" s="472"/>
      <c r="M916123" s="472"/>
    </row>
    <row r="916195" spans="12:13" x14ac:dyDescent="0.25">
      <c r="L916195" s="472"/>
      <c r="M916195" s="472"/>
    </row>
    <row r="916196" spans="12:13" x14ac:dyDescent="0.25">
      <c r="L916196" s="472"/>
      <c r="M916196" s="472"/>
    </row>
    <row r="916197" spans="12:13" x14ac:dyDescent="0.25">
      <c r="L916197" s="472"/>
      <c r="M916197" s="472"/>
    </row>
    <row r="916269" spans="12:13" x14ac:dyDescent="0.25">
      <c r="L916269" s="472"/>
      <c r="M916269" s="472"/>
    </row>
    <row r="916270" spans="12:13" x14ac:dyDescent="0.25">
      <c r="L916270" s="472"/>
      <c r="M916270" s="472"/>
    </row>
    <row r="916271" spans="12:13" x14ac:dyDescent="0.25">
      <c r="L916271" s="472"/>
      <c r="M916271" s="472"/>
    </row>
    <row r="916343" spans="12:13" x14ac:dyDescent="0.25">
      <c r="L916343" s="472"/>
      <c r="M916343" s="472"/>
    </row>
    <row r="916344" spans="12:13" x14ac:dyDescent="0.25">
      <c r="L916344" s="472"/>
      <c r="M916344" s="472"/>
    </row>
    <row r="916345" spans="12:13" x14ac:dyDescent="0.25">
      <c r="L916345" s="472"/>
      <c r="M916345" s="472"/>
    </row>
    <row r="916417" spans="12:13" x14ac:dyDescent="0.25">
      <c r="L916417" s="472"/>
      <c r="M916417" s="472"/>
    </row>
    <row r="916418" spans="12:13" x14ac:dyDescent="0.25">
      <c r="L916418" s="472"/>
      <c r="M916418" s="472"/>
    </row>
    <row r="916419" spans="12:13" x14ac:dyDescent="0.25">
      <c r="L916419" s="472"/>
      <c r="M916419" s="472"/>
    </row>
    <row r="916491" spans="12:13" x14ac:dyDescent="0.25">
      <c r="L916491" s="472"/>
      <c r="M916491" s="472"/>
    </row>
    <row r="916492" spans="12:13" x14ac:dyDescent="0.25">
      <c r="L916492" s="472"/>
      <c r="M916492" s="472"/>
    </row>
    <row r="916493" spans="12:13" x14ac:dyDescent="0.25">
      <c r="L916493" s="472"/>
      <c r="M916493" s="472"/>
    </row>
    <row r="916565" spans="12:13" x14ac:dyDescent="0.25">
      <c r="L916565" s="472"/>
      <c r="M916565" s="472"/>
    </row>
    <row r="916566" spans="12:13" x14ac:dyDescent="0.25">
      <c r="L916566" s="472"/>
      <c r="M916566" s="472"/>
    </row>
    <row r="916567" spans="12:13" x14ac:dyDescent="0.25">
      <c r="L916567" s="472"/>
      <c r="M916567" s="472"/>
    </row>
    <row r="916639" spans="12:13" x14ac:dyDescent="0.25">
      <c r="L916639" s="472"/>
      <c r="M916639" s="472"/>
    </row>
    <row r="916640" spans="12:13" x14ac:dyDescent="0.25">
      <c r="L916640" s="472"/>
      <c r="M916640" s="472"/>
    </row>
    <row r="916641" spans="12:13" x14ac:dyDescent="0.25">
      <c r="L916641" s="472"/>
      <c r="M916641" s="472"/>
    </row>
    <row r="916713" spans="12:13" x14ac:dyDescent="0.25">
      <c r="L916713" s="472"/>
      <c r="M916713" s="472"/>
    </row>
    <row r="916714" spans="12:13" x14ac:dyDescent="0.25">
      <c r="L916714" s="472"/>
      <c r="M916714" s="472"/>
    </row>
    <row r="916715" spans="12:13" x14ac:dyDescent="0.25">
      <c r="L916715" s="472"/>
      <c r="M916715" s="472"/>
    </row>
    <row r="916787" spans="12:13" x14ac:dyDescent="0.25">
      <c r="L916787" s="472"/>
      <c r="M916787" s="472"/>
    </row>
    <row r="916788" spans="12:13" x14ac:dyDescent="0.25">
      <c r="L916788" s="472"/>
      <c r="M916788" s="472"/>
    </row>
    <row r="916789" spans="12:13" x14ac:dyDescent="0.25">
      <c r="L916789" s="472"/>
      <c r="M916789" s="472"/>
    </row>
    <row r="916861" spans="12:13" x14ac:dyDescent="0.25">
      <c r="L916861" s="472"/>
      <c r="M916861" s="472"/>
    </row>
    <row r="916862" spans="12:13" x14ac:dyDescent="0.25">
      <c r="L916862" s="472"/>
      <c r="M916862" s="472"/>
    </row>
    <row r="916863" spans="12:13" x14ac:dyDescent="0.25">
      <c r="L916863" s="472"/>
      <c r="M916863" s="472"/>
    </row>
    <row r="916935" spans="12:13" x14ac:dyDescent="0.25">
      <c r="L916935" s="472"/>
      <c r="M916935" s="472"/>
    </row>
    <row r="916936" spans="12:13" x14ac:dyDescent="0.25">
      <c r="L916936" s="472"/>
      <c r="M916936" s="472"/>
    </row>
    <row r="916937" spans="12:13" x14ac:dyDescent="0.25">
      <c r="L916937" s="472"/>
      <c r="M916937" s="472"/>
    </row>
    <row r="917009" spans="12:13" x14ac:dyDescent="0.25">
      <c r="L917009" s="472"/>
      <c r="M917009" s="472"/>
    </row>
    <row r="917010" spans="12:13" x14ac:dyDescent="0.25">
      <c r="L917010" s="472"/>
      <c r="M917010" s="472"/>
    </row>
    <row r="917011" spans="12:13" x14ac:dyDescent="0.25">
      <c r="L917011" s="472"/>
      <c r="M917011" s="472"/>
    </row>
    <row r="917083" spans="12:13" x14ac:dyDescent="0.25">
      <c r="L917083" s="472"/>
      <c r="M917083" s="472"/>
    </row>
    <row r="917084" spans="12:13" x14ac:dyDescent="0.25">
      <c r="L917084" s="472"/>
      <c r="M917084" s="472"/>
    </row>
    <row r="917085" spans="12:13" x14ac:dyDescent="0.25">
      <c r="L917085" s="472"/>
      <c r="M917085" s="472"/>
    </row>
    <row r="917157" spans="12:13" x14ac:dyDescent="0.25">
      <c r="L917157" s="472"/>
      <c r="M917157" s="472"/>
    </row>
    <row r="917158" spans="12:13" x14ac:dyDescent="0.25">
      <c r="L917158" s="472"/>
      <c r="M917158" s="472"/>
    </row>
    <row r="917159" spans="12:13" x14ac:dyDescent="0.25">
      <c r="L917159" s="472"/>
      <c r="M917159" s="472"/>
    </row>
    <row r="917231" spans="12:13" x14ac:dyDescent="0.25">
      <c r="L917231" s="472"/>
      <c r="M917231" s="472"/>
    </row>
    <row r="917232" spans="12:13" x14ac:dyDescent="0.25">
      <c r="L917232" s="472"/>
      <c r="M917232" s="472"/>
    </row>
    <row r="917233" spans="12:13" x14ac:dyDescent="0.25">
      <c r="L917233" s="472"/>
      <c r="M917233" s="472"/>
    </row>
    <row r="917305" spans="12:13" x14ac:dyDescent="0.25">
      <c r="L917305" s="472"/>
      <c r="M917305" s="472"/>
    </row>
    <row r="917306" spans="12:13" x14ac:dyDescent="0.25">
      <c r="L917306" s="472"/>
      <c r="M917306" s="472"/>
    </row>
    <row r="917307" spans="12:13" x14ac:dyDescent="0.25">
      <c r="L917307" s="472"/>
      <c r="M917307" s="472"/>
    </row>
    <row r="917379" spans="12:13" x14ac:dyDescent="0.25">
      <c r="L917379" s="472"/>
      <c r="M917379" s="472"/>
    </row>
    <row r="917380" spans="12:13" x14ac:dyDescent="0.25">
      <c r="L917380" s="472"/>
      <c r="M917380" s="472"/>
    </row>
    <row r="917381" spans="12:13" x14ac:dyDescent="0.25">
      <c r="L917381" s="472"/>
      <c r="M917381" s="472"/>
    </row>
    <row r="917453" spans="12:13" x14ac:dyDescent="0.25">
      <c r="L917453" s="472"/>
      <c r="M917453" s="472"/>
    </row>
    <row r="917454" spans="12:13" x14ac:dyDescent="0.25">
      <c r="L917454" s="472"/>
      <c r="M917454" s="472"/>
    </row>
    <row r="917455" spans="12:13" x14ac:dyDescent="0.25">
      <c r="L917455" s="472"/>
      <c r="M917455" s="472"/>
    </row>
    <row r="917527" spans="12:13" x14ac:dyDescent="0.25">
      <c r="L917527" s="472"/>
      <c r="M917527" s="472"/>
    </row>
    <row r="917528" spans="12:13" x14ac:dyDescent="0.25">
      <c r="L917528" s="472"/>
      <c r="M917528" s="472"/>
    </row>
    <row r="917529" spans="12:13" x14ac:dyDescent="0.25">
      <c r="L917529" s="472"/>
      <c r="M917529" s="472"/>
    </row>
    <row r="917601" spans="12:13" x14ac:dyDescent="0.25">
      <c r="L917601" s="472"/>
      <c r="M917601" s="472"/>
    </row>
    <row r="917602" spans="12:13" x14ac:dyDescent="0.25">
      <c r="L917602" s="472"/>
      <c r="M917602" s="472"/>
    </row>
    <row r="917603" spans="12:13" x14ac:dyDescent="0.25">
      <c r="L917603" s="472"/>
      <c r="M917603" s="472"/>
    </row>
    <row r="917675" spans="12:13" x14ac:dyDescent="0.25">
      <c r="L917675" s="472"/>
      <c r="M917675" s="472"/>
    </row>
    <row r="917676" spans="12:13" x14ac:dyDescent="0.25">
      <c r="L917676" s="472"/>
      <c r="M917676" s="472"/>
    </row>
    <row r="917677" spans="12:13" x14ac:dyDescent="0.25">
      <c r="L917677" s="472"/>
      <c r="M917677" s="472"/>
    </row>
    <row r="917749" spans="12:13" x14ac:dyDescent="0.25">
      <c r="L917749" s="472"/>
      <c r="M917749" s="472"/>
    </row>
    <row r="917750" spans="12:13" x14ac:dyDescent="0.25">
      <c r="L917750" s="472"/>
      <c r="M917750" s="472"/>
    </row>
    <row r="917751" spans="12:13" x14ac:dyDescent="0.25">
      <c r="L917751" s="472"/>
      <c r="M917751" s="472"/>
    </row>
    <row r="917823" spans="12:13" x14ac:dyDescent="0.25">
      <c r="L917823" s="472"/>
      <c r="M917823" s="472"/>
    </row>
    <row r="917824" spans="12:13" x14ac:dyDescent="0.25">
      <c r="L917824" s="472"/>
      <c r="M917824" s="472"/>
    </row>
    <row r="917825" spans="12:13" x14ac:dyDescent="0.25">
      <c r="L917825" s="472"/>
      <c r="M917825" s="472"/>
    </row>
    <row r="917897" spans="12:13" x14ac:dyDescent="0.25">
      <c r="L917897" s="472"/>
      <c r="M917897" s="472"/>
    </row>
    <row r="917898" spans="12:13" x14ac:dyDescent="0.25">
      <c r="L917898" s="472"/>
      <c r="M917898" s="472"/>
    </row>
    <row r="917899" spans="12:13" x14ac:dyDescent="0.25">
      <c r="L917899" s="472"/>
      <c r="M917899" s="472"/>
    </row>
    <row r="917971" spans="12:13" x14ac:dyDescent="0.25">
      <c r="L917971" s="472"/>
      <c r="M917971" s="472"/>
    </row>
    <row r="917972" spans="12:13" x14ac:dyDescent="0.25">
      <c r="L917972" s="472"/>
      <c r="M917972" s="472"/>
    </row>
    <row r="917973" spans="12:13" x14ac:dyDescent="0.25">
      <c r="L917973" s="472"/>
      <c r="M917973" s="472"/>
    </row>
    <row r="918045" spans="12:13" x14ac:dyDescent="0.25">
      <c r="L918045" s="472"/>
      <c r="M918045" s="472"/>
    </row>
    <row r="918046" spans="12:13" x14ac:dyDescent="0.25">
      <c r="L918046" s="472"/>
      <c r="M918046" s="472"/>
    </row>
    <row r="918047" spans="12:13" x14ac:dyDescent="0.25">
      <c r="L918047" s="472"/>
      <c r="M918047" s="472"/>
    </row>
    <row r="918119" spans="12:13" x14ac:dyDescent="0.25">
      <c r="L918119" s="472"/>
      <c r="M918119" s="472"/>
    </row>
    <row r="918120" spans="12:13" x14ac:dyDescent="0.25">
      <c r="L918120" s="472"/>
      <c r="M918120" s="472"/>
    </row>
    <row r="918121" spans="12:13" x14ac:dyDescent="0.25">
      <c r="L918121" s="472"/>
      <c r="M918121" s="472"/>
    </row>
    <row r="918193" spans="12:13" x14ac:dyDescent="0.25">
      <c r="L918193" s="472"/>
      <c r="M918193" s="472"/>
    </row>
    <row r="918194" spans="12:13" x14ac:dyDescent="0.25">
      <c r="L918194" s="472"/>
      <c r="M918194" s="472"/>
    </row>
    <row r="918195" spans="12:13" x14ac:dyDescent="0.25">
      <c r="L918195" s="472"/>
      <c r="M918195" s="472"/>
    </row>
    <row r="918267" spans="12:13" x14ac:dyDescent="0.25">
      <c r="L918267" s="472"/>
      <c r="M918267" s="472"/>
    </row>
    <row r="918268" spans="12:13" x14ac:dyDescent="0.25">
      <c r="L918268" s="472"/>
      <c r="M918268" s="472"/>
    </row>
    <row r="918269" spans="12:13" x14ac:dyDescent="0.25">
      <c r="L918269" s="472"/>
      <c r="M918269" s="472"/>
    </row>
    <row r="918341" spans="12:13" x14ac:dyDescent="0.25">
      <c r="L918341" s="472"/>
      <c r="M918341" s="472"/>
    </row>
    <row r="918342" spans="12:13" x14ac:dyDescent="0.25">
      <c r="L918342" s="472"/>
      <c r="M918342" s="472"/>
    </row>
    <row r="918343" spans="12:13" x14ac:dyDescent="0.25">
      <c r="L918343" s="472"/>
      <c r="M918343" s="472"/>
    </row>
    <row r="918415" spans="12:13" x14ac:dyDescent="0.25">
      <c r="L918415" s="472"/>
      <c r="M918415" s="472"/>
    </row>
    <row r="918416" spans="12:13" x14ac:dyDescent="0.25">
      <c r="L918416" s="472"/>
      <c r="M918416" s="472"/>
    </row>
    <row r="918417" spans="12:13" x14ac:dyDescent="0.25">
      <c r="L918417" s="472"/>
      <c r="M918417" s="472"/>
    </row>
    <row r="918489" spans="12:13" x14ac:dyDescent="0.25">
      <c r="L918489" s="472"/>
      <c r="M918489" s="472"/>
    </row>
    <row r="918490" spans="12:13" x14ac:dyDescent="0.25">
      <c r="L918490" s="472"/>
      <c r="M918490" s="472"/>
    </row>
    <row r="918491" spans="12:13" x14ac:dyDescent="0.25">
      <c r="L918491" s="472"/>
      <c r="M918491" s="472"/>
    </row>
    <row r="918563" spans="12:13" x14ac:dyDescent="0.25">
      <c r="L918563" s="472"/>
      <c r="M918563" s="472"/>
    </row>
    <row r="918564" spans="12:13" x14ac:dyDescent="0.25">
      <c r="L918564" s="472"/>
      <c r="M918564" s="472"/>
    </row>
    <row r="918565" spans="12:13" x14ac:dyDescent="0.25">
      <c r="L918565" s="472"/>
      <c r="M918565" s="472"/>
    </row>
    <row r="918637" spans="12:13" x14ac:dyDescent="0.25">
      <c r="L918637" s="472"/>
      <c r="M918637" s="472"/>
    </row>
    <row r="918638" spans="12:13" x14ac:dyDescent="0.25">
      <c r="L918638" s="472"/>
      <c r="M918638" s="472"/>
    </row>
    <row r="918639" spans="12:13" x14ac:dyDescent="0.25">
      <c r="L918639" s="472"/>
      <c r="M918639" s="472"/>
    </row>
    <row r="918711" spans="12:13" x14ac:dyDescent="0.25">
      <c r="L918711" s="472"/>
      <c r="M918711" s="472"/>
    </row>
    <row r="918712" spans="12:13" x14ac:dyDescent="0.25">
      <c r="L918712" s="472"/>
      <c r="M918712" s="472"/>
    </row>
    <row r="918713" spans="12:13" x14ac:dyDescent="0.25">
      <c r="L918713" s="472"/>
      <c r="M918713" s="472"/>
    </row>
    <row r="918785" spans="12:13" x14ac:dyDescent="0.25">
      <c r="L918785" s="472"/>
      <c r="M918785" s="472"/>
    </row>
    <row r="918786" spans="12:13" x14ac:dyDescent="0.25">
      <c r="L918786" s="472"/>
      <c r="M918786" s="472"/>
    </row>
    <row r="918787" spans="12:13" x14ac:dyDescent="0.25">
      <c r="L918787" s="472"/>
      <c r="M918787" s="472"/>
    </row>
    <row r="918859" spans="12:13" x14ac:dyDescent="0.25">
      <c r="L918859" s="472"/>
      <c r="M918859" s="472"/>
    </row>
    <row r="918860" spans="12:13" x14ac:dyDescent="0.25">
      <c r="L918860" s="472"/>
      <c r="M918860" s="472"/>
    </row>
    <row r="918861" spans="12:13" x14ac:dyDescent="0.25">
      <c r="L918861" s="472"/>
      <c r="M918861" s="472"/>
    </row>
    <row r="918933" spans="12:13" x14ac:dyDescent="0.25">
      <c r="L918933" s="472"/>
      <c r="M918933" s="472"/>
    </row>
    <row r="918934" spans="12:13" x14ac:dyDescent="0.25">
      <c r="L918934" s="472"/>
      <c r="M918934" s="472"/>
    </row>
    <row r="918935" spans="12:13" x14ac:dyDescent="0.25">
      <c r="L918935" s="472"/>
      <c r="M918935" s="472"/>
    </row>
    <row r="919007" spans="12:13" x14ac:dyDescent="0.25">
      <c r="L919007" s="472"/>
      <c r="M919007" s="472"/>
    </row>
    <row r="919008" spans="12:13" x14ac:dyDescent="0.25">
      <c r="L919008" s="472"/>
      <c r="M919008" s="472"/>
    </row>
    <row r="919009" spans="12:13" x14ac:dyDescent="0.25">
      <c r="L919009" s="472"/>
      <c r="M919009" s="472"/>
    </row>
    <row r="919081" spans="12:13" x14ac:dyDescent="0.25">
      <c r="L919081" s="472"/>
      <c r="M919081" s="472"/>
    </row>
    <row r="919082" spans="12:13" x14ac:dyDescent="0.25">
      <c r="L919082" s="472"/>
      <c r="M919082" s="472"/>
    </row>
    <row r="919083" spans="12:13" x14ac:dyDescent="0.25">
      <c r="L919083" s="472"/>
      <c r="M919083" s="472"/>
    </row>
    <row r="919155" spans="12:13" x14ac:dyDescent="0.25">
      <c r="L919155" s="472"/>
      <c r="M919155" s="472"/>
    </row>
    <row r="919156" spans="12:13" x14ac:dyDescent="0.25">
      <c r="L919156" s="472"/>
      <c r="M919156" s="472"/>
    </row>
    <row r="919157" spans="12:13" x14ac:dyDescent="0.25">
      <c r="L919157" s="472"/>
      <c r="M919157" s="472"/>
    </row>
    <row r="919229" spans="12:13" x14ac:dyDescent="0.25">
      <c r="L919229" s="472"/>
      <c r="M919229" s="472"/>
    </row>
    <row r="919230" spans="12:13" x14ac:dyDescent="0.25">
      <c r="L919230" s="472"/>
      <c r="M919230" s="472"/>
    </row>
    <row r="919231" spans="12:13" x14ac:dyDescent="0.25">
      <c r="L919231" s="472"/>
      <c r="M919231" s="472"/>
    </row>
    <row r="919303" spans="12:13" x14ac:dyDescent="0.25">
      <c r="L919303" s="472"/>
      <c r="M919303" s="472"/>
    </row>
    <row r="919304" spans="12:13" x14ac:dyDescent="0.25">
      <c r="L919304" s="472"/>
      <c r="M919304" s="472"/>
    </row>
    <row r="919305" spans="12:13" x14ac:dyDescent="0.25">
      <c r="L919305" s="472"/>
      <c r="M919305" s="472"/>
    </row>
    <row r="919377" spans="12:13" x14ac:dyDescent="0.25">
      <c r="L919377" s="472"/>
      <c r="M919377" s="472"/>
    </row>
    <row r="919378" spans="12:13" x14ac:dyDescent="0.25">
      <c r="L919378" s="472"/>
      <c r="M919378" s="472"/>
    </row>
    <row r="919379" spans="12:13" x14ac:dyDescent="0.25">
      <c r="L919379" s="472"/>
      <c r="M919379" s="472"/>
    </row>
    <row r="919451" spans="12:13" x14ac:dyDescent="0.25">
      <c r="L919451" s="472"/>
      <c r="M919451" s="472"/>
    </row>
    <row r="919452" spans="12:13" x14ac:dyDescent="0.25">
      <c r="L919452" s="472"/>
      <c r="M919452" s="472"/>
    </row>
    <row r="919453" spans="12:13" x14ac:dyDescent="0.25">
      <c r="L919453" s="472"/>
      <c r="M919453" s="472"/>
    </row>
    <row r="919525" spans="12:13" x14ac:dyDescent="0.25">
      <c r="L919525" s="472"/>
      <c r="M919525" s="472"/>
    </row>
    <row r="919526" spans="12:13" x14ac:dyDescent="0.25">
      <c r="L919526" s="472"/>
      <c r="M919526" s="472"/>
    </row>
    <row r="919527" spans="12:13" x14ac:dyDescent="0.25">
      <c r="L919527" s="472"/>
      <c r="M919527" s="472"/>
    </row>
    <row r="919599" spans="12:13" x14ac:dyDescent="0.25">
      <c r="L919599" s="472"/>
      <c r="M919599" s="472"/>
    </row>
    <row r="919600" spans="12:13" x14ac:dyDescent="0.25">
      <c r="L919600" s="472"/>
      <c r="M919600" s="472"/>
    </row>
    <row r="919601" spans="12:13" x14ac:dyDescent="0.25">
      <c r="L919601" s="472"/>
      <c r="M919601" s="472"/>
    </row>
    <row r="919673" spans="12:13" x14ac:dyDescent="0.25">
      <c r="L919673" s="472"/>
      <c r="M919673" s="472"/>
    </row>
    <row r="919674" spans="12:13" x14ac:dyDescent="0.25">
      <c r="L919674" s="472"/>
      <c r="M919674" s="472"/>
    </row>
    <row r="919675" spans="12:13" x14ac:dyDescent="0.25">
      <c r="L919675" s="472"/>
      <c r="M919675" s="472"/>
    </row>
    <row r="919747" spans="12:13" x14ac:dyDescent="0.25">
      <c r="L919747" s="472"/>
      <c r="M919747" s="472"/>
    </row>
    <row r="919748" spans="12:13" x14ac:dyDescent="0.25">
      <c r="L919748" s="472"/>
      <c r="M919748" s="472"/>
    </row>
    <row r="919749" spans="12:13" x14ac:dyDescent="0.25">
      <c r="L919749" s="472"/>
      <c r="M919749" s="472"/>
    </row>
    <row r="919821" spans="12:13" x14ac:dyDescent="0.25">
      <c r="L919821" s="472"/>
      <c r="M919821" s="472"/>
    </row>
    <row r="919822" spans="12:13" x14ac:dyDescent="0.25">
      <c r="L919822" s="472"/>
      <c r="M919822" s="472"/>
    </row>
    <row r="919823" spans="12:13" x14ac:dyDescent="0.25">
      <c r="L919823" s="472"/>
      <c r="M919823" s="472"/>
    </row>
    <row r="919895" spans="12:13" x14ac:dyDescent="0.25">
      <c r="L919895" s="472"/>
      <c r="M919895" s="472"/>
    </row>
    <row r="919896" spans="12:13" x14ac:dyDescent="0.25">
      <c r="L919896" s="472"/>
      <c r="M919896" s="472"/>
    </row>
    <row r="919897" spans="12:13" x14ac:dyDescent="0.25">
      <c r="L919897" s="472"/>
      <c r="M919897" s="472"/>
    </row>
    <row r="919969" spans="12:13" x14ac:dyDescent="0.25">
      <c r="L919969" s="472"/>
      <c r="M919969" s="472"/>
    </row>
    <row r="919970" spans="12:13" x14ac:dyDescent="0.25">
      <c r="L919970" s="472"/>
      <c r="M919970" s="472"/>
    </row>
    <row r="919971" spans="12:13" x14ac:dyDescent="0.25">
      <c r="L919971" s="472"/>
      <c r="M919971" s="472"/>
    </row>
    <row r="920043" spans="12:13" x14ac:dyDescent="0.25">
      <c r="L920043" s="472"/>
      <c r="M920043" s="472"/>
    </row>
    <row r="920044" spans="12:13" x14ac:dyDescent="0.25">
      <c r="L920044" s="472"/>
      <c r="M920044" s="472"/>
    </row>
    <row r="920045" spans="12:13" x14ac:dyDescent="0.25">
      <c r="L920045" s="472"/>
      <c r="M920045" s="472"/>
    </row>
    <row r="920117" spans="12:13" x14ac:dyDescent="0.25">
      <c r="L920117" s="472"/>
      <c r="M920117" s="472"/>
    </row>
    <row r="920118" spans="12:13" x14ac:dyDescent="0.25">
      <c r="L920118" s="472"/>
      <c r="M920118" s="472"/>
    </row>
    <row r="920119" spans="12:13" x14ac:dyDescent="0.25">
      <c r="L920119" s="472"/>
      <c r="M920119" s="472"/>
    </row>
    <row r="920191" spans="12:13" x14ac:dyDescent="0.25">
      <c r="L920191" s="472"/>
      <c r="M920191" s="472"/>
    </row>
    <row r="920192" spans="12:13" x14ac:dyDescent="0.25">
      <c r="L920192" s="472"/>
      <c r="M920192" s="472"/>
    </row>
    <row r="920193" spans="12:13" x14ac:dyDescent="0.25">
      <c r="L920193" s="472"/>
      <c r="M920193" s="472"/>
    </row>
    <row r="920265" spans="12:13" x14ac:dyDescent="0.25">
      <c r="L920265" s="472"/>
      <c r="M920265" s="472"/>
    </row>
    <row r="920266" spans="12:13" x14ac:dyDescent="0.25">
      <c r="L920266" s="472"/>
      <c r="M920266" s="472"/>
    </row>
    <row r="920267" spans="12:13" x14ac:dyDescent="0.25">
      <c r="L920267" s="472"/>
      <c r="M920267" s="472"/>
    </row>
    <row r="920339" spans="12:13" x14ac:dyDescent="0.25">
      <c r="L920339" s="472"/>
      <c r="M920339" s="472"/>
    </row>
    <row r="920340" spans="12:13" x14ac:dyDescent="0.25">
      <c r="L920340" s="472"/>
      <c r="M920340" s="472"/>
    </row>
    <row r="920341" spans="12:13" x14ac:dyDescent="0.25">
      <c r="L920341" s="472"/>
      <c r="M920341" s="472"/>
    </row>
    <row r="920413" spans="12:13" x14ac:dyDescent="0.25">
      <c r="L920413" s="472"/>
      <c r="M920413" s="472"/>
    </row>
    <row r="920414" spans="12:13" x14ac:dyDescent="0.25">
      <c r="L920414" s="472"/>
      <c r="M920414" s="472"/>
    </row>
    <row r="920415" spans="12:13" x14ac:dyDescent="0.25">
      <c r="L920415" s="472"/>
      <c r="M920415" s="472"/>
    </row>
    <row r="920487" spans="12:13" x14ac:dyDescent="0.25">
      <c r="L920487" s="472"/>
      <c r="M920487" s="472"/>
    </row>
    <row r="920488" spans="12:13" x14ac:dyDescent="0.25">
      <c r="L920488" s="472"/>
      <c r="M920488" s="472"/>
    </row>
    <row r="920489" spans="12:13" x14ac:dyDescent="0.25">
      <c r="L920489" s="472"/>
      <c r="M920489" s="472"/>
    </row>
    <row r="920561" spans="12:13" x14ac:dyDescent="0.25">
      <c r="L920561" s="472"/>
      <c r="M920561" s="472"/>
    </row>
    <row r="920562" spans="12:13" x14ac:dyDescent="0.25">
      <c r="L920562" s="472"/>
      <c r="M920562" s="472"/>
    </row>
    <row r="920563" spans="12:13" x14ac:dyDescent="0.25">
      <c r="L920563" s="472"/>
      <c r="M920563" s="472"/>
    </row>
    <row r="920635" spans="12:13" x14ac:dyDescent="0.25">
      <c r="L920635" s="472"/>
      <c r="M920635" s="472"/>
    </row>
    <row r="920636" spans="12:13" x14ac:dyDescent="0.25">
      <c r="L920636" s="472"/>
      <c r="M920636" s="472"/>
    </row>
    <row r="920637" spans="12:13" x14ac:dyDescent="0.25">
      <c r="L920637" s="472"/>
      <c r="M920637" s="472"/>
    </row>
    <row r="920709" spans="12:13" x14ac:dyDescent="0.25">
      <c r="L920709" s="472"/>
      <c r="M920709" s="472"/>
    </row>
    <row r="920710" spans="12:13" x14ac:dyDescent="0.25">
      <c r="L920710" s="472"/>
      <c r="M920710" s="472"/>
    </row>
    <row r="920711" spans="12:13" x14ac:dyDescent="0.25">
      <c r="L920711" s="472"/>
      <c r="M920711" s="472"/>
    </row>
    <row r="920783" spans="12:13" x14ac:dyDescent="0.25">
      <c r="L920783" s="472"/>
      <c r="M920783" s="472"/>
    </row>
    <row r="920784" spans="12:13" x14ac:dyDescent="0.25">
      <c r="L920784" s="472"/>
      <c r="M920784" s="472"/>
    </row>
    <row r="920785" spans="12:13" x14ac:dyDescent="0.25">
      <c r="L920785" s="472"/>
      <c r="M920785" s="472"/>
    </row>
    <row r="920857" spans="12:13" x14ac:dyDescent="0.25">
      <c r="L920857" s="472"/>
      <c r="M920857" s="472"/>
    </row>
    <row r="920858" spans="12:13" x14ac:dyDescent="0.25">
      <c r="L920858" s="472"/>
      <c r="M920858" s="472"/>
    </row>
    <row r="920859" spans="12:13" x14ac:dyDescent="0.25">
      <c r="L920859" s="472"/>
      <c r="M920859" s="472"/>
    </row>
    <row r="920931" spans="12:13" x14ac:dyDescent="0.25">
      <c r="L920931" s="472"/>
      <c r="M920931" s="472"/>
    </row>
    <row r="920932" spans="12:13" x14ac:dyDescent="0.25">
      <c r="L920932" s="472"/>
      <c r="M920932" s="472"/>
    </row>
    <row r="920933" spans="12:13" x14ac:dyDescent="0.25">
      <c r="L920933" s="472"/>
      <c r="M920933" s="472"/>
    </row>
    <row r="921005" spans="12:13" x14ac:dyDescent="0.25">
      <c r="L921005" s="472"/>
      <c r="M921005" s="472"/>
    </row>
    <row r="921006" spans="12:13" x14ac:dyDescent="0.25">
      <c r="L921006" s="472"/>
      <c r="M921006" s="472"/>
    </row>
    <row r="921007" spans="12:13" x14ac:dyDescent="0.25">
      <c r="L921007" s="472"/>
      <c r="M921007" s="472"/>
    </row>
    <row r="921079" spans="12:13" x14ac:dyDescent="0.25">
      <c r="L921079" s="472"/>
      <c r="M921079" s="472"/>
    </row>
    <row r="921080" spans="12:13" x14ac:dyDescent="0.25">
      <c r="L921080" s="472"/>
      <c r="M921080" s="472"/>
    </row>
    <row r="921081" spans="12:13" x14ac:dyDescent="0.25">
      <c r="L921081" s="472"/>
      <c r="M921081" s="472"/>
    </row>
    <row r="921153" spans="12:13" x14ac:dyDescent="0.25">
      <c r="L921153" s="472"/>
      <c r="M921153" s="472"/>
    </row>
    <row r="921154" spans="12:13" x14ac:dyDescent="0.25">
      <c r="L921154" s="472"/>
      <c r="M921154" s="472"/>
    </row>
    <row r="921155" spans="12:13" x14ac:dyDescent="0.25">
      <c r="L921155" s="472"/>
      <c r="M921155" s="472"/>
    </row>
    <row r="921227" spans="12:13" x14ac:dyDescent="0.25">
      <c r="L921227" s="472"/>
      <c r="M921227" s="472"/>
    </row>
    <row r="921228" spans="12:13" x14ac:dyDescent="0.25">
      <c r="L921228" s="472"/>
      <c r="M921228" s="472"/>
    </row>
    <row r="921229" spans="12:13" x14ac:dyDescent="0.25">
      <c r="L921229" s="472"/>
      <c r="M921229" s="472"/>
    </row>
    <row r="921301" spans="12:13" x14ac:dyDescent="0.25">
      <c r="L921301" s="472"/>
      <c r="M921301" s="472"/>
    </row>
    <row r="921302" spans="12:13" x14ac:dyDescent="0.25">
      <c r="L921302" s="472"/>
      <c r="M921302" s="472"/>
    </row>
    <row r="921303" spans="12:13" x14ac:dyDescent="0.25">
      <c r="L921303" s="472"/>
      <c r="M921303" s="472"/>
    </row>
    <row r="921375" spans="12:13" x14ac:dyDescent="0.25">
      <c r="L921375" s="472"/>
      <c r="M921375" s="472"/>
    </row>
    <row r="921376" spans="12:13" x14ac:dyDescent="0.25">
      <c r="L921376" s="472"/>
      <c r="M921376" s="472"/>
    </row>
    <row r="921377" spans="12:13" x14ac:dyDescent="0.25">
      <c r="L921377" s="472"/>
      <c r="M921377" s="472"/>
    </row>
    <row r="921449" spans="12:13" x14ac:dyDescent="0.25">
      <c r="L921449" s="472"/>
      <c r="M921449" s="472"/>
    </row>
    <row r="921450" spans="12:13" x14ac:dyDescent="0.25">
      <c r="L921450" s="472"/>
      <c r="M921450" s="472"/>
    </row>
    <row r="921451" spans="12:13" x14ac:dyDescent="0.25">
      <c r="L921451" s="472"/>
      <c r="M921451" s="472"/>
    </row>
    <row r="921523" spans="12:13" x14ac:dyDescent="0.25">
      <c r="L921523" s="472"/>
      <c r="M921523" s="472"/>
    </row>
    <row r="921524" spans="12:13" x14ac:dyDescent="0.25">
      <c r="L921524" s="472"/>
      <c r="M921524" s="472"/>
    </row>
    <row r="921525" spans="12:13" x14ac:dyDescent="0.25">
      <c r="L921525" s="472"/>
      <c r="M921525" s="472"/>
    </row>
    <row r="921597" spans="12:13" x14ac:dyDescent="0.25">
      <c r="L921597" s="472"/>
      <c r="M921597" s="472"/>
    </row>
    <row r="921598" spans="12:13" x14ac:dyDescent="0.25">
      <c r="L921598" s="472"/>
      <c r="M921598" s="472"/>
    </row>
    <row r="921599" spans="12:13" x14ac:dyDescent="0.25">
      <c r="L921599" s="472"/>
      <c r="M921599" s="472"/>
    </row>
    <row r="921671" spans="12:13" x14ac:dyDescent="0.25">
      <c r="L921671" s="472"/>
      <c r="M921671" s="472"/>
    </row>
    <row r="921672" spans="12:13" x14ac:dyDescent="0.25">
      <c r="L921672" s="472"/>
      <c r="M921672" s="472"/>
    </row>
    <row r="921673" spans="12:13" x14ac:dyDescent="0.25">
      <c r="L921673" s="472"/>
      <c r="M921673" s="472"/>
    </row>
    <row r="921745" spans="12:13" x14ac:dyDescent="0.25">
      <c r="L921745" s="472"/>
      <c r="M921745" s="472"/>
    </row>
    <row r="921746" spans="12:13" x14ac:dyDescent="0.25">
      <c r="L921746" s="472"/>
      <c r="M921746" s="472"/>
    </row>
    <row r="921747" spans="12:13" x14ac:dyDescent="0.25">
      <c r="L921747" s="472"/>
      <c r="M921747" s="472"/>
    </row>
    <row r="921819" spans="12:13" x14ac:dyDescent="0.25">
      <c r="L921819" s="472"/>
      <c r="M921819" s="472"/>
    </row>
    <row r="921820" spans="12:13" x14ac:dyDescent="0.25">
      <c r="L921820" s="472"/>
      <c r="M921820" s="472"/>
    </row>
    <row r="921821" spans="12:13" x14ac:dyDescent="0.25">
      <c r="L921821" s="472"/>
      <c r="M921821" s="472"/>
    </row>
    <row r="921893" spans="12:13" x14ac:dyDescent="0.25">
      <c r="L921893" s="472"/>
      <c r="M921893" s="472"/>
    </row>
    <row r="921894" spans="12:13" x14ac:dyDescent="0.25">
      <c r="L921894" s="472"/>
      <c r="M921894" s="472"/>
    </row>
    <row r="921895" spans="12:13" x14ac:dyDescent="0.25">
      <c r="L921895" s="472"/>
      <c r="M921895" s="472"/>
    </row>
    <row r="921967" spans="12:13" x14ac:dyDescent="0.25">
      <c r="L921967" s="472"/>
      <c r="M921967" s="472"/>
    </row>
    <row r="921968" spans="12:13" x14ac:dyDescent="0.25">
      <c r="L921968" s="472"/>
      <c r="M921968" s="472"/>
    </row>
    <row r="921969" spans="12:13" x14ac:dyDescent="0.25">
      <c r="L921969" s="472"/>
      <c r="M921969" s="472"/>
    </row>
    <row r="922041" spans="12:13" x14ac:dyDescent="0.25">
      <c r="L922041" s="472"/>
      <c r="M922041" s="472"/>
    </row>
    <row r="922042" spans="12:13" x14ac:dyDescent="0.25">
      <c r="L922042" s="472"/>
      <c r="M922042" s="472"/>
    </row>
    <row r="922043" spans="12:13" x14ac:dyDescent="0.25">
      <c r="L922043" s="472"/>
      <c r="M922043" s="472"/>
    </row>
    <row r="922115" spans="12:13" x14ac:dyDescent="0.25">
      <c r="L922115" s="472"/>
      <c r="M922115" s="472"/>
    </row>
    <row r="922116" spans="12:13" x14ac:dyDescent="0.25">
      <c r="L922116" s="472"/>
      <c r="M922116" s="472"/>
    </row>
    <row r="922117" spans="12:13" x14ac:dyDescent="0.25">
      <c r="L922117" s="472"/>
      <c r="M922117" s="472"/>
    </row>
    <row r="922189" spans="12:13" x14ac:dyDescent="0.25">
      <c r="L922189" s="472"/>
      <c r="M922189" s="472"/>
    </row>
    <row r="922190" spans="12:13" x14ac:dyDescent="0.25">
      <c r="L922190" s="472"/>
      <c r="M922190" s="472"/>
    </row>
    <row r="922191" spans="12:13" x14ac:dyDescent="0.25">
      <c r="L922191" s="472"/>
      <c r="M922191" s="472"/>
    </row>
    <row r="922263" spans="12:13" x14ac:dyDescent="0.25">
      <c r="L922263" s="472"/>
      <c r="M922263" s="472"/>
    </row>
    <row r="922264" spans="12:13" x14ac:dyDescent="0.25">
      <c r="L922264" s="472"/>
      <c r="M922264" s="472"/>
    </row>
    <row r="922265" spans="12:13" x14ac:dyDescent="0.25">
      <c r="L922265" s="472"/>
      <c r="M922265" s="472"/>
    </row>
    <row r="922337" spans="12:13" x14ac:dyDescent="0.25">
      <c r="L922337" s="472"/>
      <c r="M922337" s="472"/>
    </row>
    <row r="922338" spans="12:13" x14ac:dyDescent="0.25">
      <c r="L922338" s="472"/>
      <c r="M922338" s="472"/>
    </row>
    <row r="922339" spans="12:13" x14ac:dyDescent="0.25">
      <c r="L922339" s="472"/>
      <c r="M922339" s="472"/>
    </row>
    <row r="922411" spans="12:13" x14ac:dyDescent="0.25">
      <c r="L922411" s="472"/>
      <c r="M922411" s="472"/>
    </row>
    <row r="922412" spans="12:13" x14ac:dyDescent="0.25">
      <c r="L922412" s="472"/>
      <c r="M922412" s="472"/>
    </row>
    <row r="922413" spans="12:13" x14ac:dyDescent="0.25">
      <c r="L922413" s="472"/>
      <c r="M922413" s="472"/>
    </row>
    <row r="922485" spans="12:13" x14ac:dyDescent="0.25">
      <c r="L922485" s="472"/>
      <c r="M922485" s="472"/>
    </row>
    <row r="922486" spans="12:13" x14ac:dyDescent="0.25">
      <c r="L922486" s="472"/>
      <c r="M922486" s="472"/>
    </row>
    <row r="922487" spans="12:13" x14ac:dyDescent="0.25">
      <c r="L922487" s="472"/>
      <c r="M922487" s="472"/>
    </row>
    <row r="922559" spans="12:13" x14ac:dyDescent="0.25">
      <c r="L922559" s="472"/>
      <c r="M922559" s="472"/>
    </row>
    <row r="922560" spans="12:13" x14ac:dyDescent="0.25">
      <c r="L922560" s="472"/>
      <c r="M922560" s="472"/>
    </row>
    <row r="922561" spans="12:13" x14ac:dyDescent="0.25">
      <c r="L922561" s="472"/>
      <c r="M922561" s="472"/>
    </row>
    <row r="922633" spans="12:13" x14ac:dyDescent="0.25">
      <c r="L922633" s="472"/>
      <c r="M922633" s="472"/>
    </row>
    <row r="922634" spans="12:13" x14ac:dyDescent="0.25">
      <c r="L922634" s="472"/>
      <c r="M922634" s="472"/>
    </row>
    <row r="922635" spans="12:13" x14ac:dyDescent="0.25">
      <c r="L922635" s="472"/>
      <c r="M922635" s="472"/>
    </row>
    <row r="922707" spans="12:13" x14ac:dyDescent="0.25">
      <c r="L922707" s="472"/>
      <c r="M922707" s="472"/>
    </row>
    <row r="922708" spans="12:13" x14ac:dyDescent="0.25">
      <c r="L922708" s="472"/>
      <c r="M922708" s="472"/>
    </row>
    <row r="922709" spans="12:13" x14ac:dyDescent="0.25">
      <c r="L922709" s="472"/>
      <c r="M922709" s="472"/>
    </row>
    <row r="922781" spans="12:13" x14ac:dyDescent="0.25">
      <c r="L922781" s="472"/>
      <c r="M922781" s="472"/>
    </row>
    <row r="922782" spans="12:13" x14ac:dyDescent="0.25">
      <c r="L922782" s="472"/>
      <c r="M922782" s="472"/>
    </row>
    <row r="922783" spans="12:13" x14ac:dyDescent="0.25">
      <c r="L922783" s="472"/>
      <c r="M922783" s="472"/>
    </row>
    <row r="922855" spans="12:13" x14ac:dyDescent="0.25">
      <c r="L922855" s="472"/>
      <c r="M922855" s="472"/>
    </row>
    <row r="922856" spans="12:13" x14ac:dyDescent="0.25">
      <c r="L922856" s="472"/>
      <c r="M922856" s="472"/>
    </row>
    <row r="922857" spans="12:13" x14ac:dyDescent="0.25">
      <c r="L922857" s="472"/>
      <c r="M922857" s="472"/>
    </row>
    <row r="922929" spans="12:13" x14ac:dyDescent="0.25">
      <c r="L922929" s="472"/>
      <c r="M922929" s="472"/>
    </row>
    <row r="922930" spans="12:13" x14ac:dyDescent="0.25">
      <c r="L922930" s="472"/>
      <c r="M922930" s="472"/>
    </row>
    <row r="922931" spans="12:13" x14ac:dyDescent="0.25">
      <c r="L922931" s="472"/>
      <c r="M922931" s="472"/>
    </row>
    <row r="923003" spans="12:13" x14ac:dyDescent="0.25">
      <c r="L923003" s="472"/>
      <c r="M923003" s="472"/>
    </row>
    <row r="923004" spans="12:13" x14ac:dyDescent="0.25">
      <c r="L923004" s="472"/>
      <c r="M923004" s="472"/>
    </row>
    <row r="923005" spans="12:13" x14ac:dyDescent="0.25">
      <c r="L923005" s="472"/>
      <c r="M923005" s="472"/>
    </row>
    <row r="923077" spans="12:13" x14ac:dyDescent="0.25">
      <c r="L923077" s="472"/>
      <c r="M923077" s="472"/>
    </row>
    <row r="923078" spans="12:13" x14ac:dyDescent="0.25">
      <c r="L923078" s="472"/>
      <c r="M923078" s="472"/>
    </row>
    <row r="923079" spans="12:13" x14ac:dyDescent="0.25">
      <c r="L923079" s="472"/>
      <c r="M923079" s="472"/>
    </row>
    <row r="923151" spans="12:13" x14ac:dyDescent="0.25">
      <c r="L923151" s="472"/>
      <c r="M923151" s="472"/>
    </row>
    <row r="923152" spans="12:13" x14ac:dyDescent="0.25">
      <c r="L923152" s="472"/>
      <c r="M923152" s="472"/>
    </row>
    <row r="923153" spans="12:13" x14ac:dyDescent="0.25">
      <c r="L923153" s="472"/>
      <c r="M923153" s="472"/>
    </row>
    <row r="923225" spans="12:13" x14ac:dyDescent="0.25">
      <c r="L923225" s="472"/>
      <c r="M923225" s="472"/>
    </row>
    <row r="923226" spans="12:13" x14ac:dyDescent="0.25">
      <c r="L923226" s="472"/>
      <c r="M923226" s="472"/>
    </row>
    <row r="923227" spans="12:13" x14ac:dyDescent="0.25">
      <c r="L923227" s="472"/>
      <c r="M923227" s="472"/>
    </row>
    <row r="923299" spans="12:13" x14ac:dyDescent="0.25">
      <c r="L923299" s="472"/>
      <c r="M923299" s="472"/>
    </row>
    <row r="923300" spans="12:13" x14ac:dyDescent="0.25">
      <c r="L923300" s="472"/>
      <c r="M923300" s="472"/>
    </row>
    <row r="923301" spans="12:13" x14ac:dyDescent="0.25">
      <c r="L923301" s="472"/>
      <c r="M923301" s="472"/>
    </row>
    <row r="923373" spans="12:13" x14ac:dyDescent="0.25">
      <c r="L923373" s="472"/>
      <c r="M923373" s="472"/>
    </row>
    <row r="923374" spans="12:13" x14ac:dyDescent="0.25">
      <c r="L923374" s="472"/>
      <c r="M923374" s="472"/>
    </row>
    <row r="923375" spans="12:13" x14ac:dyDescent="0.25">
      <c r="L923375" s="472"/>
      <c r="M923375" s="472"/>
    </row>
    <row r="923447" spans="12:13" x14ac:dyDescent="0.25">
      <c r="L923447" s="472"/>
      <c r="M923447" s="472"/>
    </row>
    <row r="923448" spans="12:13" x14ac:dyDescent="0.25">
      <c r="L923448" s="472"/>
      <c r="M923448" s="472"/>
    </row>
    <row r="923449" spans="12:13" x14ac:dyDescent="0.25">
      <c r="L923449" s="472"/>
      <c r="M923449" s="472"/>
    </row>
    <row r="923521" spans="12:13" x14ac:dyDescent="0.25">
      <c r="L923521" s="472"/>
      <c r="M923521" s="472"/>
    </row>
    <row r="923522" spans="12:13" x14ac:dyDescent="0.25">
      <c r="L923522" s="472"/>
      <c r="M923522" s="472"/>
    </row>
    <row r="923523" spans="12:13" x14ac:dyDescent="0.25">
      <c r="L923523" s="472"/>
      <c r="M923523" s="472"/>
    </row>
    <row r="923595" spans="12:13" x14ac:dyDescent="0.25">
      <c r="L923595" s="472"/>
      <c r="M923595" s="472"/>
    </row>
    <row r="923596" spans="12:13" x14ac:dyDescent="0.25">
      <c r="L923596" s="472"/>
      <c r="M923596" s="472"/>
    </row>
    <row r="923597" spans="12:13" x14ac:dyDescent="0.25">
      <c r="L923597" s="472"/>
      <c r="M923597" s="472"/>
    </row>
    <row r="923669" spans="12:13" x14ac:dyDescent="0.25">
      <c r="L923669" s="472"/>
      <c r="M923669" s="472"/>
    </row>
    <row r="923670" spans="12:13" x14ac:dyDescent="0.25">
      <c r="L923670" s="472"/>
      <c r="M923670" s="472"/>
    </row>
    <row r="923671" spans="12:13" x14ac:dyDescent="0.25">
      <c r="L923671" s="472"/>
      <c r="M923671" s="472"/>
    </row>
    <row r="923743" spans="12:13" x14ac:dyDescent="0.25">
      <c r="L923743" s="472"/>
      <c r="M923743" s="472"/>
    </row>
    <row r="923744" spans="12:13" x14ac:dyDescent="0.25">
      <c r="L923744" s="472"/>
      <c r="M923744" s="472"/>
    </row>
    <row r="923745" spans="12:13" x14ac:dyDescent="0.25">
      <c r="L923745" s="472"/>
      <c r="M923745" s="472"/>
    </row>
    <row r="923817" spans="12:13" x14ac:dyDescent="0.25">
      <c r="L923817" s="472"/>
      <c r="M923817" s="472"/>
    </row>
    <row r="923818" spans="12:13" x14ac:dyDescent="0.25">
      <c r="L923818" s="472"/>
      <c r="M923818" s="472"/>
    </row>
    <row r="923819" spans="12:13" x14ac:dyDescent="0.25">
      <c r="L923819" s="472"/>
      <c r="M923819" s="472"/>
    </row>
    <row r="923891" spans="12:13" x14ac:dyDescent="0.25">
      <c r="L923891" s="472"/>
      <c r="M923891" s="472"/>
    </row>
    <row r="923892" spans="12:13" x14ac:dyDescent="0.25">
      <c r="L923892" s="472"/>
      <c r="M923892" s="472"/>
    </row>
    <row r="923893" spans="12:13" x14ac:dyDescent="0.25">
      <c r="L923893" s="472"/>
      <c r="M923893" s="472"/>
    </row>
    <row r="923965" spans="12:13" x14ac:dyDescent="0.25">
      <c r="L923965" s="472"/>
      <c r="M923965" s="472"/>
    </row>
    <row r="923966" spans="12:13" x14ac:dyDescent="0.25">
      <c r="L923966" s="472"/>
      <c r="M923966" s="472"/>
    </row>
    <row r="923967" spans="12:13" x14ac:dyDescent="0.25">
      <c r="L923967" s="472"/>
      <c r="M923967" s="472"/>
    </row>
    <row r="924039" spans="12:13" x14ac:dyDescent="0.25">
      <c r="L924039" s="472"/>
      <c r="M924039" s="472"/>
    </row>
    <row r="924040" spans="12:13" x14ac:dyDescent="0.25">
      <c r="L924040" s="472"/>
      <c r="M924040" s="472"/>
    </row>
    <row r="924041" spans="12:13" x14ac:dyDescent="0.25">
      <c r="L924041" s="472"/>
      <c r="M924041" s="472"/>
    </row>
    <row r="924113" spans="12:13" x14ac:dyDescent="0.25">
      <c r="L924113" s="472"/>
      <c r="M924113" s="472"/>
    </row>
    <row r="924114" spans="12:13" x14ac:dyDescent="0.25">
      <c r="L924114" s="472"/>
      <c r="M924114" s="472"/>
    </row>
    <row r="924115" spans="12:13" x14ac:dyDescent="0.25">
      <c r="L924115" s="472"/>
      <c r="M924115" s="472"/>
    </row>
    <row r="924187" spans="12:13" x14ac:dyDescent="0.25">
      <c r="L924187" s="472"/>
      <c r="M924187" s="472"/>
    </row>
    <row r="924188" spans="12:13" x14ac:dyDescent="0.25">
      <c r="L924188" s="472"/>
      <c r="M924188" s="472"/>
    </row>
    <row r="924189" spans="12:13" x14ac:dyDescent="0.25">
      <c r="L924189" s="472"/>
      <c r="M924189" s="472"/>
    </row>
    <row r="924261" spans="12:13" x14ac:dyDescent="0.25">
      <c r="L924261" s="472"/>
      <c r="M924261" s="472"/>
    </row>
    <row r="924262" spans="12:13" x14ac:dyDescent="0.25">
      <c r="L924262" s="472"/>
      <c r="M924262" s="472"/>
    </row>
    <row r="924263" spans="12:13" x14ac:dyDescent="0.25">
      <c r="L924263" s="472"/>
      <c r="M924263" s="472"/>
    </row>
    <row r="924335" spans="12:13" x14ac:dyDescent="0.25">
      <c r="L924335" s="472"/>
      <c r="M924335" s="472"/>
    </row>
    <row r="924336" spans="12:13" x14ac:dyDescent="0.25">
      <c r="L924336" s="472"/>
      <c r="M924336" s="472"/>
    </row>
    <row r="924337" spans="12:13" x14ac:dyDescent="0.25">
      <c r="L924337" s="472"/>
      <c r="M924337" s="472"/>
    </row>
    <row r="924409" spans="12:13" x14ac:dyDescent="0.25">
      <c r="L924409" s="472"/>
      <c r="M924409" s="472"/>
    </row>
    <row r="924410" spans="12:13" x14ac:dyDescent="0.25">
      <c r="L924410" s="472"/>
      <c r="M924410" s="472"/>
    </row>
    <row r="924411" spans="12:13" x14ac:dyDescent="0.25">
      <c r="L924411" s="472"/>
      <c r="M924411" s="472"/>
    </row>
    <row r="924483" spans="12:13" x14ac:dyDescent="0.25">
      <c r="L924483" s="472"/>
      <c r="M924483" s="472"/>
    </row>
    <row r="924484" spans="12:13" x14ac:dyDescent="0.25">
      <c r="L924484" s="472"/>
      <c r="M924484" s="472"/>
    </row>
    <row r="924485" spans="12:13" x14ac:dyDescent="0.25">
      <c r="L924485" s="472"/>
      <c r="M924485" s="472"/>
    </row>
    <row r="924557" spans="12:13" x14ac:dyDescent="0.25">
      <c r="L924557" s="472"/>
      <c r="M924557" s="472"/>
    </row>
    <row r="924558" spans="12:13" x14ac:dyDescent="0.25">
      <c r="L924558" s="472"/>
      <c r="M924558" s="472"/>
    </row>
    <row r="924559" spans="12:13" x14ac:dyDescent="0.25">
      <c r="L924559" s="472"/>
      <c r="M924559" s="472"/>
    </row>
    <row r="924631" spans="12:13" x14ac:dyDescent="0.25">
      <c r="L924631" s="472"/>
      <c r="M924631" s="472"/>
    </row>
    <row r="924632" spans="12:13" x14ac:dyDescent="0.25">
      <c r="L924632" s="472"/>
      <c r="M924632" s="472"/>
    </row>
    <row r="924633" spans="12:13" x14ac:dyDescent="0.25">
      <c r="L924633" s="472"/>
      <c r="M924633" s="472"/>
    </row>
    <row r="924705" spans="12:13" x14ac:dyDescent="0.25">
      <c r="L924705" s="472"/>
      <c r="M924705" s="472"/>
    </row>
    <row r="924706" spans="12:13" x14ac:dyDescent="0.25">
      <c r="L924706" s="472"/>
      <c r="M924706" s="472"/>
    </row>
    <row r="924707" spans="12:13" x14ac:dyDescent="0.25">
      <c r="L924707" s="472"/>
      <c r="M924707" s="472"/>
    </row>
    <row r="924779" spans="12:13" x14ac:dyDescent="0.25">
      <c r="L924779" s="472"/>
      <c r="M924779" s="472"/>
    </row>
    <row r="924780" spans="12:13" x14ac:dyDescent="0.25">
      <c r="L924780" s="472"/>
      <c r="M924780" s="472"/>
    </row>
    <row r="924781" spans="12:13" x14ac:dyDescent="0.25">
      <c r="L924781" s="472"/>
      <c r="M924781" s="472"/>
    </row>
    <row r="924853" spans="12:13" x14ac:dyDescent="0.25">
      <c r="L924853" s="472"/>
      <c r="M924853" s="472"/>
    </row>
    <row r="924854" spans="12:13" x14ac:dyDescent="0.25">
      <c r="L924854" s="472"/>
      <c r="M924854" s="472"/>
    </row>
    <row r="924855" spans="12:13" x14ac:dyDescent="0.25">
      <c r="L924855" s="472"/>
      <c r="M924855" s="472"/>
    </row>
    <row r="924927" spans="12:13" x14ac:dyDescent="0.25">
      <c r="L924927" s="472"/>
      <c r="M924927" s="472"/>
    </row>
    <row r="924928" spans="12:13" x14ac:dyDescent="0.25">
      <c r="L924928" s="472"/>
      <c r="M924928" s="472"/>
    </row>
    <row r="924929" spans="12:13" x14ac:dyDescent="0.25">
      <c r="L924929" s="472"/>
      <c r="M924929" s="472"/>
    </row>
    <row r="925001" spans="12:13" x14ac:dyDescent="0.25">
      <c r="L925001" s="472"/>
      <c r="M925001" s="472"/>
    </row>
    <row r="925002" spans="12:13" x14ac:dyDescent="0.25">
      <c r="L925002" s="472"/>
      <c r="M925002" s="472"/>
    </row>
    <row r="925003" spans="12:13" x14ac:dyDescent="0.25">
      <c r="L925003" s="472"/>
      <c r="M925003" s="472"/>
    </row>
    <row r="925075" spans="12:13" x14ac:dyDescent="0.25">
      <c r="L925075" s="472"/>
      <c r="M925075" s="472"/>
    </row>
    <row r="925076" spans="12:13" x14ac:dyDescent="0.25">
      <c r="L925076" s="472"/>
      <c r="M925076" s="472"/>
    </row>
    <row r="925077" spans="12:13" x14ac:dyDescent="0.25">
      <c r="L925077" s="472"/>
      <c r="M925077" s="472"/>
    </row>
    <row r="925149" spans="12:13" x14ac:dyDescent="0.25">
      <c r="L925149" s="472"/>
      <c r="M925149" s="472"/>
    </row>
    <row r="925150" spans="12:13" x14ac:dyDescent="0.25">
      <c r="L925150" s="472"/>
      <c r="M925150" s="472"/>
    </row>
    <row r="925151" spans="12:13" x14ac:dyDescent="0.25">
      <c r="L925151" s="472"/>
      <c r="M925151" s="472"/>
    </row>
    <row r="925223" spans="12:13" x14ac:dyDescent="0.25">
      <c r="L925223" s="472"/>
      <c r="M925223" s="472"/>
    </row>
    <row r="925224" spans="12:13" x14ac:dyDescent="0.25">
      <c r="L925224" s="472"/>
      <c r="M925224" s="472"/>
    </row>
    <row r="925225" spans="12:13" x14ac:dyDescent="0.25">
      <c r="L925225" s="472"/>
      <c r="M925225" s="472"/>
    </row>
    <row r="925297" spans="12:13" x14ac:dyDescent="0.25">
      <c r="L925297" s="472"/>
      <c r="M925297" s="472"/>
    </row>
    <row r="925298" spans="12:13" x14ac:dyDescent="0.25">
      <c r="L925298" s="472"/>
      <c r="M925298" s="472"/>
    </row>
    <row r="925299" spans="12:13" x14ac:dyDescent="0.25">
      <c r="L925299" s="472"/>
      <c r="M925299" s="472"/>
    </row>
    <row r="925371" spans="12:13" x14ac:dyDescent="0.25">
      <c r="L925371" s="472"/>
      <c r="M925371" s="472"/>
    </row>
    <row r="925372" spans="12:13" x14ac:dyDescent="0.25">
      <c r="L925372" s="472"/>
      <c r="M925372" s="472"/>
    </row>
    <row r="925373" spans="12:13" x14ac:dyDescent="0.25">
      <c r="L925373" s="472"/>
      <c r="M925373" s="472"/>
    </row>
    <row r="925445" spans="12:13" x14ac:dyDescent="0.25">
      <c r="L925445" s="472"/>
      <c r="M925445" s="472"/>
    </row>
    <row r="925446" spans="12:13" x14ac:dyDescent="0.25">
      <c r="L925446" s="472"/>
      <c r="M925446" s="472"/>
    </row>
    <row r="925447" spans="12:13" x14ac:dyDescent="0.25">
      <c r="L925447" s="472"/>
      <c r="M925447" s="472"/>
    </row>
    <row r="925519" spans="12:13" x14ac:dyDescent="0.25">
      <c r="L925519" s="472"/>
      <c r="M925519" s="472"/>
    </row>
    <row r="925520" spans="12:13" x14ac:dyDescent="0.25">
      <c r="L925520" s="472"/>
      <c r="M925520" s="472"/>
    </row>
    <row r="925521" spans="12:13" x14ac:dyDescent="0.25">
      <c r="L925521" s="472"/>
      <c r="M925521" s="472"/>
    </row>
    <row r="925593" spans="12:13" x14ac:dyDescent="0.25">
      <c r="L925593" s="472"/>
      <c r="M925593" s="472"/>
    </row>
    <row r="925594" spans="12:13" x14ac:dyDescent="0.25">
      <c r="L925594" s="472"/>
      <c r="M925594" s="472"/>
    </row>
    <row r="925595" spans="12:13" x14ac:dyDescent="0.25">
      <c r="L925595" s="472"/>
      <c r="M925595" s="472"/>
    </row>
    <row r="925667" spans="12:13" x14ac:dyDescent="0.25">
      <c r="L925667" s="472"/>
      <c r="M925667" s="472"/>
    </row>
    <row r="925668" spans="12:13" x14ac:dyDescent="0.25">
      <c r="L925668" s="472"/>
      <c r="M925668" s="472"/>
    </row>
    <row r="925669" spans="12:13" x14ac:dyDescent="0.25">
      <c r="L925669" s="472"/>
      <c r="M925669" s="472"/>
    </row>
    <row r="925741" spans="12:13" x14ac:dyDescent="0.25">
      <c r="L925741" s="472"/>
      <c r="M925741" s="472"/>
    </row>
    <row r="925742" spans="12:13" x14ac:dyDescent="0.25">
      <c r="L925742" s="472"/>
      <c r="M925742" s="472"/>
    </row>
    <row r="925743" spans="12:13" x14ac:dyDescent="0.25">
      <c r="L925743" s="472"/>
      <c r="M925743" s="472"/>
    </row>
    <row r="925815" spans="12:13" x14ac:dyDescent="0.25">
      <c r="L925815" s="472"/>
      <c r="M925815" s="472"/>
    </row>
    <row r="925816" spans="12:13" x14ac:dyDescent="0.25">
      <c r="L925816" s="472"/>
      <c r="M925816" s="472"/>
    </row>
    <row r="925817" spans="12:13" x14ac:dyDescent="0.25">
      <c r="L925817" s="472"/>
      <c r="M925817" s="472"/>
    </row>
    <row r="925889" spans="12:13" x14ac:dyDescent="0.25">
      <c r="L925889" s="472"/>
      <c r="M925889" s="472"/>
    </row>
    <row r="925890" spans="12:13" x14ac:dyDescent="0.25">
      <c r="L925890" s="472"/>
      <c r="M925890" s="472"/>
    </row>
    <row r="925891" spans="12:13" x14ac:dyDescent="0.25">
      <c r="L925891" s="472"/>
      <c r="M925891" s="472"/>
    </row>
    <row r="925963" spans="12:13" x14ac:dyDescent="0.25">
      <c r="L925963" s="472"/>
      <c r="M925963" s="472"/>
    </row>
    <row r="925964" spans="12:13" x14ac:dyDescent="0.25">
      <c r="L925964" s="472"/>
      <c r="M925964" s="472"/>
    </row>
    <row r="925965" spans="12:13" x14ac:dyDescent="0.25">
      <c r="L925965" s="472"/>
      <c r="M925965" s="472"/>
    </row>
    <row r="926037" spans="12:13" x14ac:dyDescent="0.25">
      <c r="L926037" s="472"/>
      <c r="M926037" s="472"/>
    </row>
    <row r="926038" spans="12:13" x14ac:dyDescent="0.25">
      <c r="L926038" s="472"/>
      <c r="M926038" s="472"/>
    </row>
    <row r="926039" spans="12:13" x14ac:dyDescent="0.25">
      <c r="L926039" s="472"/>
      <c r="M926039" s="472"/>
    </row>
    <row r="926111" spans="12:13" x14ac:dyDescent="0.25">
      <c r="L926111" s="472"/>
      <c r="M926111" s="472"/>
    </row>
    <row r="926112" spans="12:13" x14ac:dyDescent="0.25">
      <c r="L926112" s="472"/>
      <c r="M926112" s="472"/>
    </row>
    <row r="926113" spans="12:13" x14ac:dyDescent="0.25">
      <c r="L926113" s="472"/>
      <c r="M926113" s="472"/>
    </row>
    <row r="926185" spans="12:13" x14ac:dyDescent="0.25">
      <c r="L926185" s="472"/>
      <c r="M926185" s="472"/>
    </row>
    <row r="926186" spans="12:13" x14ac:dyDescent="0.25">
      <c r="L926186" s="472"/>
      <c r="M926186" s="472"/>
    </row>
    <row r="926187" spans="12:13" x14ac:dyDescent="0.25">
      <c r="L926187" s="472"/>
      <c r="M926187" s="472"/>
    </row>
    <row r="926259" spans="12:13" x14ac:dyDescent="0.25">
      <c r="L926259" s="472"/>
      <c r="M926259" s="472"/>
    </row>
    <row r="926260" spans="12:13" x14ac:dyDescent="0.25">
      <c r="L926260" s="472"/>
      <c r="M926260" s="472"/>
    </row>
    <row r="926261" spans="12:13" x14ac:dyDescent="0.25">
      <c r="L926261" s="472"/>
      <c r="M926261" s="472"/>
    </row>
    <row r="926333" spans="12:13" x14ac:dyDescent="0.25">
      <c r="L926333" s="472"/>
      <c r="M926333" s="472"/>
    </row>
    <row r="926334" spans="12:13" x14ac:dyDescent="0.25">
      <c r="L926334" s="472"/>
      <c r="M926334" s="472"/>
    </row>
    <row r="926335" spans="12:13" x14ac:dyDescent="0.25">
      <c r="L926335" s="472"/>
      <c r="M926335" s="472"/>
    </row>
    <row r="926407" spans="12:13" x14ac:dyDescent="0.25">
      <c r="L926407" s="472"/>
      <c r="M926407" s="472"/>
    </row>
    <row r="926408" spans="12:13" x14ac:dyDescent="0.25">
      <c r="L926408" s="472"/>
      <c r="M926408" s="472"/>
    </row>
    <row r="926409" spans="12:13" x14ac:dyDescent="0.25">
      <c r="L926409" s="472"/>
      <c r="M926409" s="472"/>
    </row>
    <row r="926481" spans="12:13" x14ac:dyDescent="0.25">
      <c r="L926481" s="472"/>
      <c r="M926481" s="472"/>
    </row>
    <row r="926482" spans="12:13" x14ac:dyDescent="0.25">
      <c r="L926482" s="472"/>
      <c r="M926482" s="472"/>
    </row>
    <row r="926483" spans="12:13" x14ac:dyDescent="0.25">
      <c r="L926483" s="472"/>
      <c r="M926483" s="472"/>
    </row>
    <row r="926555" spans="12:13" x14ac:dyDescent="0.25">
      <c r="L926555" s="472"/>
      <c r="M926555" s="472"/>
    </row>
    <row r="926556" spans="12:13" x14ac:dyDescent="0.25">
      <c r="L926556" s="472"/>
      <c r="M926556" s="472"/>
    </row>
    <row r="926557" spans="12:13" x14ac:dyDescent="0.25">
      <c r="L926557" s="472"/>
      <c r="M926557" s="472"/>
    </row>
    <row r="926629" spans="12:13" x14ac:dyDescent="0.25">
      <c r="L926629" s="472"/>
      <c r="M926629" s="472"/>
    </row>
    <row r="926630" spans="12:13" x14ac:dyDescent="0.25">
      <c r="L926630" s="472"/>
      <c r="M926630" s="472"/>
    </row>
    <row r="926631" spans="12:13" x14ac:dyDescent="0.25">
      <c r="L926631" s="472"/>
      <c r="M926631" s="472"/>
    </row>
    <row r="926703" spans="12:13" x14ac:dyDescent="0.25">
      <c r="L926703" s="472"/>
      <c r="M926703" s="472"/>
    </row>
    <row r="926704" spans="12:13" x14ac:dyDescent="0.25">
      <c r="L926704" s="472"/>
      <c r="M926704" s="472"/>
    </row>
    <row r="926705" spans="12:13" x14ac:dyDescent="0.25">
      <c r="L926705" s="472"/>
      <c r="M926705" s="472"/>
    </row>
    <row r="926777" spans="12:13" x14ac:dyDescent="0.25">
      <c r="L926777" s="472"/>
      <c r="M926777" s="472"/>
    </row>
    <row r="926778" spans="12:13" x14ac:dyDescent="0.25">
      <c r="L926778" s="472"/>
      <c r="M926778" s="472"/>
    </row>
    <row r="926779" spans="12:13" x14ac:dyDescent="0.25">
      <c r="L926779" s="472"/>
      <c r="M926779" s="472"/>
    </row>
    <row r="926851" spans="12:13" x14ac:dyDescent="0.25">
      <c r="L926851" s="472"/>
      <c r="M926851" s="472"/>
    </row>
    <row r="926852" spans="12:13" x14ac:dyDescent="0.25">
      <c r="L926852" s="472"/>
      <c r="M926852" s="472"/>
    </row>
    <row r="926853" spans="12:13" x14ac:dyDescent="0.25">
      <c r="L926853" s="472"/>
      <c r="M926853" s="472"/>
    </row>
    <row r="926925" spans="12:13" x14ac:dyDescent="0.25">
      <c r="L926925" s="472"/>
      <c r="M926925" s="472"/>
    </row>
    <row r="926926" spans="12:13" x14ac:dyDescent="0.25">
      <c r="L926926" s="472"/>
      <c r="M926926" s="472"/>
    </row>
    <row r="926927" spans="12:13" x14ac:dyDescent="0.25">
      <c r="L926927" s="472"/>
      <c r="M926927" s="472"/>
    </row>
    <row r="926999" spans="12:13" x14ac:dyDescent="0.25">
      <c r="L926999" s="472"/>
      <c r="M926999" s="472"/>
    </row>
    <row r="927000" spans="12:13" x14ac:dyDescent="0.25">
      <c r="L927000" s="472"/>
      <c r="M927000" s="472"/>
    </row>
    <row r="927001" spans="12:13" x14ac:dyDescent="0.25">
      <c r="L927001" s="472"/>
      <c r="M927001" s="472"/>
    </row>
    <row r="927073" spans="12:13" x14ac:dyDescent="0.25">
      <c r="L927073" s="472"/>
      <c r="M927073" s="472"/>
    </row>
    <row r="927074" spans="12:13" x14ac:dyDescent="0.25">
      <c r="L927074" s="472"/>
      <c r="M927074" s="472"/>
    </row>
    <row r="927075" spans="12:13" x14ac:dyDescent="0.25">
      <c r="L927075" s="472"/>
      <c r="M927075" s="472"/>
    </row>
    <row r="927147" spans="12:13" x14ac:dyDescent="0.25">
      <c r="L927147" s="472"/>
      <c r="M927147" s="472"/>
    </row>
    <row r="927148" spans="12:13" x14ac:dyDescent="0.25">
      <c r="L927148" s="472"/>
      <c r="M927148" s="472"/>
    </row>
    <row r="927149" spans="12:13" x14ac:dyDescent="0.25">
      <c r="L927149" s="472"/>
      <c r="M927149" s="472"/>
    </row>
    <row r="927221" spans="12:13" x14ac:dyDescent="0.25">
      <c r="L927221" s="472"/>
      <c r="M927221" s="472"/>
    </row>
    <row r="927222" spans="12:13" x14ac:dyDescent="0.25">
      <c r="L927222" s="472"/>
      <c r="M927222" s="472"/>
    </row>
    <row r="927223" spans="12:13" x14ac:dyDescent="0.25">
      <c r="L927223" s="472"/>
      <c r="M927223" s="472"/>
    </row>
    <row r="927295" spans="12:13" x14ac:dyDescent="0.25">
      <c r="L927295" s="472"/>
      <c r="M927295" s="472"/>
    </row>
    <row r="927296" spans="12:13" x14ac:dyDescent="0.25">
      <c r="L927296" s="472"/>
      <c r="M927296" s="472"/>
    </row>
    <row r="927297" spans="12:13" x14ac:dyDescent="0.25">
      <c r="L927297" s="472"/>
      <c r="M927297" s="472"/>
    </row>
    <row r="927369" spans="12:13" x14ac:dyDescent="0.25">
      <c r="L927369" s="472"/>
      <c r="M927369" s="472"/>
    </row>
    <row r="927370" spans="12:13" x14ac:dyDescent="0.25">
      <c r="L927370" s="472"/>
      <c r="M927370" s="472"/>
    </row>
    <row r="927371" spans="12:13" x14ac:dyDescent="0.25">
      <c r="L927371" s="472"/>
      <c r="M927371" s="472"/>
    </row>
    <row r="927443" spans="12:13" x14ac:dyDescent="0.25">
      <c r="L927443" s="472"/>
      <c r="M927443" s="472"/>
    </row>
    <row r="927444" spans="12:13" x14ac:dyDescent="0.25">
      <c r="L927444" s="472"/>
      <c r="M927444" s="472"/>
    </row>
    <row r="927445" spans="12:13" x14ac:dyDescent="0.25">
      <c r="L927445" s="472"/>
      <c r="M927445" s="472"/>
    </row>
    <row r="927517" spans="12:13" x14ac:dyDescent="0.25">
      <c r="L927517" s="472"/>
      <c r="M927517" s="472"/>
    </row>
    <row r="927518" spans="12:13" x14ac:dyDescent="0.25">
      <c r="L927518" s="472"/>
      <c r="M927518" s="472"/>
    </row>
    <row r="927519" spans="12:13" x14ac:dyDescent="0.25">
      <c r="L927519" s="472"/>
      <c r="M927519" s="472"/>
    </row>
    <row r="927591" spans="12:13" x14ac:dyDescent="0.25">
      <c r="L927591" s="472"/>
      <c r="M927591" s="472"/>
    </row>
    <row r="927592" spans="12:13" x14ac:dyDescent="0.25">
      <c r="L927592" s="472"/>
      <c r="M927592" s="472"/>
    </row>
    <row r="927593" spans="12:13" x14ac:dyDescent="0.25">
      <c r="L927593" s="472"/>
      <c r="M927593" s="472"/>
    </row>
    <row r="927665" spans="12:13" x14ac:dyDescent="0.25">
      <c r="L927665" s="472"/>
      <c r="M927665" s="472"/>
    </row>
    <row r="927666" spans="12:13" x14ac:dyDescent="0.25">
      <c r="L927666" s="472"/>
      <c r="M927666" s="472"/>
    </row>
    <row r="927667" spans="12:13" x14ac:dyDescent="0.25">
      <c r="L927667" s="472"/>
      <c r="M927667" s="472"/>
    </row>
    <row r="927739" spans="12:13" x14ac:dyDescent="0.25">
      <c r="L927739" s="472"/>
      <c r="M927739" s="472"/>
    </row>
    <row r="927740" spans="12:13" x14ac:dyDescent="0.25">
      <c r="L927740" s="472"/>
      <c r="M927740" s="472"/>
    </row>
    <row r="927741" spans="12:13" x14ac:dyDescent="0.25">
      <c r="L927741" s="472"/>
      <c r="M927741" s="472"/>
    </row>
    <row r="927813" spans="12:13" x14ac:dyDescent="0.25">
      <c r="L927813" s="472"/>
      <c r="M927813" s="472"/>
    </row>
    <row r="927814" spans="12:13" x14ac:dyDescent="0.25">
      <c r="L927814" s="472"/>
      <c r="M927814" s="472"/>
    </row>
    <row r="927815" spans="12:13" x14ac:dyDescent="0.25">
      <c r="L927815" s="472"/>
      <c r="M927815" s="472"/>
    </row>
    <row r="927887" spans="12:13" x14ac:dyDescent="0.25">
      <c r="L927887" s="472"/>
      <c r="M927887" s="472"/>
    </row>
    <row r="927888" spans="12:13" x14ac:dyDescent="0.25">
      <c r="L927888" s="472"/>
      <c r="M927888" s="472"/>
    </row>
    <row r="927889" spans="12:13" x14ac:dyDescent="0.25">
      <c r="L927889" s="472"/>
      <c r="M927889" s="472"/>
    </row>
    <row r="927961" spans="12:13" x14ac:dyDescent="0.25">
      <c r="L927961" s="472"/>
      <c r="M927961" s="472"/>
    </row>
    <row r="927962" spans="12:13" x14ac:dyDescent="0.25">
      <c r="L927962" s="472"/>
      <c r="M927962" s="472"/>
    </row>
    <row r="927963" spans="12:13" x14ac:dyDescent="0.25">
      <c r="L927963" s="472"/>
      <c r="M927963" s="472"/>
    </row>
    <row r="928035" spans="12:13" x14ac:dyDescent="0.25">
      <c r="L928035" s="472"/>
      <c r="M928035" s="472"/>
    </row>
    <row r="928036" spans="12:13" x14ac:dyDescent="0.25">
      <c r="L928036" s="472"/>
      <c r="M928036" s="472"/>
    </row>
    <row r="928037" spans="12:13" x14ac:dyDescent="0.25">
      <c r="L928037" s="472"/>
      <c r="M928037" s="472"/>
    </row>
    <row r="928109" spans="12:13" x14ac:dyDescent="0.25">
      <c r="L928109" s="472"/>
      <c r="M928109" s="472"/>
    </row>
    <row r="928110" spans="12:13" x14ac:dyDescent="0.25">
      <c r="L928110" s="472"/>
      <c r="M928110" s="472"/>
    </row>
    <row r="928111" spans="12:13" x14ac:dyDescent="0.25">
      <c r="L928111" s="472"/>
      <c r="M928111" s="472"/>
    </row>
    <row r="928183" spans="12:13" x14ac:dyDescent="0.25">
      <c r="L928183" s="472"/>
      <c r="M928183" s="472"/>
    </row>
    <row r="928184" spans="12:13" x14ac:dyDescent="0.25">
      <c r="L928184" s="472"/>
      <c r="M928184" s="472"/>
    </row>
    <row r="928185" spans="12:13" x14ac:dyDescent="0.25">
      <c r="L928185" s="472"/>
      <c r="M928185" s="472"/>
    </row>
    <row r="928257" spans="12:13" x14ac:dyDescent="0.25">
      <c r="L928257" s="472"/>
      <c r="M928257" s="472"/>
    </row>
    <row r="928258" spans="12:13" x14ac:dyDescent="0.25">
      <c r="L928258" s="472"/>
      <c r="M928258" s="472"/>
    </row>
    <row r="928259" spans="12:13" x14ac:dyDescent="0.25">
      <c r="L928259" s="472"/>
      <c r="M928259" s="472"/>
    </row>
    <row r="928331" spans="12:13" x14ac:dyDescent="0.25">
      <c r="L928331" s="472"/>
      <c r="M928331" s="472"/>
    </row>
    <row r="928332" spans="12:13" x14ac:dyDescent="0.25">
      <c r="L928332" s="472"/>
      <c r="M928332" s="472"/>
    </row>
    <row r="928333" spans="12:13" x14ac:dyDescent="0.25">
      <c r="L928333" s="472"/>
      <c r="M928333" s="472"/>
    </row>
    <row r="928405" spans="12:13" x14ac:dyDescent="0.25">
      <c r="L928405" s="472"/>
      <c r="M928405" s="472"/>
    </row>
    <row r="928406" spans="12:13" x14ac:dyDescent="0.25">
      <c r="L928406" s="472"/>
      <c r="M928406" s="472"/>
    </row>
    <row r="928407" spans="12:13" x14ac:dyDescent="0.25">
      <c r="L928407" s="472"/>
      <c r="M928407" s="472"/>
    </row>
    <row r="928479" spans="12:13" x14ac:dyDescent="0.25">
      <c r="L928479" s="472"/>
      <c r="M928479" s="472"/>
    </row>
    <row r="928480" spans="12:13" x14ac:dyDescent="0.25">
      <c r="L928480" s="472"/>
      <c r="M928480" s="472"/>
    </row>
    <row r="928481" spans="12:13" x14ac:dyDescent="0.25">
      <c r="L928481" s="472"/>
      <c r="M928481" s="472"/>
    </row>
    <row r="928553" spans="12:13" x14ac:dyDescent="0.25">
      <c r="L928553" s="472"/>
      <c r="M928553" s="472"/>
    </row>
    <row r="928554" spans="12:13" x14ac:dyDescent="0.25">
      <c r="L928554" s="472"/>
      <c r="M928554" s="472"/>
    </row>
    <row r="928555" spans="12:13" x14ac:dyDescent="0.25">
      <c r="L928555" s="472"/>
      <c r="M928555" s="472"/>
    </row>
    <row r="928627" spans="12:13" x14ac:dyDescent="0.25">
      <c r="L928627" s="472"/>
      <c r="M928627" s="472"/>
    </row>
    <row r="928628" spans="12:13" x14ac:dyDescent="0.25">
      <c r="L928628" s="472"/>
      <c r="M928628" s="472"/>
    </row>
    <row r="928629" spans="12:13" x14ac:dyDescent="0.25">
      <c r="L928629" s="472"/>
      <c r="M928629" s="472"/>
    </row>
    <row r="928701" spans="12:13" x14ac:dyDescent="0.25">
      <c r="L928701" s="472"/>
      <c r="M928701" s="472"/>
    </row>
    <row r="928702" spans="12:13" x14ac:dyDescent="0.25">
      <c r="L928702" s="472"/>
      <c r="M928702" s="472"/>
    </row>
    <row r="928703" spans="12:13" x14ac:dyDescent="0.25">
      <c r="L928703" s="472"/>
      <c r="M928703" s="472"/>
    </row>
    <row r="928775" spans="12:13" x14ac:dyDescent="0.25">
      <c r="L928775" s="472"/>
      <c r="M928775" s="472"/>
    </row>
    <row r="928776" spans="12:13" x14ac:dyDescent="0.25">
      <c r="L928776" s="472"/>
      <c r="M928776" s="472"/>
    </row>
    <row r="928777" spans="12:13" x14ac:dyDescent="0.25">
      <c r="L928777" s="472"/>
      <c r="M928777" s="472"/>
    </row>
    <row r="928849" spans="12:13" x14ac:dyDescent="0.25">
      <c r="L928849" s="472"/>
      <c r="M928849" s="472"/>
    </row>
    <row r="928850" spans="12:13" x14ac:dyDescent="0.25">
      <c r="L928850" s="472"/>
      <c r="M928850" s="472"/>
    </row>
    <row r="928851" spans="12:13" x14ac:dyDescent="0.25">
      <c r="L928851" s="472"/>
      <c r="M928851" s="472"/>
    </row>
    <row r="928923" spans="12:13" x14ac:dyDescent="0.25">
      <c r="L928923" s="472"/>
      <c r="M928923" s="472"/>
    </row>
    <row r="928924" spans="12:13" x14ac:dyDescent="0.25">
      <c r="L928924" s="472"/>
      <c r="M928924" s="472"/>
    </row>
    <row r="928925" spans="12:13" x14ac:dyDescent="0.25">
      <c r="L928925" s="472"/>
      <c r="M928925" s="472"/>
    </row>
    <row r="928997" spans="12:13" x14ac:dyDescent="0.25">
      <c r="L928997" s="472"/>
      <c r="M928997" s="472"/>
    </row>
    <row r="928998" spans="12:13" x14ac:dyDescent="0.25">
      <c r="L928998" s="472"/>
      <c r="M928998" s="472"/>
    </row>
    <row r="928999" spans="12:13" x14ac:dyDescent="0.25">
      <c r="L928999" s="472"/>
      <c r="M928999" s="472"/>
    </row>
    <row r="929071" spans="12:13" x14ac:dyDescent="0.25">
      <c r="L929071" s="472"/>
      <c r="M929071" s="472"/>
    </row>
    <row r="929072" spans="12:13" x14ac:dyDescent="0.25">
      <c r="L929072" s="472"/>
      <c r="M929072" s="472"/>
    </row>
    <row r="929073" spans="12:13" x14ac:dyDescent="0.25">
      <c r="L929073" s="472"/>
      <c r="M929073" s="472"/>
    </row>
    <row r="929145" spans="12:13" x14ac:dyDescent="0.25">
      <c r="L929145" s="472"/>
      <c r="M929145" s="472"/>
    </row>
    <row r="929146" spans="12:13" x14ac:dyDescent="0.25">
      <c r="L929146" s="472"/>
      <c r="M929146" s="472"/>
    </row>
    <row r="929147" spans="12:13" x14ac:dyDescent="0.25">
      <c r="L929147" s="472"/>
      <c r="M929147" s="472"/>
    </row>
    <row r="929219" spans="12:13" x14ac:dyDescent="0.25">
      <c r="L929219" s="472"/>
      <c r="M929219" s="472"/>
    </row>
    <row r="929220" spans="12:13" x14ac:dyDescent="0.25">
      <c r="L929220" s="472"/>
      <c r="M929220" s="472"/>
    </row>
    <row r="929221" spans="12:13" x14ac:dyDescent="0.25">
      <c r="L929221" s="472"/>
      <c r="M929221" s="472"/>
    </row>
    <row r="929293" spans="12:13" x14ac:dyDescent="0.25">
      <c r="L929293" s="472"/>
      <c r="M929293" s="472"/>
    </row>
    <row r="929294" spans="12:13" x14ac:dyDescent="0.25">
      <c r="L929294" s="472"/>
      <c r="M929294" s="472"/>
    </row>
    <row r="929295" spans="12:13" x14ac:dyDescent="0.25">
      <c r="L929295" s="472"/>
      <c r="M929295" s="472"/>
    </row>
    <row r="929367" spans="12:13" x14ac:dyDescent="0.25">
      <c r="L929367" s="472"/>
      <c r="M929367" s="472"/>
    </row>
    <row r="929368" spans="12:13" x14ac:dyDescent="0.25">
      <c r="L929368" s="472"/>
      <c r="M929368" s="472"/>
    </row>
    <row r="929369" spans="12:13" x14ac:dyDescent="0.25">
      <c r="L929369" s="472"/>
      <c r="M929369" s="472"/>
    </row>
    <row r="929441" spans="12:13" x14ac:dyDescent="0.25">
      <c r="L929441" s="472"/>
      <c r="M929441" s="472"/>
    </row>
    <row r="929442" spans="12:13" x14ac:dyDescent="0.25">
      <c r="L929442" s="472"/>
      <c r="M929442" s="472"/>
    </row>
    <row r="929443" spans="12:13" x14ac:dyDescent="0.25">
      <c r="L929443" s="472"/>
      <c r="M929443" s="472"/>
    </row>
    <row r="929515" spans="12:13" x14ac:dyDescent="0.25">
      <c r="L929515" s="472"/>
      <c r="M929515" s="472"/>
    </row>
    <row r="929516" spans="12:13" x14ac:dyDescent="0.25">
      <c r="L929516" s="472"/>
      <c r="M929516" s="472"/>
    </row>
    <row r="929517" spans="12:13" x14ac:dyDescent="0.25">
      <c r="L929517" s="472"/>
      <c r="M929517" s="472"/>
    </row>
    <row r="929589" spans="12:13" x14ac:dyDescent="0.25">
      <c r="L929589" s="472"/>
      <c r="M929589" s="472"/>
    </row>
    <row r="929590" spans="12:13" x14ac:dyDescent="0.25">
      <c r="L929590" s="472"/>
      <c r="M929590" s="472"/>
    </row>
    <row r="929591" spans="12:13" x14ac:dyDescent="0.25">
      <c r="L929591" s="472"/>
      <c r="M929591" s="472"/>
    </row>
    <row r="929663" spans="12:13" x14ac:dyDescent="0.25">
      <c r="L929663" s="472"/>
      <c r="M929663" s="472"/>
    </row>
    <row r="929664" spans="12:13" x14ac:dyDescent="0.25">
      <c r="L929664" s="472"/>
      <c r="M929664" s="472"/>
    </row>
    <row r="929665" spans="12:13" x14ac:dyDescent="0.25">
      <c r="L929665" s="472"/>
      <c r="M929665" s="472"/>
    </row>
    <row r="929737" spans="12:13" x14ac:dyDescent="0.25">
      <c r="L929737" s="472"/>
      <c r="M929737" s="472"/>
    </row>
    <row r="929738" spans="12:13" x14ac:dyDescent="0.25">
      <c r="L929738" s="472"/>
      <c r="M929738" s="472"/>
    </row>
    <row r="929739" spans="12:13" x14ac:dyDescent="0.25">
      <c r="L929739" s="472"/>
      <c r="M929739" s="472"/>
    </row>
    <row r="929811" spans="12:13" x14ac:dyDescent="0.25">
      <c r="L929811" s="472"/>
      <c r="M929811" s="472"/>
    </row>
    <row r="929812" spans="12:13" x14ac:dyDescent="0.25">
      <c r="L929812" s="472"/>
      <c r="M929812" s="472"/>
    </row>
    <row r="929813" spans="12:13" x14ac:dyDescent="0.25">
      <c r="L929813" s="472"/>
      <c r="M929813" s="472"/>
    </row>
    <row r="929885" spans="12:13" x14ac:dyDescent="0.25">
      <c r="L929885" s="472"/>
      <c r="M929885" s="472"/>
    </row>
    <row r="929886" spans="12:13" x14ac:dyDescent="0.25">
      <c r="L929886" s="472"/>
      <c r="M929886" s="472"/>
    </row>
    <row r="929887" spans="12:13" x14ac:dyDescent="0.25">
      <c r="L929887" s="472"/>
      <c r="M929887" s="472"/>
    </row>
    <row r="929959" spans="12:13" x14ac:dyDescent="0.25">
      <c r="L929959" s="472"/>
      <c r="M929959" s="472"/>
    </row>
    <row r="929960" spans="12:13" x14ac:dyDescent="0.25">
      <c r="L929960" s="472"/>
      <c r="M929960" s="472"/>
    </row>
    <row r="929961" spans="12:13" x14ac:dyDescent="0.25">
      <c r="L929961" s="472"/>
      <c r="M929961" s="472"/>
    </row>
    <row r="930033" spans="12:13" x14ac:dyDescent="0.25">
      <c r="L930033" s="472"/>
      <c r="M930033" s="472"/>
    </row>
    <row r="930034" spans="12:13" x14ac:dyDescent="0.25">
      <c r="L930034" s="472"/>
      <c r="M930034" s="472"/>
    </row>
    <row r="930035" spans="12:13" x14ac:dyDescent="0.25">
      <c r="L930035" s="472"/>
      <c r="M930035" s="472"/>
    </row>
    <row r="930107" spans="12:13" x14ac:dyDescent="0.25">
      <c r="L930107" s="472"/>
      <c r="M930107" s="472"/>
    </row>
    <row r="930108" spans="12:13" x14ac:dyDescent="0.25">
      <c r="L930108" s="472"/>
      <c r="M930108" s="472"/>
    </row>
    <row r="930109" spans="12:13" x14ac:dyDescent="0.25">
      <c r="L930109" s="472"/>
      <c r="M930109" s="472"/>
    </row>
    <row r="930181" spans="12:13" x14ac:dyDescent="0.25">
      <c r="L930181" s="472"/>
      <c r="M930181" s="472"/>
    </row>
    <row r="930182" spans="12:13" x14ac:dyDescent="0.25">
      <c r="L930182" s="472"/>
      <c r="M930182" s="472"/>
    </row>
    <row r="930183" spans="12:13" x14ac:dyDescent="0.25">
      <c r="L930183" s="472"/>
      <c r="M930183" s="472"/>
    </row>
    <row r="930255" spans="12:13" x14ac:dyDescent="0.25">
      <c r="L930255" s="472"/>
      <c r="M930255" s="472"/>
    </row>
    <row r="930256" spans="12:13" x14ac:dyDescent="0.25">
      <c r="L930256" s="472"/>
      <c r="M930256" s="472"/>
    </row>
    <row r="930257" spans="12:13" x14ac:dyDescent="0.25">
      <c r="L930257" s="472"/>
      <c r="M930257" s="472"/>
    </row>
    <row r="930329" spans="12:13" x14ac:dyDescent="0.25">
      <c r="L930329" s="472"/>
      <c r="M930329" s="472"/>
    </row>
    <row r="930330" spans="12:13" x14ac:dyDescent="0.25">
      <c r="L930330" s="472"/>
      <c r="M930330" s="472"/>
    </row>
    <row r="930331" spans="12:13" x14ac:dyDescent="0.25">
      <c r="L930331" s="472"/>
      <c r="M930331" s="472"/>
    </row>
    <row r="930403" spans="12:13" x14ac:dyDescent="0.25">
      <c r="L930403" s="472"/>
      <c r="M930403" s="472"/>
    </row>
    <row r="930404" spans="12:13" x14ac:dyDescent="0.25">
      <c r="L930404" s="472"/>
      <c r="M930404" s="472"/>
    </row>
    <row r="930405" spans="12:13" x14ac:dyDescent="0.25">
      <c r="L930405" s="472"/>
      <c r="M930405" s="472"/>
    </row>
    <row r="930477" spans="12:13" x14ac:dyDescent="0.25">
      <c r="L930477" s="472"/>
      <c r="M930477" s="472"/>
    </row>
    <row r="930478" spans="12:13" x14ac:dyDescent="0.25">
      <c r="L930478" s="472"/>
      <c r="M930478" s="472"/>
    </row>
    <row r="930479" spans="12:13" x14ac:dyDescent="0.25">
      <c r="L930479" s="472"/>
      <c r="M930479" s="472"/>
    </row>
    <row r="930551" spans="12:13" x14ac:dyDescent="0.25">
      <c r="L930551" s="472"/>
      <c r="M930551" s="472"/>
    </row>
    <row r="930552" spans="12:13" x14ac:dyDescent="0.25">
      <c r="L930552" s="472"/>
      <c r="M930552" s="472"/>
    </row>
    <row r="930553" spans="12:13" x14ac:dyDescent="0.25">
      <c r="L930553" s="472"/>
      <c r="M930553" s="472"/>
    </row>
    <row r="930625" spans="12:13" x14ac:dyDescent="0.25">
      <c r="L930625" s="472"/>
      <c r="M930625" s="472"/>
    </row>
    <row r="930626" spans="12:13" x14ac:dyDescent="0.25">
      <c r="L930626" s="472"/>
      <c r="M930626" s="472"/>
    </row>
    <row r="930627" spans="12:13" x14ac:dyDescent="0.25">
      <c r="L930627" s="472"/>
      <c r="M930627" s="472"/>
    </row>
    <row r="930699" spans="12:13" x14ac:dyDescent="0.25">
      <c r="L930699" s="472"/>
      <c r="M930699" s="472"/>
    </row>
    <row r="930700" spans="12:13" x14ac:dyDescent="0.25">
      <c r="L930700" s="472"/>
      <c r="M930700" s="472"/>
    </row>
    <row r="930701" spans="12:13" x14ac:dyDescent="0.25">
      <c r="L930701" s="472"/>
      <c r="M930701" s="472"/>
    </row>
    <row r="930773" spans="12:13" x14ac:dyDescent="0.25">
      <c r="L930773" s="472"/>
      <c r="M930773" s="472"/>
    </row>
    <row r="930774" spans="12:13" x14ac:dyDescent="0.25">
      <c r="L930774" s="472"/>
      <c r="M930774" s="472"/>
    </row>
    <row r="930775" spans="12:13" x14ac:dyDescent="0.25">
      <c r="L930775" s="472"/>
      <c r="M930775" s="472"/>
    </row>
    <row r="930847" spans="12:13" x14ac:dyDescent="0.25">
      <c r="L930847" s="472"/>
      <c r="M930847" s="472"/>
    </row>
    <row r="930848" spans="12:13" x14ac:dyDescent="0.25">
      <c r="L930848" s="472"/>
      <c r="M930848" s="472"/>
    </row>
    <row r="930849" spans="12:13" x14ac:dyDescent="0.25">
      <c r="L930849" s="472"/>
      <c r="M930849" s="472"/>
    </row>
    <row r="930921" spans="12:13" x14ac:dyDescent="0.25">
      <c r="L930921" s="472"/>
      <c r="M930921" s="472"/>
    </row>
    <row r="930922" spans="12:13" x14ac:dyDescent="0.25">
      <c r="L930922" s="472"/>
      <c r="M930922" s="472"/>
    </row>
    <row r="930923" spans="12:13" x14ac:dyDescent="0.25">
      <c r="L930923" s="472"/>
      <c r="M930923" s="472"/>
    </row>
    <row r="930995" spans="12:13" x14ac:dyDescent="0.25">
      <c r="L930995" s="472"/>
      <c r="M930995" s="472"/>
    </row>
    <row r="930996" spans="12:13" x14ac:dyDescent="0.25">
      <c r="L930996" s="472"/>
      <c r="M930996" s="472"/>
    </row>
    <row r="930997" spans="12:13" x14ac:dyDescent="0.25">
      <c r="L930997" s="472"/>
      <c r="M930997" s="472"/>
    </row>
    <row r="931069" spans="12:13" x14ac:dyDescent="0.25">
      <c r="L931069" s="472"/>
      <c r="M931069" s="472"/>
    </row>
    <row r="931070" spans="12:13" x14ac:dyDescent="0.25">
      <c r="L931070" s="472"/>
      <c r="M931070" s="472"/>
    </row>
    <row r="931071" spans="12:13" x14ac:dyDescent="0.25">
      <c r="L931071" s="472"/>
      <c r="M931071" s="472"/>
    </row>
    <row r="931143" spans="12:13" x14ac:dyDescent="0.25">
      <c r="L931143" s="472"/>
      <c r="M931143" s="472"/>
    </row>
    <row r="931144" spans="12:13" x14ac:dyDescent="0.25">
      <c r="L931144" s="472"/>
      <c r="M931144" s="472"/>
    </row>
    <row r="931145" spans="12:13" x14ac:dyDescent="0.25">
      <c r="L931145" s="472"/>
      <c r="M931145" s="472"/>
    </row>
    <row r="931217" spans="12:13" x14ac:dyDescent="0.25">
      <c r="L931217" s="472"/>
      <c r="M931217" s="472"/>
    </row>
    <row r="931218" spans="12:13" x14ac:dyDescent="0.25">
      <c r="L931218" s="472"/>
      <c r="M931218" s="472"/>
    </row>
    <row r="931219" spans="12:13" x14ac:dyDescent="0.25">
      <c r="L931219" s="472"/>
      <c r="M931219" s="472"/>
    </row>
    <row r="931291" spans="12:13" x14ac:dyDescent="0.25">
      <c r="L931291" s="472"/>
      <c r="M931291" s="472"/>
    </row>
    <row r="931292" spans="12:13" x14ac:dyDescent="0.25">
      <c r="L931292" s="472"/>
      <c r="M931292" s="472"/>
    </row>
    <row r="931293" spans="12:13" x14ac:dyDescent="0.25">
      <c r="L931293" s="472"/>
      <c r="M931293" s="472"/>
    </row>
    <row r="931365" spans="12:13" x14ac:dyDescent="0.25">
      <c r="L931365" s="472"/>
      <c r="M931365" s="472"/>
    </row>
    <row r="931366" spans="12:13" x14ac:dyDescent="0.25">
      <c r="L931366" s="472"/>
      <c r="M931366" s="472"/>
    </row>
    <row r="931367" spans="12:13" x14ac:dyDescent="0.25">
      <c r="L931367" s="472"/>
      <c r="M931367" s="472"/>
    </row>
    <row r="931439" spans="12:13" x14ac:dyDescent="0.25">
      <c r="L931439" s="472"/>
      <c r="M931439" s="472"/>
    </row>
    <row r="931440" spans="12:13" x14ac:dyDescent="0.25">
      <c r="L931440" s="472"/>
      <c r="M931440" s="472"/>
    </row>
    <row r="931441" spans="12:13" x14ac:dyDescent="0.25">
      <c r="L931441" s="472"/>
      <c r="M931441" s="472"/>
    </row>
    <row r="931513" spans="12:13" x14ac:dyDescent="0.25">
      <c r="L931513" s="472"/>
      <c r="M931513" s="472"/>
    </row>
    <row r="931514" spans="12:13" x14ac:dyDescent="0.25">
      <c r="L931514" s="472"/>
      <c r="M931514" s="472"/>
    </row>
    <row r="931515" spans="12:13" x14ac:dyDescent="0.25">
      <c r="L931515" s="472"/>
      <c r="M931515" s="472"/>
    </row>
    <row r="931587" spans="12:13" x14ac:dyDescent="0.25">
      <c r="L931587" s="472"/>
      <c r="M931587" s="472"/>
    </row>
    <row r="931588" spans="12:13" x14ac:dyDescent="0.25">
      <c r="L931588" s="472"/>
      <c r="M931588" s="472"/>
    </row>
    <row r="931589" spans="12:13" x14ac:dyDescent="0.25">
      <c r="L931589" s="472"/>
      <c r="M931589" s="472"/>
    </row>
    <row r="931661" spans="12:13" x14ac:dyDescent="0.25">
      <c r="L931661" s="472"/>
      <c r="M931661" s="472"/>
    </row>
    <row r="931662" spans="12:13" x14ac:dyDescent="0.25">
      <c r="L931662" s="472"/>
      <c r="M931662" s="472"/>
    </row>
    <row r="931663" spans="12:13" x14ac:dyDescent="0.25">
      <c r="L931663" s="472"/>
      <c r="M931663" s="472"/>
    </row>
    <row r="931735" spans="12:13" x14ac:dyDescent="0.25">
      <c r="L931735" s="472"/>
      <c r="M931735" s="472"/>
    </row>
    <row r="931736" spans="12:13" x14ac:dyDescent="0.25">
      <c r="L931736" s="472"/>
      <c r="M931736" s="472"/>
    </row>
    <row r="931737" spans="12:13" x14ac:dyDescent="0.25">
      <c r="L931737" s="472"/>
      <c r="M931737" s="472"/>
    </row>
    <row r="931809" spans="12:13" x14ac:dyDescent="0.25">
      <c r="L931809" s="472"/>
      <c r="M931809" s="472"/>
    </row>
    <row r="931810" spans="12:13" x14ac:dyDescent="0.25">
      <c r="L931810" s="472"/>
      <c r="M931810" s="472"/>
    </row>
    <row r="931811" spans="12:13" x14ac:dyDescent="0.25">
      <c r="L931811" s="472"/>
      <c r="M931811" s="472"/>
    </row>
    <row r="931883" spans="12:13" x14ac:dyDescent="0.25">
      <c r="L931883" s="472"/>
      <c r="M931883" s="472"/>
    </row>
    <row r="931884" spans="12:13" x14ac:dyDescent="0.25">
      <c r="L931884" s="472"/>
      <c r="M931884" s="472"/>
    </row>
    <row r="931885" spans="12:13" x14ac:dyDescent="0.25">
      <c r="L931885" s="472"/>
      <c r="M931885" s="472"/>
    </row>
    <row r="931957" spans="12:13" x14ac:dyDescent="0.25">
      <c r="L931957" s="472"/>
      <c r="M931957" s="472"/>
    </row>
    <row r="931958" spans="12:13" x14ac:dyDescent="0.25">
      <c r="L931958" s="472"/>
      <c r="M931958" s="472"/>
    </row>
    <row r="931959" spans="12:13" x14ac:dyDescent="0.25">
      <c r="L931959" s="472"/>
      <c r="M931959" s="472"/>
    </row>
    <row r="932031" spans="12:13" x14ac:dyDescent="0.25">
      <c r="L932031" s="472"/>
      <c r="M932031" s="472"/>
    </row>
    <row r="932032" spans="12:13" x14ac:dyDescent="0.25">
      <c r="L932032" s="472"/>
      <c r="M932032" s="472"/>
    </row>
    <row r="932033" spans="12:13" x14ac:dyDescent="0.25">
      <c r="L932033" s="472"/>
      <c r="M932033" s="472"/>
    </row>
    <row r="932105" spans="12:13" x14ac:dyDescent="0.25">
      <c r="L932105" s="472"/>
      <c r="M932105" s="472"/>
    </row>
    <row r="932106" spans="12:13" x14ac:dyDescent="0.25">
      <c r="L932106" s="472"/>
      <c r="M932106" s="472"/>
    </row>
    <row r="932107" spans="12:13" x14ac:dyDescent="0.25">
      <c r="L932107" s="472"/>
      <c r="M932107" s="472"/>
    </row>
    <row r="932179" spans="12:13" x14ac:dyDescent="0.25">
      <c r="L932179" s="472"/>
      <c r="M932179" s="472"/>
    </row>
    <row r="932180" spans="12:13" x14ac:dyDescent="0.25">
      <c r="L932180" s="472"/>
      <c r="M932180" s="472"/>
    </row>
    <row r="932181" spans="12:13" x14ac:dyDescent="0.25">
      <c r="L932181" s="472"/>
      <c r="M932181" s="472"/>
    </row>
    <row r="932253" spans="12:13" x14ac:dyDescent="0.25">
      <c r="L932253" s="472"/>
      <c r="M932253" s="472"/>
    </row>
    <row r="932254" spans="12:13" x14ac:dyDescent="0.25">
      <c r="L932254" s="472"/>
      <c r="M932254" s="472"/>
    </row>
    <row r="932255" spans="12:13" x14ac:dyDescent="0.25">
      <c r="L932255" s="472"/>
      <c r="M932255" s="472"/>
    </row>
    <row r="932327" spans="12:13" x14ac:dyDescent="0.25">
      <c r="L932327" s="472"/>
      <c r="M932327" s="472"/>
    </row>
    <row r="932328" spans="12:13" x14ac:dyDescent="0.25">
      <c r="L932328" s="472"/>
      <c r="M932328" s="472"/>
    </row>
    <row r="932329" spans="12:13" x14ac:dyDescent="0.25">
      <c r="L932329" s="472"/>
      <c r="M932329" s="472"/>
    </row>
    <row r="932401" spans="12:13" x14ac:dyDescent="0.25">
      <c r="L932401" s="472"/>
      <c r="M932401" s="472"/>
    </row>
    <row r="932402" spans="12:13" x14ac:dyDescent="0.25">
      <c r="L932402" s="472"/>
      <c r="M932402" s="472"/>
    </row>
    <row r="932403" spans="12:13" x14ac:dyDescent="0.25">
      <c r="L932403" s="472"/>
      <c r="M932403" s="472"/>
    </row>
    <row r="932475" spans="12:13" x14ac:dyDescent="0.25">
      <c r="L932475" s="472"/>
      <c r="M932475" s="472"/>
    </row>
    <row r="932476" spans="12:13" x14ac:dyDescent="0.25">
      <c r="L932476" s="472"/>
      <c r="M932476" s="472"/>
    </row>
    <row r="932477" spans="12:13" x14ac:dyDescent="0.25">
      <c r="L932477" s="472"/>
      <c r="M932477" s="472"/>
    </row>
    <row r="932549" spans="12:13" x14ac:dyDescent="0.25">
      <c r="L932549" s="472"/>
      <c r="M932549" s="472"/>
    </row>
    <row r="932550" spans="12:13" x14ac:dyDescent="0.25">
      <c r="L932550" s="472"/>
      <c r="M932550" s="472"/>
    </row>
    <row r="932551" spans="12:13" x14ac:dyDescent="0.25">
      <c r="L932551" s="472"/>
      <c r="M932551" s="472"/>
    </row>
    <row r="932623" spans="12:13" x14ac:dyDescent="0.25">
      <c r="L932623" s="472"/>
      <c r="M932623" s="472"/>
    </row>
    <row r="932624" spans="12:13" x14ac:dyDescent="0.25">
      <c r="L932624" s="472"/>
      <c r="M932624" s="472"/>
    </row>
    <row r="932625" spans="12:13" x14ac:dyDescent="0.25">
      <c r="L932625" s="472"/>
      <c r="M932625" s="472"/>
    </row>
    <row r="932697" spans="12:13" x14ac:dyDescent="0.25">
      <c r="L932697" s="472"/>
      <c r="M932697" s="472"/>
    </row>
    <row r="932698" spans="12:13" x14ac:dyDescent="0.25">
      <c r="L932698" s="472"/>
      <c r="M932698" s="472"/>
    </row>
    <row r="932699" spans="12:13" x14ac:dyDescent="0.25">
      <c r="L932699" s="472"/>
      <c r="M932699" s="472"/>
    </row>
    <row r="932771" spans="12:13" x14ac:dyDescent="0.25">
      <c r="L932771" s="472"/>
      <c r="M932771" s="472"/>
    </row>
    <row r="932772" spans="12:13" x14ac:dyDescent="0.25">
      <c r="L932772" s="472"/>
      <c r="M932772" s="472"/>
    </row>
    <row r="932773" spans="12:13" x14ac:dyDescent="0.25">
      <c r="L932773" s="472"/>
      <c r="M932773" s="472"/>
    </row>
    <row r="932845" spans="12:13" x14ac:dyDescent="0.25">
      <c r="L932845" s="472"/>
      <c r="M932845" s="472"/>
    </row>
    <row r="932846" spans="12:13" x14ac:dyDescent="0.25">
      <c r="L932846" s="472"/>
      <c r="M932846" s="472"/>
    </row>
    <row r="932847" spans="12:13" x14ac:dyDescent="0.25">
      <c r="L932847" s="472"/>
      <c r="M932847" s="472"/>
    </row>
    <row r="932919" spans="12:13" x14ac:dyDescent="0.25">
      <c r="L932919" s="472"/>
      <c r="M932919" s="472"/>
    </row>
    <row r="932920" spans="12:13" x14ac:dyDescent="0.25">
      <c r="L932920" s="472"/>
      <c r="M932920" s="472"/>
    </row>
    <row r="932921" spans="12:13" x14ac:dyDescent="0.25">
      <c r="L932921" s="472"/>
      <c r="M932921" s="472"/>
    </row>
    <row r="932993" spans="12:13" x14ac:dyDescent="0.25">
      <c r="L932993" s="472"/>
      <c r="M932993" s="472"/>
    </row>
    <row r="932994" spans="12:13" x14ac:dyDescent="0.25">
      <c r="L932994" s="472"/>
      <c r="M932994" s="472"/>
    </row>
    <row r="932995" spans="12:13" x14ac:dyDescent="0.25">
      <c r="L932995" s="472"/>
      <c r="M932995" s="472"/>
    </row>
    <row r="933067" spans="12:13" x14ac:dyDescent="0.25">
      <c r="L933067" s="472"/>
      <c r="M933067" s="472"/>
    </row>
    <row r="933068" spans="12:13" x14ac:dyDescent="0.25">
      <c r="L933068" s="472"/>
      <c r="M933068" s="472"/>
    </row>
    <row r="933069" spans="12:13" x14ac:dyDescent="0.25">
      <c r="L933069" s="472"/>
      <c r="M933069" s="472"/>
    </row>
    <row r="933141" spans="12:13" x14ac:dyDescent="0.25">
      <c r="L933141" s="472"/>
      <c r="M933141" s="472"/>
    </row>
    <row r="933142" spans="12:13" x14ac:dyDescent="0.25">
      <c r="L933142" s="472"/>
      <c r="M933142" s="472"/>
    </row>
    <row r="933143" spans="12:13" x14ac:dyDescent="0.25">
      <c r="L933143" s="472"/>
      <c r="M933143" s="472"/>
    </row>
    <row r="933215" spans="12:13" x14ac:dyDescent="0.25">
      <c r="L933215" s="472"/>
      <c r="M933215" s="472"/>
    </row>
    <row r="933216" spans="12:13" x14ac:dyDescent="0.25">
      <c r="L933216" s="472"/>
      <c r="M933216" s="472"/>
    </row>
    <row r="933217" spans="12:13" x14ac:dyDescent="0.25">
      <c r="L933217" s="472"/>
      <c r="M933217" s="472"/>
    </row>
    <row r="933289" spans="12:13" x14ac:dyDescent="0.25">
      <c r="L933289" s="472"/>
      <c r="M933289" s="472"/>
    </row>
    <row r="933290" spans="12:13" x14ac:dyDescent="0.25">
      <c r="L933290" s="472"/>
      <c r="M933290" s="472"/>
    </row>
    <row r="933291" spans="12:13" x14ac:dyDescent="0.25">
      <c r="L933291" s="472"/>
      <c r="M933291" s="472"/>
    </row>
    <row r="933363" spans="12:13" x14ac:dyDescent="0.25">
      <c r="L933363" s="472"/>
      <c r="M933363" s="472"/>
    </row>
    <row r="933364" spans="12:13" x14ac:dyDescent="0.25">
      <c r="L933364" s="472"/>
      <c r="M933364" s="472"/>
    </row>
    <row r="933365" spans="12:13" x14ac:dyDescent="0.25">
      <c r="L933365" s="472"/>
      <c r="M933365" s="472"/>
    </row>
    <row r="933437" spans="12:13" x14ac:dyDescent="0.25">
      <c r="L933437" s="472"/>
      <c r="M933437" s="472"/>
    </row>
    <row r="933438" spans="12:13" x14ac:dyDescent="0.25">
      <c r="L933438" s="472"/>
      <c r="M933438" s="472"/>
    </row>
    <row r="933439" spans="12:13" x14ac:dyDescent="0.25">
      <c r="L933439" s="472"/>
      <c r="M933439" s="472"/>
    </row>
    <row r="933511" spans="12:13" x14ac:dyDescent="0.25">
      <c r="L933511" s="472"/>
      <c r="M933511" s="472"/>
    </row>
    <row r="933512" spans="12:13" x14ac:dyDescent="0.25">
      <c r="L933512" s="472"/>
      <c r="M933512" s="472"/>
    </row>
    <row r="933513" spans="12:13" x14ac:dyDescent="0.25">
      <c r="L933513" s="472"/>
      <c r="M933513" s="472"/>
    </row>
    <row r="933585" spans="12:13" x14ac:dyDescent="0.25">
      <c r="L933585" s="472"/>
      <c r="M933585" s="472"/>
    </row>
    <row r="933586" spans="12:13" x14ac:dyDescent="0.25">
      <c r="L933586" s="472"/>
      <c r="M933586" s="472"/>
    </row>
    <row r="933587" spans="12:13" x14ac:dyDescent="0.25">
      <c r="L933587" s="472"/>
      <c r="M933587" s="472"/>
    </row>
    <row r="933659" spans="12:13" x14ac:dyDescent="0.25">
      <c r="L933659" s="472"/>
      <c r="M933659" s="472"/>
    </row>
    <row r="933660" spans="12:13" x14ac:dyDescent="0.25">
      <c r="L933660" s="472"/>
      <c r="M933660" s="472"/>
    </row>
    <row r="933661" spans="12:13" x14ac:dyDescent="0.25">
      <c r="L933661" s="472"/>
      <c r="M933661" s="472"/>
    </row>
    <row r="933733" spans="12:13" x14ac:dyDescent="0.25">
      <c r="L933733" s="472"/>
      <c r="M933733" s="472"/>
    </row>
    <row r="933734" spans="12:13" x14ac:dyDescent="0.25">
      <c r="L933734" s="472"/>
      <c r="M933734" s="472"/>
    </row>
    <row r="933735" spans="12:13" x14ac:dyDescent="0.25">
      <c r="L933735" s="472"/>
      <c r="M933735" s="472"/>
    </row>
    <row r="933807" spans="12:13" x14ac:dyDescent="0.25">
      <c r="L933807" s="472"/>
      <c r="M933807" s="472"/>
    </row>
    <row r="933808" spans="12:13" x14ac:dyDescent="0.25">
      <c r="L933808" s="472"/>
      <c r="M933808" s="472"/>
    </row>
    <row r="933809" spans="12:13" x14ac:dyDescent="0.25">
      <c r="L933809" s="472"/>
      <c r="M933809" s="472"/>
    </row>
    <row r="933881" spans="12:13" x14ac:dyDescent="0.25">
      <c r="L933881" s="472"/>
      <c r="M933881" s="472"/>
    </row>
    <row r="933882" spans="12:13" x14ac:dyDescent="0.25">
      <c r="L933882" s="472"/>
      <c r="M933882" s="472"/>
    </row>
    <row r="933883" spans="12:13" x14ac:dyDescent="0.25">
      <c r="L933883" s="472"/>
      <c r="M933883" s="472"/>
    </row>
    <row r="933955" spans="12:13" x14ac:dyDescent="0.25">
      <c r="L933955" s="472"/>
      <c r="M933955" s="472"/>
    </row>
    <row r="933956" spans="12:13" x14ac:dyDescent="0.25">
      <c r="L933956" s="472"/>
      <c r="M933956" s="472"/>
    </row>
    <row r="933957" spans="12:13" x14ac:dyDescent="0.25">
      <c r="L933957" s="472"/>
      <c r="M933957" s="472"/>
    </row>
    <row r="934029" spans="12:13" x14ac:dyDescent="0.25">
      <c r="L934029" s="472"/>
      <c r="M934029" s="472"/>
    </row>
    <row r="934030" spans="12:13" x14ac:dyDescent="0.25">
      <c r="L934030" s="472"/>
      <c r="M934030" s="472"/>
    </row>
    <row r="934031" spans="12:13" x14ac:dyDescent="0.25">
      <c r="L934031" s="472"/>
      <c r="M934031" s="472"/>
    </row>
    <row r="934103" spans="12:13" x14ac:dyDescent="0.25">
      <c r="L934103" s="472"/>
      <c r="M934103" s="472"/>
    </row>
    <row r="934104" spans="12:13" x14ac:dyDescent="0.25">
      <c r="L934104" s="472"/>
      <c r="M934104" s="472"/>
    </row>
    <row r="934105" spans="12:13" x14ac:dyDescent="0.25">
      <c r="L934105" s="472"/>
      <c r="M934105" s="472"/>
    </row>
    <row r="934177" spans="12:13" x14ac:dyDescent="0.25">
      <c r="L934177" s="472"/>
      <c r="M934177" s="472"/>
    </row>
    <row r="934178" spans="12:13" x14ac:dyDescent="0.25">
      <c r="L934178" s="472"/>
      <c r="M934178" s="472"/>
    </row>
    <row r="934179" spans="12:13" x14ac:dyDescent="0.25">
      <c r="L934179" s="472"/>
      <c r="M934179" s="472"/>
    </row>
    <row r="934251" spans="12:13" x14ac:dyDescent="0.25">
      <c r="L934251" s="472"/>
      <c r="M934251" s="472"/>
    </row>
    <row r="934252" spans="12:13" x14ac:dyDescent="0.25">
      <c r="L934252" s="472"/>
      <c r="M934252" s="472"/>
    </row>
    <row r="934253" spans="12:13" x14ac:dyDescent="0.25">
      <c r="L934253" s="472"/>
      <c r="M934253" s="472"/>
    </row>
    <row r="934325" spans="12:13" x14ac:dyDescent="0.25">
      <c r="L934325" s="472"/>
      <c r="M934325" s="472"/>
    </row>
    <row r="934326" spans="12:13" x14ac:dyDescent="0.25">
      <c r="L934326" s="472"/>
      <c r="M934326" s="472"/>
    </row>
    <row r="934327" spans="12:13" x14ac:dyDescent="0.25">
      <c r="L934327" s="472"/>
      <c r="M934327" s="472"/>
    </row>
    <row r="934399" spans="12:13" x14ac:dyDescent="0.25">
      <c r="L934399" s="472"/>
      <c r="M934399" s="472"/>
    </row>
    <row r="934400" spans="12:13" x14ac:dyDescent="0.25">
      <c r="L934400" s="472"/>
      <c r="M934400" s="472"/>
    </row>
    <row r="934401" spans="12:13" x14ac:dyDescent="0.25">
      <c r="L934401" s="472"/>
      <c r="M934401" s="472"/>
    </row>
    <row r="934473" spans="12:13" x14ac:dyDescent="0.25">
      <c r="L934473" s="472"/>
      <c r="M934473" s="472"/>
    </row>
    <row r="934474" spans="12:13" x14ac:dyDescent="0.25">
      <c r="L934474" s="472"/>
      <c r="M934474" s="472"/>
    </row>
    <row r="934475" spans="12:13" x14ac:dyDescent="0.25">
      <c r="L934475" s="472"/>
      <c r="M934475" s="472"/>
    </row>
    <row r="934547" spans="12:13" x14ac:dyDescent="0.25">
      <c r="L934547" s="472"/>
      <c r="M934547" s="472"/>
    </row>
    <row r="934548" spans="12:13" x14ac:dyDescent="0.25">
      <c r="L934548" s="472"/>
      <c r="M934548" s="472"/>
    </row>
    <row r="934549" spans="12:13" x14ac:dyDescent="0.25">
      <c r="L934549" s="472"/>
      <c r="M934549" s="472"/>
    </row>
    <row r="934621" spans="12:13" x14ac:dyDescent="0.25">
      <c r="L934621" s="472"/>
      <c r="M934621" s="472"/>
    </row>
    <row r="934622" spans="12:13" x14ac:dyDescent="0.25">
      <c r="L934622" s="472"/>
      <c r="M934622" s="472"/>
    </row>
    <row r="934623" spans="12:13" x14ac:dyDescent="0.25">
      <c r="L934623" s="472"/>
      <c r="M934623" s="472"/>
    </row>
    <row r="934695" spans="12:13" x14ac:dyDescent="0.25">
      <c r="L934695" s="472"/>
      <c r="M934695" s="472"/>
    </row>
    <row r="934696" spans="12:13" x14ac:dyDescent="0.25">
      <c r="L934696" s="472"/>
      <c r="M934696" s="472"/>
    </row>
    <row r="934697" spans="12:13" x14ac:dyDescent="0.25">
      <c r="L934697" s="472"/>
      <c r="M934697" s="472"/>
    </row>
    <row r="934769" spans="12:13" x14ac:dyDescent="0.25">
      <c r="L934769" s="472"/>
      <c r="M934769" s="472"/>
    </row>
    <row r="934770" spans="12:13" x14ac:dyDescent="0.25">
      <c r="L934770" s="472"/>
      <c r="M934770" s="472"/>
    </row>
    <row r="934771" spans="12:13" x14ac:dyDescent="0.25">
      <c r="L934771" s="472"/>
      <c r="M934771" s="472"/>
    </row>
    <row r="934843" spans="12:13" x14ac:dyDescent="0.25">
      <c r="L934843" s="472"/>
      <c r="M934843" s="472"/>
    </row>
    <row r="934844" spans="12:13" x14ac:dyDescent="0.25">
      <c r="L934844" s="472"/>
      <c r="M934844" s="472"/>
    </row>
    <row r="934845" spans="12:13" x14ac:dyDescent="0.25">
      <c r="L934845" s="472"/>
      <c r="M934845" s="472"/>
    </row>
    <row r="934917" spans="12:13" x14ac:dyDescent="0.25">
      <c r="L934917" s="472"/>
      <c r="M934917" s="472"/>
    </row>
    <row r="934918" spans="12:13" x14ac:dyDescent="0.25">
      <c r="L934918" s="472"/>
      <c r="M934918" s="472"/>
    </row>
    <row r="934919" spans="12:13" x14ac:dyDescent="0.25">
      <c r="L934919" s="472"/>
      <c r="M934919" s="472"/>
    </row>
    <row r="934991" spans="12:13" x14ac:dyDescent="0.25">
      <c r="L934991" s="472"/>
      <c r="M934991" s="472"/>
    </row>
    <row r="934992" spans="12:13" x14ac:dyDescent="0.25">
      <c r="L934992" s="472"/>
      <c r="M934992" s="472"/>
    </row>
    <row r="934993" spans="12:13" x14ac:dyDescent="0.25">
      <c r="L934993" s="472"/>
      <c r="M934993" s="472"/>
    </row>
    <row r="935065" spans="12:13" x14ac:dyDescent="0.25">
      <c r="L935065" s="472"/>
      <c r="M935065" s="472"/>
    </row>
    <row r="935066" spans="12:13" x14ac:dyDescent="0.25">
      <c r="L935066" s="472"/>
      <c r="M935066" s="472"/>
    </row>
    <row r="935067" spans="12:13" x14ac:dyDescent="0.25">
      <c r="L935067" s="472"/>
      <c r="M935067" s="472"/>
    </row>
    <row r="935139" spans="12:13" x14ac:dyDescent="0.25">
      <c r="L935139" s="472"/>
      <c r="M935139" s="472"/>
    </row>
    <row r="935140" spans="12:13" x14ac:dyDescent="0.25">
      <c r="L935140" s="472"/>
      <c r="M935140" s="472"/>
    </row>
    <row r="935141" spans="12:13" x14ac:dyDescent="0.25">
      <c r="L935141" s="472"/>
      <c r="M935141" s="472"/>
    </row>
    <row r="935213" spans="12:13" x14ac:dyDescent="0.25">
      <c r="L935213" s="472"/>
      <c r="M935213" s="472"/>
    </row>
    <row r="935214" spans="12:13" x14ac:dyDescent="0.25">
      <c r="L935214" s="472"/>
      <c r="M935214" s="472"/>
    </row>
    <row r="935215" spans="12:13" x14ac:dyDescent="0.25">
      <c r="L935215" s="472"/>
      <c r="M935215" s="472"/>
    </row>
    <row r="935287" spans="12:13" x14ac:dyDescent="0.25">
      <c r="L935287" s="472"/>
      <c r="M935287" s="472"/>
    </row>
    <row r="935288" spans="12:13" x14ac:dyDescent="0.25">
      <c r="L935288" s="472"/>
      <c r="M935288" s="472"/>
    </row>
    <row r="935289" spans="12:13" x14ac:dyDescent="0.25">
      <c r="L935289" s="472"/>
      <c r="M935289" s="472"/>
    </row>
    <row r="935361" spans="12:13" x14ac:dyDescent="0.25">
      <c r="L935361" s="472"/>
      <c r="M935361" s="472"/>
    </row>
    <row r="935362" spans="12:13" x14ac:dyDescent="0.25">
      <c r="L935362" s="472"/>
      <c r="M935362" s="472"/>
    </row>
    <row r="935363" spans="12:13" x14ac:dyDescent="0.25">
      <c r="L935363" s="472"/>
      <c r="M935363" s="472"/>
    </row>
    <row r="935435" spans="12:13" x14ac:dyDescent="0.25">
      <c r="L935435" s="472"/>
      <c r="M935435" s="472"/>
    </row>
    <row r="935436" spans="12:13" x14ac:dyDescent="0.25">
      <c r="L935436" s="472"/>
      <c r="M935436" s="472"/>
    </row>
    <row r="935437" spans="12:13" x14ac:dyDescent="0.25">
      <c r="L935437" s="472"/>
      <c r="M935437" s="472"/>
    </row>
    <row r="935509" spans="12:13" x14ac:dyDescent="0.25">
      <c r="L935509" s="472"/>
      <c r="M935509" s="472"/>
    </row>
    <row r="935510" spans="12:13" x14ac:dyDescent="0.25">
      <c r="L935510" s="472"/>
      <c r="M935510" s="472"/>
    </row>
    <row r="935511" spans="12:13" x14ac:dyDescent="0.25">
      <c r="L935511" s="472"/>
      <c r="M935511" s="472"/>
    </row>
    <row r="935583" spans="12:13" x14ac:dyDescent="0.25">
      <c r="L935583" s="472"/>
      <c r="M935583" s="472"/>
    </row>
    <row r="935584" spans="12:13" x14ac:dyDescent="0.25">
      <c r="L935584" s="472"/>
      <c r="M935584" s="472"/>
    </row>
    <row r="935585" spans="12:13" x14ac:dyDescent="0.25">
      <c r="L935585" s="472"/>
      <c r="M935585" s="472"/>
    </row>
    <row r="935657" spans="12:13" x14ac:dyDescent="0.25">
      <c r="L935657" s="472"/>
      <c r="M935657" s="472"/>
    </row>
    <row r="935658" spans="12:13" x14ac:dyDescent="0.25">
      <c r="L935658" s="472"/>
      <c r="M935658" s="472"/>
    </row>
    <row r="935659" spans="12:13" x14ac:dyDescent="0.25">
      <c r="L935659" s="472"/>
      <c r="M935659" s="472"/>
    </row>
    <row r="935731" spans="12:13" x14ac:dyDescent="0.25">
      <c r="L935731" s="472"/>
      <c r="M935731" s="472"/>
    </row>
    <row r="935732" spans="12:13" x14ac:dyDescent="0.25">
      <c r="L935732" s="472"/>
      <c r="M935732" s="472"/>
    </row>
    <row r="935733" spans="12:13" x14ac:dyDescent="0.25">
      <c r="L935733" s="472"/>
      <c r="M935733" s="472"/>
    </row>
    <row r="935805" spans="12:13" x14ac:dyDescent="0.25">
      <c r="L935805" s="472"/>
      <c r="M935805" s="472"/>
    </row>
    <row r="935806" spans="12:13" x14ac:dyDescent="0.25">
      <c r="L935806" s="472"/>
      <c r="M935806" s="472"/>
    </row>
    <row r="935807" spans="12:13" x14ac:dyDescent="0.25">
      <c r="L935807" s="472"/>
      <c r="M935807" s="472"/>
    </row>
    <row r="935879" spans="12:13" x14ac:dyDescent="0.25">
      <c r="L935879" s="472"/>
      <c r="M935879" s="472"/>
    </row>
    <row r="935880" spans="12:13" x14ac:dyDescent="0.25">
      <c r="L935880" s="472"/>
      <c r="M935880" s="472"/>
    </row>
    <row r="935881" spans="12:13" x14ac:dyDescent="0.25">
      <c r="L935881" s="472"/>
      <c r="M935881" s="472"/>
    </row>
    <row r="935953" spans="12:13" x14ac:dyDescent="0.25">
      <c r="L935953" s="472"/>
      <c r="M935953" s="472"/>
    </row>
    <row r="935954" spans="12:13" x14ac:dyDescent="0.25">
      <c r="L935954" s="472"/>
      <c r="M935954" s="472"/>
    </row>
    <row r="935955" spans="12:13" x14ac:dyDescent="0.25">
      <c r="L935955" s="472"/>
      <c r="M935955" s="472"/>
    </row>
    <row r="936027" spans="12:13" x14ac:dyDescent="0.25">
      <c r="L936027" s="472"/>
      <c r="M936027" s="472"/>
    </row>
    <row r="936028" spans="12:13" x14ac:dyDescent="0.25">
      <c r="L936028" s="472"/>
      <c r="M936028" s="472"/>
    </row>
    <row r="936029" spans="12:13" x14ac:dyDescent="0.25">
      <c r="L936029" s="472"/>
      <c r="M936029" s="472"/>
    </row>
    <row r="936101" spans="12:13" x14ac:dyDescent="0.25">
      <c r="L936101" s="472"/>
      <c r="M936101" s="472"/>
    </row>
    <row r="936102" spans="12:13" x14ac:dyDescent="0.25">
      <c r="L936102" s="472"/>
      <c r="M936102" s="472"/>
    </row>
    <row r="936103" spans="12:13" x14ac:dyDescent="0.25">
      <c r="L936103" s="472"/>
      <c r="M936103" s="472"/>
    </row>
    <row r="936175" spans="12:13" x14ac:dyDescent="0.25">
      <c r="L936175" s="472"/>
      <c r="M936175" s="472"/>
    </row>
    <row r="936176" spans="12:13" x14ac:dyDescent="0.25">
      <c r="L936176" s="472"/>
      <c r="M936176" s="472"/>
    </row>
    <row r="936177" spans="12:13" x14ac:dyDescent="0.25">
      <c r="L936177" s="472"/>
      <c r="M936177" s="472"/>
    </row>
    <row r="936249" spans="12:13" x14ac:dyDescent="0.25">
      <c r="L936249" s="472"/>
      <c r="M936249" s="472"/>
    </row>
    <row r="936250" spans="12:13" x14ac:dyDescent="0.25">
      <c r="L936250" s="472"/>
      <c r="M936250" s="472"/>
    </row>
    <row r="936251" spans="12:13" x14ac:dyDescent="0.25">
      <c r="L936251" s="472"/>
      <c r="M936251" s="472"/>
    </row>
    <row r="936323" spans="12:13" x14ac:dyDescent="0.25">
      <c r="L936323" s="472"/>
      <c r="M936323" s="472"/>
    </row>
    <row r="936324" spans="12:13" x14ac:dyDescent="0.25">
      <c r="L936324" s="472"/>
      <c r="M936324" s="472"/>
    </row>
    <row r="936325" spans="12:13" x14ac:dyDescent="0.25">
      <c r="L936325" s="472"/>
      <c r="M936325" s="472"/>
    </row>
    <row r="936397" spans="12:13" x14ac:dyDescent="0.25">
      <c r="L936397" s="472"/>
      <c r="M936397" s="472"/>
    </row>
    <row r="936398" spans="12:13" x14ac:dyDescent="0.25">
      <c r="L936398" s="472"/>
      <c r="M936398" s="472"/>
    </row>
    <row r="936399" spans="12:13" x14ac:dyDescent="0.25">
      <c r="L936399" s="472"/>
      <c r="M936399" s="472"/>
    </row>
    <row r="936471" spans="12:13" x14ac:dyDescent="0.25">
      <c r="L936471" s="472"/>
      <c r="M936471" s="472"/>
    </row>
    <row r="936472" spans="12:13" x14ac:dyDescent="0.25">
      <c r="L936472" s="472"/>
      <c r="M936472" s="472"/>
    </row>
    <row r="936473" spans="12:13" x14ac:dyDescent="0.25">
      <c r="L936473" s="472"/>
      <c r="M936473" s="472"/>
    </row>
    <row r="936545" spans="12:13" x14ac:dyDescent="0.25">
      <c r="L936545" s="472"/>
      <c r="M936545" s="472"/>
    </row>
    <row r="936546" spans="12:13" x14ac:dyDescent="0.25">
      <c r="L936546" s="472"/>
      <c r="M936546" s="472"/>
    </row>
    <row r="936547" spans="12:13" x14ac:dyDescent="0.25">
      <c r="L936547" s="472"/>
      <c r="M936547" s="472"/>
    </row>
    <row r="936619" spans="12:13" x14ac:dyDescent="0.25">
      <c r="L936619" s="472"/>
      <c r="M936619" s="472"/>
    </row>
    <row r="936620" spans="12:13" x14ac:dyDescent="0.25">
      <c r="L936620" s="472"/>
      <c r="M936620" s="472"/>
    </row>
    <row r="936621" spans="12:13" x14ac:dyDescent="0.25">
      <c r="L936621" s="472"/>
      <c r="M936621" s="472"/>
    </row>
    <row r="936693" spans="12:13" x14ac:dyDescent="0.25">
      <c r="L936693" s="472"/>
      <c r="M936693" s="472"/>
    </row>
    <row r="936694" spans="12:13" x14ac:dyDescent="0.25">
      <c r="L936694" s="472"/>
      <c r="M936694" s="472"/>
    </row>
    <row r="936695" spans="12:13" x14ac:dyDescent="0.25">
      <c r="L936695" s="472"/>
      <c r="M936695" s="472"/>
    </row>
    <row r="936767" spans="12:13" x14ac:dyDescent="0.25">
      <c r="L936767" s="472"/>
      <c r="M936767" s="472"/>
    </row>
    <row r="936768" spans="12:13" x14ac:dyDescent="0.25">
      <c r="L936768" s="472"/>
      <c r="M936768" s="472"/>
    </row>
    <row r="936769" spans="12:13" x14ac:dyDescent="0.25">
      <c r="L936769" s="472"/>
      <c r="M936769" s="472"/>
    </row>
    <row r="936841" spans="12:13" x14ac:dyDescent="0.25">
      <c r="L936841" s="472"/>
      <c r="M936841" s="472"/>
    </row>
    <row r="936842" spans="12:13" x14ac:dyDescent="0.25">
      <c r="L936842" s="472"/>
      <c r="M936842" s="472"/>
    </row>
    <row r="936843" spans="12:13" x14ac:dyDescent="0.25">
      <c r="L936843" s="472"/>
      <c r="M936843" s="472"/>
    </row>
    <row r="936915" spans="12:13" x14ac:dyDescent="0.25">
      <c r="L936915" s="472"/>
      <c r="M936915" s="472"/>
    </row>
    <row r="936916" spans="12:13" x14ac:dyDescent="0.25">
      <c r="L936916" s="472"/>
      <c r="M936916" s="472"/>
    </row>
    <row r="936917" spans="12:13" x14ac:dyDescent="0.25">
      <c r="L936917" s="472"/>
      <c r="M936917" s="472"/>
    </row>
    <row r="936989" spans="12:13" x14ac:dyDescent="0.25">
      <c r="L936989" s="472"/>
      <c r="M936989" s="472"/>
    </row>
    <row r="936990" spans="12:13" x14ac:dyDescent="0.25">
      <c r="L936990" s="472"/>
      <c r="M936990" s="472"/>
    </row>
    <row r="936991" spans="12:13" x14ac:dyDescent="0.25">
      <c r="L936991" s="472"/>
      <c r="M936991" s="472"/>
    </row>
    <row r="937063" spans="12:13" x14ac:dyDescent="0.25">
      <c r="L937063" s="472"/>
      <c r="M937063" s="472"/>
    </row>
    <row r="937064" spans="12:13" x14ac:dyDescent="0.25">
      <c r="L937064" s="472"/>
      <c r="M937064" s="472"/>
    </row>
    <row r="937065" spans="12:13" x14ac:dyDescent="0.25">
      <c r="L937065" s="472"/>
      <c r="M937065" s="472"/>
    </row>
    <row r="937137" spans="12:13" x14ac:dyDescent="0.25">
      <c r="L937137" s="472"/>
      <c r="M937137" s="472"/>
    </row>
    <row r="937138" spans="12:13" x14ac:dyDescent="0.25">
      <c r="L937138" s="472"/>
      <c r="M937138" s="472"/>
    </row>
    <row r="937139" spans="12:13" x14ac:dyDescent="0.25">
      <c r="L937139" s="472"/>
      <c r="M937139" s="472"/>
    </row>
    <row r="937211" spans="12:13" x14ac:dyDescent="0.25">
      <c r="L937211" s="472"/>
      <c r="M937211" s="472"/>
    </row>
    <row r="937212" spans="12:13" x14ac:dyDescent="0.25">
      <c r="L937212" s="472"/>
      <c r="M937212" s="472"/>
    </row>
    <row r="937213" spans="12:13" x14ac:dyDescent="0.25">
      <c r="L937213" s="472"/>
      <c r="M937213" s="472"/>
    </row>
    <row r="937285" spans="12:13" x14ac:dyDescent="0.25">
      <c r="L937285" s="472"/>
      <c r="M937285" s="472"/>
    </row>
    <row r="937286" spans="12:13" x14ac:dyDescent="0.25">
      <c r="L937286" s="472"/>
      <c r="M937286" s="472"/>
    </row>
    <row r="937287" spans="12:13" x14ac:dyDescent="0.25">
      <c r="L937287" s="472"/>
      <c r="M937287" s="472"/>
    </row>
    <row r="937359" spans="12:13" x14ac:dyDescent="0.25">
      <c r="L937359" s="472"/>
      <c r="M937359" s="472"/>
    </row>
    <row r="937360" spans="12:13" x14ac:dyDescent="0.25">
      <c r="L937360" s="472"/>
      <c r="M937360" s="472"/>
    </row>
    <row r="937361" spans="12:13" x14ac:dyDescent="0.25">
      <c r="L937361" s="472"/>
      <c r="M937361" s="472"/>
    </row>
    <row r="937433" spans="12:13" x14ac:dyDescent="0.25">
      <c r="L937433" s="472"/>
      <c r="M937433" s="472"/>
    </row>
    <row r="937434" spans="12:13" x14ac:dyDescent="0.25">
      <c r="L937434" s="472"/>
      <c r="M937434" s="472"/>
    </row>
    <row r="937435" spans="12:13" x14ac:dyDescent="0.25">
      <c r="L937435" s="472"/>
      <c r="M937435" s="472"/>
    </row>
    <row r="937507" spans="12:13" x14ac:dyDescent="0.25">
      <c r="L937507" s="472"/>
      <c r="M937507" s="472"/>
    </row>
    <row r="937508" spans="12:13" x14ac:dyDescent="0.25">
      <c r="L937508" s="472"/>
      <c r="M937508" s="472"/>
    </row>
    <row r="937509" spans="12:13" x14ac:dyDescent="0.25">
      <c r="L937509" s="472"/>
      <c r="M937509" s="472"/>
    </row>
    <row r="937581" spans="12:13" x14ac:dyDescent="0.25">
      <c r="L937581" s="472"/>
      <c r="M937581" s="472"/>
    </row>
    <row r="937582" spans="12:13" x14ac:dyDescent="0.25">
      <c r="L937582" s="472"/>
      <c r="M937582" s="472"/>
    </row>
    <row r="937583" spans="12:13" x14ac:dyDescent="0.25">
      <c r="L937583" s="472"/>
      <c r="M937583" s="472"/>
    </row>
    <row r="937655" spans="12:13" x14ac:dyDescent="0.25">
      <c r="L937655" s="472"/>
      <c r="M937655" s="472"/>
    </row>
    <row r="937656" spans="12:13" x14ac:dyDescent="0.25">
      <c r="L937656" s="472"/>
      <c r="M937656" s="472"/>
    </row>
    <row r="937657" spans="12:13" x14ac:dyDescent="0.25">
      <c r="L937657" s="472"/>
      <c r="M937657" s="472"/>
    </row>
    <row r="937729" spans="12:13" x14ac:dyDescent="0.25">
      <c r="L937729" s="472"/>
      <c r="M937729" s="472"/>
    </row>
    <row r="937730" spans="12:13" x14ac:dyDescent="0.25">
      <c r="L937730" s="472"/>
      <c r="M937730" s="472"/>
    </row>
    <row r="937731" spans="12:13" x14ac:dyDescent="0.25">
      <c r="L937731" s="472"/>
      <c r="M937731" s="472"/>
    </row>
    <row r="937803" spans="12:13" x14ac:dyDescent="0.25">
      <c r="L937803" s="472"/>
      <c r="M937803" s="472"/>
    </row>
    <row r="937804" spans="12:13" x14ac:dyDescent="0.25">
      <c r="L937804" s="472"/>
      <c r="M937804" s="472"/>
    </row>
    <row r="937805" spans="12:13" x14ac:dyDescent="0.25">
      <c r="L937805" s="472"/>
      <c r="M937805" s="472"/>
    </row>
    <row r="937877" spans="12:13" x14ac:dyDescent="0.25">
      <c r="L937877" s="472"/>
      <c r="M937877" s="472"/>
    </row>
    <row r="937878" spans="12:13" x14ac:dyDescent="0.25">
      <c r="L937878" s="472"/>
      <c r="M937878" s="472"/>
    </row>
    <row r="937879" spans="12:13" x14ac:dyDescent="0.25">
      <c r="L937879" s="472"/>
      <c r="M937879" s="472"/>
    </row>
    <row r="937951" spans="12:13" x14ac:dyDescent="0.25">
      <c r="L937951" s="472"/>
      <c r="M937951" s="472"/>
    </row>
    <row r="937952" spans="12:13" x14ac:dyDescent="0.25">
      <c r="L937952" s="472"/>
      <c r="M937952" s="472"/>
    </row>
    <row r="937953" spans="12:13" x14ac:dyDescent="0.25">
      <c r="L937953" s="472"/>
      <c r="M937953" s="472"/>
    </row>
    <row r="938025" spans="12:13" x14ac:dyDescent="0.25">
      <c r="L938025" s="472"/>
      <c r="M938025" s="472"/>
    </row>
    <row r="938026" spans="12:13" x14ac:dyDescent="0.25">
      <c r="L938026" s="472"/>
      <c r="M938026" s="472"/>
    </row>
    <row r="938027" spans="12:13" x14ac:dyDescent="0.25">
      <c r="L938027" s="472"/>
      <c r="M938027" s="472"/>
    </row>
    <row r="938099" spans="12:13" x14ac:dyDescent="0.25">
      <c r="L938099" s="472"/>
      <c r="M938099" s="472"/>
    </row>
    <row r="938100" spans="12:13" x14ac:dyDescent="0.25">
      <c r="L938100" s="472"/>
      <c r="M938100" s="472"/>
    </row>
    <row r="938101" spans="12:13" x14ac:dyDescent="0.25">
      <c r="L938101" s="472"/>
      <c r="M938101" s="472"/>
    </row>
    <row r="938173" spans="12:13" x14ac:dyDescent="0.25">
      <c r="L938173" s="472"/>
      <c r="M938173" s="472"/>
    </row>
    <row r="938174" spans="12:13" x14ac:dyDescent="0.25">
      <c r="L938174" s="472"/>
      <c r="M938174" s="472"/>
    </row>
    <row r="938175" spans="12:13" x14ac:dyDescent="0.25">
      <c r="L938175" s="472"/>
      <c r="M938175" s="472"/>
    </row>
    <row r="938247" spans="12:13" x14ac:dyDescent="0.25">
      <c r="L938247" s="472"/>
      <c r="M938247" s="472"/>
    </row>
    <row r="938248" spans="12:13" x14ac:dyDescent="0.25">
      <c r="L938248" s="472"/>
      <c r="M938248" s="472"/>
    </row>
    <row r="938249" spans="12:13" x14ac:dyDescent="0.25">
      <c r="L938249" s="472"/>
      <c r="M938249" s="472"/>
    </row>
    <row r="938321" spans="12:13" x14ac:dyDescent="0.25">
      <c r="L938321" s="472"/>
      <c r="M938321" s="472"/>
    </row>
    <row r="938322" spans="12:13" x14ac:dyDescent="0.25">
      <c r="L938322" s="472"/>
      <c r="M938322" s="472"/>
    </row>
    <row r="938323" spans="12:13" x14ac:dyDescent="0.25">
      <c r="L938323" s="472"/>
      <c r="M938323" s="472"/>
    </row>
    <row r="938395" spans="12:13" x14ac:dyDescent="0.25">
      <c r="L938395" s="472"/>
      <c r="M938395" s="472"/>
    </row>
    <row r="938396" spans="12:13" x14ac:dyDescent="0.25">
      <c r="L938396" s="472"/>
      <c r="M938396" s="472"/>
    </row>
    <row r="938397" spans="12:13" x14ac:dyDescent="0.25">
      <c r="L938397" s="472"/>
      <c r="M938397" s="472"/>
    </row>
    <row r="938469" spans="12:13" x14ac:dyDescent="0.25">
      <c r="L938469" s="472"/>
      <c r="M938469" s="472"/>
    </row>
    <row r="938470" spans="12:13" x14ac:dyDescent="0.25">
      <c r="L938470" s="472"/>
      <c r="M938470" s="472"/>
    </row>
    <row r="938471" spans="12:13" x14ac:dyDescent="0.25">
      <c r="L938471" s="472"/>
      <c r="M938471" s="472"/>
    </row>
    <row r="938543" spans="12:13" x14ac:dyDescent="0.25">
      <c r="L938543" s="472"/>
      <c r="M938543" s="472"/>
    </row>
    <row r="938544" spans="12:13" x14ac:dyDescent="0.25">
      <c r="L938544" s="472"/>
      <c r="M938544" s="472"/>
    </row>
    <row r="938545" spans="12:13" x14ac:dyDescent="0.25">
      <c r="L938545" s="472"/>
      <c r="M938545" s="472"/>
    </row>
    <row r="938617" spans="12:13" x14ac:dyDescent="0.25">
      <c r="L938617" s="472"/>
      <c r="M938617" s="472"/>
    </row>
    <row r="938618" spans="12:13" x14ac:dyDescent="0.25">
      <c r="L938618" s="472"/>
      <c r="M938618" s="472"/>
    </row>
    <row r="938619" spans="12:13" x14ac:dyDescent="0.25">
      <c r="L938619" s="472"/>
      <c r="M938619" s="472"/>
    </row>
    <row r="938691" spans="12:13" x14ac:dyDescent="0.25">
      <c r="L938691" s="472"/>
      <c r="M938691" s="472"/>
    </row>
    <row r="938692" spans="12:13" x14ac:dyDescent="0.25">
      <c r="L938692" s="472"/>
      <c r="M938692" s="472"/>
    </row>
    <row r="938693" spans="12:13" x14ac:dyDescent="0.25">
      <c r="L938693" s="472"/>
      <c r="M938693" s="472"/>
    </row>
    <row r="938765" spans="12:13" x14ac:dyDescent="0.25">
      <c r="L938765" s="472"/>
      <c r="M938765" s="472"/>
    </row>
    <row r="938766" spans="12:13" x14ac:dyDescent="0.25">
      <c r="L938766" s="472"/>
      <c r="M938766" s="472"/>
    </row>
    <row r="938767" spans="12:13" x14ac:dyDescent="0.25">
      <c r="L938767" s="472"/>
      <c r="M938767" s="472"/>
    </row>
    <row r="938839" spans="12:13" x14ac:dyDescent="0.25">
      <c r="L938839" s="472"/>
      <c r="M938839" s="472"/>
    </row>
    <row r="938840" spans="12:13" x14ac:dyDescent="0.25">
      <c r="L938840" s="472"/>
      <c r="M938840" s="472"/>
    </row>
    <row r="938841" spans="12:13" x14ac:dyDescent="0.25">
      <c r="L938841" s="472"/>
      <c r="M938841" s="472"/>
    </row>
    <row r="938913" spans="12:13" x14ac:dyDescent="0.25">
      <c r="L938913" s="472"/>
      <c r="M938913" s="472"/>
    </row>
    <row r="938914" spans="12:13" x14ac:dyDescent="0.25">
      <c r="L938914" s="472"/>
      <c r="M938914" s="472"/>
    </row>
    <row r="938915" spans="12:13" x14ac:dyDescent="0.25">
      <c r="L938915" s="472"/>
      <c r="M938915" s="472"/>
    </row>
    <row r="938987" spans="12:13" x14ac:dyDescent="0.25">
      <c r="L938987" s="472"/>
      <c r="M938987" s="472"/>
    </row>
    <row r="938988" spans="12:13" x14ac:dyDescent="0.25">
      <c r="L938988" s="472"/>
      <c r="M938988" s="472"/>
    </row>
    <row r="938989" spans="12:13" x14ac:dyDescent="0.25">
      <c r="L938989" s="472"/>
      <c r="M938989" s="472"/>
    </row>
    <row r="939061" spans="12:13" x14ac:dyDescent="0.25">
      <c r="L939061" s="472"/>
      <c r="M939061" s="472"/>
    </row>
    <row r="939062" spans="12:13" x14ac:dyDescent="0.25">
      <c r="L939062" s="472"/>
      <c r="M939062" s="472"/>
    </row>
    <row r="939063" spans="12:13" x14ac:dyDescent="0.25">
      <c r="L939063" s="472"/>
      <c r="M939063" s="472"/>
    </row>
    <row r="939135" spans="12:13" x14ac:dyDescent="0.25">
      <c r="L939135" s="472"/>
      <c r="M939135" s="472"/>
    </row>
    <row r="939136" spans="12:13" x14ac:dyDescent="0.25">
      <c r="L939136" s="472"/>
      <c r="M939136" s="472"/>
    </row>
    <row r="939137" spans="12:13" x14ac:dyDescent="0.25">
      <c r="L939137" s="472"/>
      <c r="M939137" s="472"/>
    </row>
    <row r="939209" spans="12:13" x14ac:dyDescent="0.25">
      <c r="L939209" s="472"/>
      <c r="M939209" s="472"/>
    </row>
    <row r="939210" spans="12:13" x14ac:dyDescent="0.25">
      <c r="L939210" s="472"/>
      <c r="M939210" s="472"/>
    </row>
    <row r="939211" spans="12:13" x14ac:dyDescent="0.25">
      <c r="L939211" s="472"/>
      <c r="M939211" s="472"/>
    </row>
    <row r="939283" spans="12:13" x14ac:dyDescent="0.25">
      <c r="L939283" s="472"/>
      <c r="M939283" s="472"/>
    </row>
    <row r="939284" spans="12:13" x14ac:dyDescent="0.25">
      <c r="L939284" s="472"/>
      <c r="M939284" s="472"/>
    </row>
    <row r="939285" spans="12:13" x14ac:dyDescent="0.25">
      <c r="L939285" s="472"/>
      <c r="M939285" s="472"/>
    </row>
    <row r="939357" spans="12:13" x14ac:dyDescent="0.25">
      <c r="L939357" s="472"/>
      <c r="M939357" s="472"/>
    </row>
    <row r="939358" spans="12:13" x14ac:dyDescent="0.25">
      <c r="L939358" s="472"/>
      <c r="M939358" s="472"/>
    </row>
    <row r="939359" spans="12:13" x14ac:dyDescent="0.25">
      <c r="L939359" s="472"/>
      <c r="M939359" s="472"/>
    </row>
    <row r="939431" spans="12:13" x14ac:dyDescent="0.25">
      <c r="L939431" s="472"/>
      <c r="M939431" s="472"/>
    </row>
    <row r="939432" spans="12:13" x14ac:dyDescent="0.25">
      <c r="L939432" s="472"/>
      <c r="M939432" s="472"/>
    </row>
    <row r="939433" spans="12:13" x14ac:dyDescent="0.25">
      <c r="L939433" s="472"/>
      <c r="M939433" s="472"/>
    </row>
    <row r="939505" spans="12:13" x14ac:dyDescent="0.25">
      <c r="L939505" s="472"/>
      <c r="M939505" s="472"/>
    </row>
    <row r="939506" spans="12:13" x14ac:dyDescent="0.25">
      <c r="L939506" s="472"/>
      <c r="M939506" s="472"/>
    </row>
    <row r="939507" spans="12:13" x14ac:dyDescent="0.25">
      <c r="L939507" s="472"/>
      <c r="M939507" s="472"/>
    </row>
    <row r="939579" spans="12:13" x14ac:dyDescent="0.25">
      <c r="L939579" s="472"/>
      <c r="M939579" s="472"/>
    </row>
    <row r="939580" spans="12:13" x14ac:dyDescent="0.25">
      <c r="L939580" s="472"/>
      <c r="M939580" s="472"/>
    </row>
    <row r="939581" spans="12:13" x14ac:dyDescent="0.25">
      <c r="L939581" s="472"/>
      <c r="M939581" s="472"/>
    </row>
    <row r="939653" spans="12:13" x14ac:dyDescent="0.25">
      <c r="L939653" s="472"/>
      <c r="M939653" s="472"/>
    </row>
    <row r="939654" spans="12:13" x14ac:dyDescent="0.25">
      <c r="L939654" s="472"/>
      <c r="M939654" s="472"/>
    </row>
    <row r="939655" spans="12:13" x14ac:dyDescent="0.25">
      <c r="L939655" s="472"/>
      <c r="M939655" s="472"/>
    </row>
    <row r="939727" spans="12:13" x14ac:dyDescent="0.25">
      <c r="L939727" s="472"/>
      <c r="M939727" s="472"/>
    </row>
    <row r="939728" spans="12:13" x14ac:dyDescent="0.25">
      <c r="L939728" s="472"/>
      <c r="M939728" s="472"/>
    </row>
    <row r="939729" spans="12:13" x14ac:dyDescent="0.25">
      <c r="L939729" s="472"/>
      <c r="M939729" s="472"/>
    </row>
    <row r="939801" spans="12:13" x14ac:dyDescent="0.25">
      <c r="L939801" s="472"/>
      <c r="M939801" s="472"/>
    </row>
    <row r="939802" spans="12:13" x14ac:dyDescent="0.25">
      <c r="L939802" s="472"/>
      <c r="M939802" s="472"/>
    </row>
    <row r="939803" spans="12:13" x14ac:dyDescent="0.25">
      <c r="L939803" s="472"/>
      <c r="M939803" s="472"/>
    </row>
    <row r="939875" spans="12:13" x14ac:dyDescent="0.25">
      <c r="L939875" s="472"/>
      <c r="M939875" s="472"/>
    </row>
    <row r="939876" spans="12:13" x14ac:dyDescent="0.25">
      <c r="L939876" s="472"/>
      <c r="M939876" s="472"/>
    </row>
    <row r="939877" spans="12:13" x14ac:dyDescent="0.25">
      <c r="L939877" s="472"/>
      <c r="M939877" s="472"/>
    </row>
    <row r="939949" spans="12:13" x14ac:dyDescent="0.25">
      <c r="L939949" s="472"/>
      <c r="M939949" s="472"/>
    </row>
    <row r="939950" spans="12:13" x14ac:dyDescent="0.25">
      <c r="L939950" s="472"/>
      <c r="M939950" s="472"/>
    </row>
    <row r="939951" spans="12:13" x14ac:dyDescent="0.25">
      <c r="L939951" s="472"/>
      <c r="M939951" s="472"/>
    </row>
    <row r="940023" spans="12:13" x14ac:dyDescent="0.25">
      <c r="L940023" s="472"/>
      <c r="M940023" s="472"/>
    </row>
    <row r="940024" spans="12:13" x14ac:dyDescent="0.25">
      <c r="L940024" s="472"/>
      <c r="M940024" s="472"/>
    </row>
    <row r="940025" spans="12:13" x14ac:dyDescent="0.25">
      <c r="L940025" s="472"/>
      <c r="M940025" s="472"/>
    </row>
    <row r="940097" spans="12:13" x14ac:dyDescent="0.25">
      <c r="L940097" s="472"/>
      <c r="M940097" s="472"/>
    </row>
    <row r="940098" spans="12:13" x14ac:dyDescent="0.25">
      <c r="L940098" s="472"/>
      <c r="M940098" s="472"/>
    </row>
    <row r="940099" spans="12:13" x14ac:dyDescent="0.25">
      <c r="L940099" s="472"/>
      <c r="M940099" s="472"/>
    </row>
    <row r="940171" spans="12:13" x14ac:dyDescent="0.25">
      <c r="L940171" s="472"/>
      <c r="M940171" s="472"/>
    </row>
    <row r="940172" spans="12:13" x14ac:dyDescent="0.25">
      <c r="L940172" s="472"/>
      <c r="M940172" s="472"/>
    </row>
    <row r="940173" spans="12:13" x14ac:dyDescent="0.25">
      <c r="L940173" s="472"/>
      <c r="M940173" s="472"/>
    </row>
    <row r="940245" spans="12:13" x14ac:dyDescent="0.25">
      <c r="L940245" s="472"/>
      <c r="M940245" s="472"/>
    </row>
    <row r="940246" spans="12:13" x14ac:dyDescent="0.25">
      <c r="L940246" s="472"/>
      <c r="M940246" s="472"/>
    </row>
    <row r="940247" spans="12:13" x14ac:dyDescent="0.25">
      <c r="L940247" s="472"/>
      <c r="M940247" s="472"/>
    </row>
    <row r="940319" spans="12:13" x14ac:dyDescent="0.25">
      <c r="L940319" s="472"/>
      <c r="M940319" s="472"/>
    </row>
    <row r="940320" spans="12:13" x14ac:dyDescent="0.25">
      <c r="L940320" s="472"/>
      <c r="M940320" s="472"/>
    </row>
    <row r="940321" spans="12:13" x14ac:dyDescent="0.25">
      <c r="L940321" s="472"/>
      <c r="M940321" s="472"/>
    </row>
    <row r="940393" spans="12:13" x14ac:dyDescent="0.25">
      <c r="L940393" s="472"/>
      <c r="M940393" s="472"/>
    </row>
    <row r="940394" spans="12:13" x14ac:dyDescent="0.25">
      <c r="L940394" s="472"/>
      <c r="M940394" s="472"/>
    </row>
    <row r="940395" spans="12:13" x14ac:dyDescent="0.25">
      <c r="L940395" s="472"/>
      <c r="M940395" s="472"/>
    </row>
    <row r="940467" spans="12:13" x14ac:dyDescent="0.25">
      <c r="L940467" s="472"/>
      <c r="M940467" s="472"/>
    </row>
    <row r="940468" spans="12:13" x14ac:dyDescent="0.25">
      <c r="L940468" s="472"/>
      <c r="M940468" s="472"/>
    </row>
    <row r="940469" spans="12:13" x14ac:dyDescent="0.25">
      <c r="L940469" s="472"/>
      <c r="M940469" s="472"/>
    </row>
    <row r="940541" spans="12:13" x14ac:dyDescent="0.25">
      <c r="L940541" s="472"/>
      <c r="M940541" s="472"/>
    </row>
    <row r="940542" spans="12:13" x14ac:dyDescent="0.25">
      <c r="L940542" s="472"/>
      <c r="M940542" s="472"/>
    </row>
    <row r="940543" spans="12:13" x14ac:dyDescent="0.25">
      <c r="L940543" s="472"/>
      <c r="M940543" s="472"/>
    </row>
    <row r="940615" spans="12:13" x14ac:dyDescent="0.25">
      <c r="L940615" s="472"/>
      <c r="M940615" s="472"/>
    </row>
    <row r="940616" spans="12:13" x14ac:dyDescent="0.25">
      <c r="L940616" s="472"/>
      <c r="M940616" s="472"/>
    </row>
    <row r="940617" spans="12:13" x14ac:dyDescent="0.25">
      <c r="L940617" s="472"/>
      <c r="M940617" s="472"/>
    </row>
    <row r="940689" spans="12:13" x14ac:dyDescent="0.25">
      <c r="L940689" s="472"/>
      <c r="M940689" s="472"/>
    </row>
    <row r="940690" spans="12:13" x14ac:dyDescent="0.25">
      <c r="L940690" s="472"/>
      <c r="M940690" s="472"/>
    </row>
    <row r="940691" spans="12:13" x14ac:dyDescent="0.25">
      <c r="L940691" s="472"/>
      <c r="M940691" s="472"/>
    </row>
    <row r="940763" spans="12:13" x14ac:dyDescent="0.25">
      <c r="L940763" s="472"/>
      <c r="M940763" s="472"/>
    </row>
    <row r="940764" spans="12:13" x14ac:dyDescent="0.25">
      <c r="L940764" s="472"/>
      <c r="M940764" s="472"/>
    </row>
    <row r="940765" spans="12:13" x14ac:dyDescent="0.25">
      <c r="L940765" s="472"/>
      <c r="M940765" s="472"/>
    </row>
    <row r="940837" spans="12:13" x14ac:dyDescent="0.25">
      <c r="L940837" s="472"/>
      <c r="M940837" s="472"/>
    </row>
    <row r="940838" spans="12:13" x14ac:dyDescent="0.25">
      <c r="L940838" s="472"/>
      <c r="M940838" s="472"/>
    </row>
    <row r="940839" spans="12:13" x14ac:dyDescent="0.25">
      <c r="L940839" s="472"/>
      <c r="M940839" s="472"/>
    </row>
    <row r="940911" spans="12:13" x14ac:dyDescent="0.25">
      <c r="L940911" s="472"/>
      <c r="M940911" s="472"/>
    </row>
    <row r="940912" spans="12:13" x14ac:dyDescent="0.25">
      <c r="L940912" s="472"/>
      <c r="M940912" s="472"/>
    </row>
    <row r="940913" spans="12:13" x14ac:dyDescent="0.25">
      <c r="L940913" s="472"/>
      <c r="M940913" s="472"/>
    </row>
    <row r="940985" spans="12:13" x14ac:dyDescent="0.25">
      <c r="L940985" s="472"/>
      <c r="M940985" s="472"/>
    </row>
    <row r="940986" spans="12:13" x14ac:dyDescent="0.25">
      <c r="L940986" s="472"/>
      <c r="M940986" s="472"/>
    </row>
    <row r="940987" spans="12:13" x14ac:dyDescent="0.25">
      <c r="L940987" s="472"/>
      <c r="M940987" s="472"/>
    </row>
    <row r="941059" spans="12:13" x14ac:dyDescent="0.25">
      <c r="L941059" s="472"/>
      <c r="M941059" s="472"/>
    </row>
    <row r="941060" spans="12:13" x14ac:dyDescent="0.25">
      <c r="L941060" s="472"/>
      <c r="M941060" s="472"/>
    </row>
    <row r="941061" spans="12:13" x14ac:dyDescent="0.25">
      <c r="L941061" s="472"/>
      <c r="M941061" s="472"/>
    </row>
    <row r="941133" spans="12:13" x14ac:dyDescent="0.25">
      <c r="L941133" s="472"/>
      <c r="M941133" s="472"/>
    </row>
    <row r="941134" spans="12:13" x14ac:dyDescent="0.25">
      <c r="L941134" s="472"/>
      <c r="M941134" s="472"/>
    </row>
    <row r="941135" spans="12:13" x14ac:dyDescent="0.25">
      <c r="L941135" s="472"/>
      <c r="M941135" s="472"/>
    </row>
    <row r="941207" spans="12:13" x14ac:dyDescent="0.25">
      <c r="L941207" s="472"/>
      <c r="M941207" s="472"/>
    </row>
    <row r="941208" spans="12:13" x14ac:dyDescent="0.25">
      <c r="L941208" s="472"/>
      <c r="M941208" s="472"/>
    </row>
    <row r="941209" spans="12:13" x14ac:dyDescent="0.25">
      <c r="L941209" s="472"/>
      <c r="M941209" s="472"/>
    </row>
    <row r="941281" spans="12:13" x14ac:dyDescent="0.25">
      <c r="L941281" s="472"/>
      <c r="M941281" s="472"/>
    </row>
    <row r="941282" spans="12:13" x14ac:dyDescent="0.25">
      <c r="L941282" s="472"/>
      <c r="M941282" s="472"/>
    </row>
    <row r="941283" spans="12:13" x14ac:dyDescent="0.25">
      <c r="L941283" s="472"/>
      <c r="M941283" s="472"/>
    </row>
    <row r="941355" spans="12:13" x14ac:dyDescent="0.25">
      <c r="L941355" s="472"/>
      <c r="M941355" s="472"/>
    </row>
    <row r="941356" spans="12:13" x14ac:dyDescent="0.25">
      <c r="L941356" s="472"/>
      <c r="M941356" s="472"/>
    </row>
    <row r="941357" spans="12:13" x14ac:dyDescent="0.25">
      <c r="L941357" s="472"/>
      <c r="M941357" s="472"/>
    </row>
    <row r="941429" spans="12:13" x14ac:dyDescent="0.25">
      <c r="L941429" s="472"/>
      <c r="M941429" s="472"/>
    </row>
    <row r="941430" spans="12:13" x14ac:dyDescent="0.25">
      <c r="L941430" s="472"/>
      <c r="M941430" s="472"/>
    </row>
    <row r="941431" spans="12:13" x14ac:dyDescent="0.25">
      <c r="L941431" s="472"/>
      <c r="M941431" s="472"/>
    </row>
    <row r="941503" spans="12:13" x14ac:dyDescent="0.25">
      <c r="L941503" s="472"/>
      <c r="M941503" s="472"/>
    </row>
    <row r="941504" spans="12:13" x14ac:dyDescent="0.25">
      <c r="L941504" s="472"/>
      <c r="M941504" s="472"/>
    </row>
    <row r="941505" spans="12:13" x14ac:dyDescent="0.25">
      <c r="L941505" s="472"/>
      <c r="M941505" s="472"/>
    </row>
    <row r="941577" spans="12:13" x14ac:dyDescent="0.25">
      <c r="L941577" s="472"/>
      <c r="M941577" s="472"/>
    </row>
    <row r="941578" spans="12:13" x14ac:dyDescent="0.25">
      <c r="L941578" s="472"/>
      <c r="M941578" s="472"/>
    </row>
    <row r="941579" spans="12:13" x14ac:dyDescent="0.25">
      <c r="L941579" s="472"/>
      <c r="M941579" s="472"/>
    </row>
    <row r="941651" spans="12:13" x14ac:dyDescent="0.25">
      <c r="L941651" s="472"/>
      <c r="M941651" s="472"/>
    </row>
    <row r="941652" spans="12:13" x14ac:dyDescent="0.25">
      <c r="L941652" s="472"/>
      <c r="M941652" s="472"/>
    </row>
    <row r="941653" spans="12:13" x14ac:dyDescent="0.25">
      <c r="L941653" s="472"/>
      <c r="M941653" s="472"/>
    </row>
    <row r="941725" spans="12:13" x14ac:dyDescent="0.25">
      <c r="L941725" s="472"/>
      <c r="M941725" s="472"/>
    </row>
    <row r="941726" spans="12:13" x14ac:dyDescent="0.25">
      <c r="L941726" s="472"/>
      <c r="M941726" s="472"/>
    </row>
    <row r="941727" spans="12:13" x14ac:dyDescent="0.25">
      <c r="L941727" s="472"/>
      <c r="M941727" s="472"/>
    </row>
    <row r="941799" spans="12:13" x14ac:dyDescent="0.25">
      <c r="L941799" s="472"/>
      <c r="M941799" s="472"/>
    </row>
    <row r="941800" spans="12:13" x14ac:dyDescent="0.25">
      <c r="L941800" s="472"/>
      <c r="M941800" s="472"/>
    </row>
    <row r="941801" spans="12:13" x14ac:dyDescent="0.25">
      <c r="L941801" s="472"/>
      <c r="M941801" s="472"/>
    </row>
    <row r="941873" spans="12:13" x14ac:dyDescent="0.25">
      <c r="L941873" s="472"/>
      <c r="M941873" s="472"/>
    </row>
    <row r="941874" spans="12:13" x14ac:dyDescent="0.25">
      <c r="L941874" s="472"/>
      <c r="M941874" s="472"/>
    </row>
    <row r="941875" spans="12:13" x14ac:dyDescent="0.25">
      <c r="L941875" s="472"/>
      <c r="M941875" s="472"/>
    </row>
    <row r="941947" spans="12:13" x14ac:dyDescent="0.25">
      <c r="L941947" s="472"/>
      <c r="M941947" s="472"/>
    </row>
    <row r="941948" spans="12:13" x14ac:dyDescent="0.25">
      <c r="L941948" s="472"/>
      <c r="M941948" s="472"/>
    </row>
    <row r="941949" spans="12:13" x14ac:dyDescent="0.25">
      <c r="L941949" s="472"/>
      <c r="M941949" s="472"/>
    </row>
    <row r="942021" spans="12:13" x14ac:dyDescent="0.25">
      <c r="L942021" s="472"/>
      <c r="M942021" s="472"/>
    </row>
    <row r="942022" spans="12:13" x14ac:dyDescent="0.25">
      <c r="L942022" s="472"/>
      <c r="M942022" s="472"/>
    </row>
    <row r="942023" spans="12:13" x14ac:dyDescent="0.25">
      <c r="L942023" s="472"/>
      <c r="M942023" s="472"/>
    </row>
    <row r="942095" spans="12:13" x14ac:dyDescent="0.25">
      <c r="L942095" s="472"/>
      <c r="M942095" s="472"/>
    </row>
    <row r="942096" spans="12:13" x14ac:dyDescent="0.25">
      <c r="L942096" s="472"/>
      <c r="M942096" s="472"/>
    </row>
    <row r="942097" spans="12:13" x14ac:dyDescent="0.25">
      <c r="L942097" s="472"/>
      <c r="M942097" s="472"/>
    </row>
    <row r="942169" spans="12:13" x14ac:dyDescent="0.25">
      <c r="L942169" s="472"/>
      <c r="M942169" s="472"/>
    </row>
    <row r="942170" spans="12:13" x14ac:dyDescent="0.25">
      <c r="L942170" s="472"/>
      <c r="M942170" s="472"/>
    </row>
    <row r="942171" spans="12:13" x14ac:dyDescent="0.25">
      <c r="L942171" s="472"/>
      <c r="M942171" s="472"/>
    </row>
    <row r="942243" spans="12:13" x14ac:dyDescent="0.25">
      <c r="L942243" s="472"/>
      <c r="M942243" s="472"/>
    </row>
    <row r="942244" spans="12:13" x14ac:dyDescent="0.25">
      <c r="L942244" s="472"/>
      <c r="M942244" s="472"/>
    </row>
    <row r="942245" spans="12:13" x14ac:dyDescent="0.25">
      <c r="L942245" s="472"/>
      <c r="M942245" s="472"/>
    </row>
    <row r="942317" spans="12:13" x14ac:dyDescent="0.25">
      <c r="L942317" s="472"/>
      <c r="M942317" s="472"/>
    </row>
    <row r="942318" spans="12:13" x14ac:dyDescent="0.25">
      <c r="L942318" s="472"/>
      <c r="M942318" s="472"/>
    </row>
    <row r="942319" spans="12:13" x14ac:dyDescent="0.25">
      <c r="L942319" s="472"/>
      <c r="M942319" s="472"/>
    </row>
    <row r="942391" spans="12:13" x14ac:dyDescent="0.25">
      <c r="L942391" s="472"/>
      <c r="M942391" s="472"/>
    </row>
    <row r="942392" spans="12:13" x14ac:dyDescent="0.25">
      <c r="L942392" s="472"/>
      <c r="M942392" s="472"/>
    </row>
    <row r="942393" spans="12:13" x14ac:dyDescent="0.25">
      <c r="L942393" s="472"/>
      <c r="M942393" s="472"/>
    </row>
    <row r="942465" spans="12:13" x14ac:dyDescent="0.25">
      <c r="L942465" s="472"/>
      <c r="M942465" s="472"/>
    </row>
    <row r="942466" spans="12:13" x14ac:dyDescent="0.25">
      <c r="L942466" s="472"/>
      <c r="M942466" s="472"/>
    </row>
    <row r="942467" spans="12:13" x14ac:dyDescent="0.25">
      <c r="L942467" s="472"/>
      <c r="M942467" s="472"/>
    </row>
    <row r="942539" spans="12:13" x14ac:dyDescent="0.25">
      <c r="L942539" s="472"/>
      <c r="M942539" s="472"/>
    </row>
    <row r="942540" spans="12:13" x14ac:dyDescent="0.25">
      <c r="L942540" s="472"/>
      <c r="M942540" s="472"/>
    </row>
    <row r="942541" spans="12:13" x14ac:dyDescent="0.25">
      <c r="L942541" s="472"/>
      <c r="M942541" s="472"/>
    </row>
    <row r="942613" spans="12:13" x14ac:dyDescent="0.25">
      <c r="L942613" s="472"/>
      <c r="M942613" s="472"/>
    </row>
    <row r="942614" spans="12:13" x14ac:dyDescent="0.25">
      <c r="L942614" s="472"/>
      <c r="M942614" s="472"/>
    </row>
    <row r="942615" spans="12:13" x14ac:dyDescent="0.25">
      <c r="L942615" s="472"/>
      <c r="M942615" s="472"/>
    </row>
    <row r="942687" spans="12:13" x14ac:dyDescent="0.25">
      <c r="L942687" s="472"/>
      <c r="M942687" s="472"/>
    </row>
    <row r="942688" spans="12:13" x14ac:dyDescent="0.25">
      <c r="L942688" s="472"/>
      <c r="M942688" s="472"/>
    </row>
    <row r="942689" spans="12:13" x14ac:dyDescent="0.25">
      <c r="L942689" s="472"/>
      <c r="M942689" s="472"/>
    </row>
    <row r="942761" spans="12:13" x14ac:dyDescent="0.25">
      <c r="L942761" s="472"/>
      <c r="M942761" s="472"/>
    </row>
    <row r="942762" spans="12:13" x14ac:dyDescent="0.25">
      <c r="L942762" s="472"/>
      <c r="M942762" s="472"/>
    </row>
    <row r="942763" spans="12:13" x14ac:dyDescent="0.25">
      <c r="L942763" s="472"/>
      <c r="M942763" s="472"/>
    </row>
    <row r="942835" spans="12:13" x14ac:dyDescent="0.25">
      <c r="L942835" s="472"/>
      <c r="M942835" s="472"/>
    </row>
    <row r="942836" spans="12:13" x14ac:dyDescent="0.25">
      <c r="L942836" s="472"/>
      <c r="M942836" s="472"/>
    </row>
    <row r="942837" spans="12:13" x14ac:dyDescent="0.25">
      <c r="L942837" s="472"/>
      <c r="M942837" s="472"/>
    </row>
    <row r="942909" spans="12:13" x14ac:dyDescent="0.25">
      <c r="L942909" s="472"/>
      <c r="M942909" s="472"/>
    </row>
    <row r="942910" spans="12:13" x14ac:dyDescent="0.25">
      <c r="L942910" s="472"/>
      <c r="M942910" s="472"/>
    </row>
    <row r="942911" spans="12:13" x14ac:dyDescent="0.25">
      <c r="L942911" s="472"/>
      <c r="M942911" s="472"/>
    </row>
    <row r="942983" spans="12:13" x14ac:dyDescent="0.25">
      <c r="L942983" s="472"/>
      <c r="M942983" s="472"/>
    </row>
    <row r="942984" spans="12:13" x14ac:dyDescent="0.25">
      <c r="L942984" s="472"/>
      <c r="M942984" s="472"/>
    </row>
    <row r="942985" spans="12:13" x14ac:dyDescent="0.25">
      <c r="L942985" s="472"/>
      <c r="M942985" s="472"/>
    </row>
    <row r="943057" spans="12:13" x14ac:dyDescent="0.25">
      <c r="L943057" s="472"/>
      <c r="M943057" s="472"/>
    </row>
    <row r="943058" spans="12:13" x14ac:dyDescent="0.25">
      <c r="L943058" s="472"/>
      <c r="M943058" s="472"/>
    </row>
    <row r="943059" spans="12:13" x14ac:dyDescent="0.25">
      <c r="L943059" s="472"/>
      <c r="M943059" s="472"/>
    </row>
    <row r="943131" spans="12:13" x14ac:dyDescent="0.25">
      <c r="L943131" s="472"/>
      <c r="M943131" s="472"/>
    </row>
    <row r="943132" spans="12:13" x14ac:dyDescent="0.25">
      <c r="L943132" s="472"/>
      <c r="M943132" s="472"/>
    </row>
    <row r="943133" spans="12:13" x14ac:dyDescent="0.25">
      <c r="L943133" s="472"/>
      <c r="M943133" s="472"/>
    </row>
    <row r="943205" spans="12:13" x14ac:dyDescent="0.25">
      <c r="L943205" s="472"/>
      <c r="M943205" s="472"/>
    </row>
    <row r="943206" spans="12:13" x14ac:dyDescent="0.25">
      <c r="L943206" s="472"/>
      <c r="M943206" s="472"/>
    </row>
    <row r="943207" spans="12:13" x14ac:dyDescent="0.25">
      <c r="L943207" s="472"/>
      <c r="M943207" s="472"/>
    </row>
    <row r="943279" spans="12:13" x14ac:dyDescent="0.25">
      <c r="L943279" s="472"/>
      <c r="M943279" s="472"/>
    </row>
    <row r="943280" spans="12:13" x14ac:dyDescent="0.25">
      <c r="L943280" s="472"/>
      <c r="M943280" s="472"/>
    </row>
    <row r="943281" spans="12:13" x14ac:dyDescent="0.25">
      <c r="L943281" s="472"/>
      <c r="M943281" s="472"/>
    </row>
    <row r="943353" spans="12:13" x14ac:dyDescent="0.25">
      <c r="L943353" s="472"/>
      <c r="M943353" s="472"/>
    </row>
    <row r="943354" spans="12:13" x14ac:dyDescent="0.25">
      <c r="L943354" s="472"/>
      <c r="M943354" s="472"/>
    </row>
    <row r="943355" spans="12:13" x14ac:dyDescent="0.25">
      <c r="L943355" s="472"/>
      <c r="M943355" s="472"/>
    </row>
    <row r="943427" spans="12:13" x14ac:dyDescent="0.25">
      <c r="L943427" s="472"/>
      <c r="M943427" s="472"/>
    </row>
    <row r="943428" spans="12:13" x14ac:dyDescent="0.25">
      <c r="L943428" s="472"/>
      <c r="M943428" s="472"/>
    </row>
    <row r="943429" spans="12:13" x14ac:dyDescent="0.25">
      <c r="L943429" s="472"/>
      <c r="M943429" s="472"/>
    </row>
    <row r="943501" spans="12:13" x14ac:dyDescent="0.25">
      <c r="L943501" s="472"/>
      <c r="M943501" s="472"/>
    </row>
    <row r="943502" spans="12:13" x14ac:dyDescent="0.25">
      <c r="L943502" s="472"/>
      <c r="M943502" s="472"/>
    </row>
    <row r="943503" spans="12:13" x14ac:dyDescent="0.25">
      <c r="L943503" s="472"/>
      <c r="M943503" s="472"/>
    </row>
    <row r="943575" spans="12:13" x14ac:dyDescent="0.25">
      <c r="L943575" s="472"/>
      <c r="M943575" s="472"/>
    </row>
    <row r="943576" spans="12:13" x14ac:dyDescent="0.25">
      <c r="L943576" s="472"/>
      <c r="M943576" s="472"/>
    </row>
    <row r="943577" spans="12:13" x14ac:dyDescent="0.25">
      <c r="L943577" s="472"/>
      <c r="M943577" s="472"/>
    </row>
    <row r="943649" spans="12:13" x14ac:dyDescent="0.25">
      <c r="L943649" s="472"/>
      <c r="M943649" s="472"/>
    </row>
    <row r="943650" spans="12:13" x14ac:dyDescent="0.25">
      <c r="L943650" s="472"/>
      <c r="M943650" s="472"/>
    </row>
    <row r="943651" spans="12:13" x14ac:dyDescent="0.25">
      <c r="L943651" s="472"/>
      <c r="M943651" s="472"/>
    </row>
    <row r="943723" spans="12:13" x14ac:dyDescent="0.25">
      <c r="L943723" s="472"/>
      <c r="M943723" s="472"/>
    </row>
    <row r="943724" spans="12:13" x14ac:dyDescent="0.25">
      <c r="L943724" s="472"/>
      <c r="M943724" s="472"/>
    </row>
    <row r="943725" spans="12:13" x14ac:dyDescent="0.25">
      <c r="L943725" s="472"/>
      <c r="M943725" s="472"/>
    </row>
    <row r="943797" spans="12:13" x14ac:dyDescent="0.25">
      <c r="L943797" s="472"/>
      <c r="M943797" s="472"/>
    </row>
    <row r="943798" spans="12:13" x14ac:dyDescent="0.25">
      <c r="L943798" s="472"/>
      <c r="M943798" s="472"/>
    </row>
    <row r="943799" spans="12:13" x14ac:dyDescent="0.25">
      <c r="L943799" s="472"/>
      <c r="M943799" s="472"/>
    </row>
    <row r="943871" spans="12:13" x14ac:dyDescent="0.25">
      <c r="L943871" s="472"/>
      <c r="M943871" s="472"/>
    </row>
    <row r="943872" spans="12:13" x14ac:dyDescent="0.25">
      <c r="L943872" s="472"/>
      <c r="M943872" s="472"/>
    </row>
    <row r="943873" spans="12:13" x14ac:dyDescent="0.25">
      <c r="L943873" s="472"/>
      <c r="M943873" s="472"/>
    </row>
    <row r="943945" spans="12:13" x14ac:dyDescent="0.25">
      <c r="L943945" s="472"/>
      <c r="M943945" s="472"/>
    </row>
    <row r="943946" spans="12:13" x14ac:dyDescent="0.25">
      <c r="L943946" s="472"/>
      <c r="M943946" s="472"/>
    </row>
    <row r="943947" spans="12:13" x14ac:dyDescent="0.25">
      <c r="L943947" s="472"/>
      <c r="M943947" s="472"/>
    </row>
    <row r="944019" spans="12:13" x14ac:dyDescent="0.25">
      <c r="L944019" s="472"/>
      <c r="M944019" s="472"/>
    </row>
    <row r="944020" spans="12:13" x14ac:dyDescent="0.25">
      <c r="L944020" s="472"/>
      <c r="M944020" s="472"/>
    </row>
    <row r="944021" spans="12:13" x14ac:dyDescent="0.25">
      <c r="L944021" s="472"/>
      <c r="M944021" s="472"/>
    </row>
    <row r="944093" spans="12:13" x14ac:dyDescent="0.25">
      <c r="L944093" s="472"/>
      <c r="M944093" s="472"/>
    </row>
    <row r="944094" spans="12:13" x14ac:dyDescent="0.25">
      <c r="L944094" s="472"/>
      <c r="M944094" s="472"/>
    </row>
    <row r="944095" spans="12:13" x14ac:dyDescent="0.25">
      <c r="L944095" s="472"/>
      <c r="M944095" s="472"/>
    </row>
    <row r="944167" spans="12:13" x14ac:dyDescent="0.25">
      <c r="L944167" s="472"/>
      <c r="M944167" s="472"/>
    </row>
    <row r="944168" spans="12:13" x14ac:dyDescent="0.25">
      <c r="L944168" s="472"/>
      <c r="M944168" s="472"/>
    </row>
    <row r="944169" spans="12:13" x14ac:dyDescent="0.25">
      <c r="L944169" s="472"/>
      <c r="M944169" s="472"/>
    </row>
    <row r="944241" spans="12:13" x14ac:dyDescent="0.25">
      <c r="L944241" s="472"/>
      <c r="M944241" s="472"/>
    </row>
    <row r="944242" spans="12:13" x14ac:dyDescent="0.25">
      <c r="L944242" s="472"/>
      <c r="M944242" s="472"/>
    </row>
    <row r="944243" spans="12:13" x14ac:dyDescent="0.25">
      <c r="L944243" s="472"/>
      <c r="M944243" s="472"/>
    </row>
    <row r="944315" spans="12:13" x14ac:dyDescent="0.25">
      <c r="L944315" s="472"/>
      <c r="M944315" s="472"/>
    </row>
    <row r="944316" spans="12:13" x14ac:dyDescent="0.25">
      <c r="L944316" s="472"/>
      <c r="M944316" s="472"/>
    </row>
    <row r="944317" spans="12:13" x14ac:dyDescent="0.25">
      <c r="L944317" s="472"/>
      <c r="M944317" s="472"/>
    </row>
    <row r="944389" spans="12:13" x14ac:dyDescent="0.25">
      <c r="L944389" s="472"/>
      <c r="M944389" s="472"/>
    </row>
    <row r="944390" spans="12:13" x14ac:dyDescent="0.25">
      <c r="L944390" s="472"/>
      <c r="M944390" s="472"/>
    </row>
    <row r="944391" spans="12:13" x14ac:dyDescent="0.25">
      <c r="L944391" s="472"/>
      <c r="M944391" s="472"/>
    </row>
    <row r="944463" spans="12:13" x14ac:dyDescent="0.25">
      <c r="L944463" s="472"/>
      <c r="M944463" s="472"/>
    </row>
    <row r="944464" spans="12:13" x14ac:dyDescent="0.25">
      <c r="L944464" s="472"/>
      <c r="M944464" s="472"/>
    </row>
    <row r="944465" spans="12:13" x14ac:dyDescent="0.25">
      <c r="L944465" s="472"/>
      <c r="M944465" s="472"/>
    </row>
    <row r="944537" spans="12:13" x14ac:dyDescent="0.25">
      <c r="L944537" s="472"/>
      <c r="M944537" s="472"/>
    </row>
    <row r="944538" spans="12:13" x14ac:dyDescent="0.25">
      <c r="L944538" s="472"/>
      <c r="M944538" s="472"/>
    </row>
    <row r="944539" spans="12:13" x14ac:dyDescent="0.25">
      <c r="L944539" s="472"/>
      <c r="M944539" s="472"/>
    </row>
    <row r="944611" spans="12:13" x14ac:dyDescent="0.25">
      <c r="L944611" s="472"/>
      <c r="M944611" s="472"/>
    </row>
    <row r="944612" spans="12:13" x14ac:dyDescent="0.25">
      <c r="L944612" s="472"/>
      <c r="M944612" s="472"/>
    </row>
    <row r="944613" spans="12:13" x14ac:dyDescent="0.25">
      <c r="L944613" s="472"/>
      <c r="M944613" s="472"/>
    </row>
    <row r="944685" spans="12:13" x14ac:dyDescent="0.25">
      <c r="L944685" s="472"/>
      <c r="M944685" s="472"/>
    </row>
    <row r="944686" spans="12:13" x14ac:dyDescent="0.25">
      <c r="L944686" s="472"/>
      <c r="M944686" s="472"/>
    </row>
    <row r="944687" spans="12:13" x14ac:dyDescent="0.25">
      <c r="L944687" s="472"/>
      <c r="M944687" s="472"/>
    </row>
    <row r="944759" spans="12:13" x14ac:dyDescent="0.25">
      <c r="L944759" s="472"/>
      <c r="M944759" s="472"/>
    </row>
    <row r="944760" spans="12:13" x14ac:dyDescent="0.25">
      <c r="L944760" s="472"/>
      <c r="M944760" s="472"/>
    </row>
    <row r="944761" spans="12:13" x14ac:dyDescent="0.25">
      <c r="L944761" s="472"/>
      <c r="M944761" s="472"/>
    </row>
    <row r="944833" spans="12:13" x14ac:dyDescent="0.25">
      <c r="L944833" s="472"/>
      <c r="M944833" s="472"/>
    </row>
    <row r="944834" spans="12:13" x14ac:dyDescent="0.25">
      <c r="L944834" s="472"/>
      <c r="M944834" s="472"/>
    </row>
    <row r="944835" spans="12:13" x14ac:dyDescent="0.25">
      <c r="L944835" s="472"/>
      <c r="M944835" s="472"/>
    </row>
    <row r="944907" spans="12:13" x14ac:dyDescent="0.25">
      <c r="L944907" s="472"/>
      <c r="M944907" s="472"/>
    </row>
    <row r="944908" spans="12:13" x14ac:dyDescent="0.25">
      <c r="L944908" s="472"/>
      <c r="M944908" s="472"/>
    </row>
    <row r="944909" spans="12:13" x14ac:dyDescent="0.25">
      <c r="L944909" s="472"/>
      <c r="M944909" s="472"/>
    </row>
    <row r="944981" spans="12:13" x14ac:dyDescent="0.25">
      <c r="L944981" s="472"/>
      <c r="M944981" s="472"/>
    </row>
    <row r="944982" spans="12:13" x14ac:dyDescent="0.25">
      <c r="L944982" s="472"/>
      <c r="M944982" s="472"/>
    </row>
    <row r="944983" spans="12:13" x14ac:dyDescent="0.25">
      <c r="L944983" s="472"/>
      <c r="M944983" s="472"/>
    </row>
    <row r="945055" spans="12:13" x14ac:dyDescent="0.25">
      <c r="L945055" s="472"/>
      <c r="M945055" s="472"/>
    </row>
    <row r="945056" spans="12:13" x14ac:dyDescent="0.25">
      <c r="L945056" s="472"/>
      <c r="M945056" s="472"/>
    </row>
    <row r="945057" spans="12:13" x14ac:dyDescent="0.25">
      <c r="L945057" s="472"/>
      <c r="M945057" s="472"/>
    </row>
    <row r="945129" spans="12:13" x14ac:dyDescent="0.25">
      <c r="L945129" s="472"/>
      <c r="M945129" s="472"/>
    </row>
    <row r="945130" spans="12:13" x14ac:dyDescent="0.25">
      <c r="L945130" s="472"/>
      <c r="M945130" s="472"/>
    </row>
    <row r="945131" spans="12:13" x14ac:dyDescent="0.25">
      <c r="L945131" s="472"/>
      <c r="M945131" s="472"/>
    </row>
    <row r="945203" spans="12:13" x14ac:dyDescent="0.25">
      <c r="L945203" s="472"/>
      <c r="M945203" s="472"/>
    </row>
    <row r="945204" spans="12:13" x14ac:dyDescent="0.25">
      <c r="L945204" s="472"/>
      <c r="M945204" s="472"/>
    </row>
    <row r="945205" spans="12:13" x14ac:dyDescent="0.25">
      <c r="L945205" s="472"/>
      <c r="M945205" s="472"/>
    </row>
    <row r="945277" spans="12:13" x14ac:dyDescent="0.25">
      <c r="L945277" s="472"/>
      <c r="M945277" s="472"/>
    </row>
    <row r="945278" spans="12:13" x14ac:dyDescent="0.25">
      <c r="L945278" s="472"/>
      <c r="M945278" s="472"/>
    </row>
    <row r="945279" spans="12:13" x14ac:dyDescent="0.25">
      <c r="L945279" s="472"/>
      <c r="M945279" s="472"/>
    </row>
    <row r="945351" spans="12:13" x14ac:dyDescent="0.25">
      <c r="L945351" s="472"/>
      <c r="M945351" s="472"/>
    </row>
    <row r="945352" spans="12:13" x14ac:dyDescent="0.25">
      <c r="L945352" s="472"/>
      <c r="M945352" s="472"/>
    </row>
    <row r="945353" spans="12:13" x14ac:dyDescent="0.25">
      <c r="L945353" s="472"/>
      <c r="M945353" s="472"/>
    </row>
    <row r="945425" spans="12:13" x14ac:dyDescent="0.25">
      <c r="L945425" s="472"/>
      <c r="M945425" s="472"/>
    </row>
    <row r="945426" spans="12:13" x14ac:dyDescent="0.25">
      <c r="L945426" s="472"/>
      <c r="M945426" s="472"/>
    </row>
    <row r="945427" spans="12:13" x14ac:dyDescent="0.25">
      <c r="L945427" s="472"/>
      <c r="M945427" s="472"/>
    </row>
    <row r="945499" spans="12:13" x14ac:dyDescent="0.25">
      <c r="L945499" s="472"/>
      <c r="M945499" s="472"/>
    </row>
    <row r="945500" spans="12:13" x14ac:dyDescent="0.25">
      <c r="L945500" s="472"/>
      <c r="M945500" s="472"/>
    </row>
    <row r="945501" spans="12:13" x14ac:dyDescent="0.25">
      <c r="L945501" s="472"/>
      <c r="M945501" s="472"/>
    </row>
    <row r="945573" spans="12:13" x14ac:dyDescent="0.25">
      <c r="L945573" s="472"/>
      <c r="M945573" s="472"/>
    </row>
    <row r="945574" spans="12:13" x14ac:dyDescent="0.25">
      <c r="L945574" s="472"/>
      <c r="M945574" s="472"/>
    </row>
    <row r="945575" spans="12:13" x14ac:dyDescent="0.25">
      <c r="L945575" s="472"/>
      <c r="M945575" s="472"/>
    </row>
    <row r="945647" spans="12:13" x14ac:dyDescent="0.25">
      <c r="L945647" s="472"/>
      <c r="M945647" s="472"/>
    </row>
    <row r="945648" spans="12:13" x14ac:dyDescent="0.25">
      <c r="L945648" s="472"/>
      <c r="M945648" s="472"/>
    </row>
    <row r="945649" spans="12:13" x14ac:dyDescent="0.25">
      <c r="L945649" s="472"/>
      <c r="M945649" s="472"/>
    </row>
    <row r="945721" spans="12:13" x14ac:dyDescent="0.25">
      <c r="L945721" s="472"/>
      <c r="M945721" s="472"/>
    </row>
    <row r="945722" spans="12:13" x14ac:dyDescent="0.25">
      <c r="L945722" s="472"/>
      <c r="M945722" s="472"/>
    </row>
    <row r="945723" spans="12:13" x14ac:dyDescent="0.25">
      <c r="L945723" s="472"/>
      <c r="M945723" s="472"/>
    </row>
    <row r="945795" spans="12:13" x14ac:dyDescent="0.25">
      <c r="L945795" s="472"/>
      <c r="M945795" s="472"/>
    </row>
    <row r="945796" spans="12:13" x14ac:dyDescent="0.25">
      <c r="L945796" s="472"/>
      <c r="M945796" s="472"/>
    </row>
    <row r="945797" spans="12:13" x14ac:dyDescent="0.25">
      <c r="L945797" s="472"/>
      <c r="M945797" s="472"/>
    </row>
    <row r="945869" spans="12:13" x14ac:dyDescent="0.25">
      <c r="L945869" s="472"/>
      <c r="M945869" s="472"/>
    </row>
    <row r="945870" spans="12:13" x14ac:dyDescent="0.25">
      <c r="L945870" s="472"/>
      <c r="M945870" s="472"/>
    </row>
    <row r="945871" spans="12:13" x14ac:dyDescent="0.25">
      <c r="L945871" s="472"/>
      <c r="M945871" s="472"/>
    </row>
    <row r="945943" spans="12:13" x14ac:dyDescent="0.25">
      <c r="L945943" s="472"/>
      <c r="M945943" s="472"/>
    </row>
    <row r="945944" spans="12:13" x14ac:dyDescent="0.25">
      <c r="L945944" s="472"/>
      <c r="M945944" s="472"/>
    </row>
    <row r="945945" spans="12:13" x14ac:dyDescent="0.25">
      <c r="L945945" s="472"/>
      <c r="M945945" s="472"/>
    </row>
    <row r="946017" spans="12:13" x14ac:dyDescent="0.25">
      <c r="L946017" s="472"/>
      <c r="M946017" s="472"/>
    </row>
    <row r="946018" spans="12:13" x14ac:dyDescent="0.25">
      <c r="L946018" s="472"/>
      <c r="M946018" s="472"/>
    </row>
    <row r="946019" spans="12:13" x14ac:dyDescent="0.25">
      <c r="L946019" s="472"/>
      <c r="M946019" s="472"/>
    </row>
    <row r="946091" spans="12:13" x14ac:dyDescent="0.25">
      <c r="L946091" s="472"/>
      <c r="M946091" s="472"/>
    </row>
    <row r="946092" spans="12:13" x14ac:dyDescent="0.25">
      <c r="L946092" s="472"/>
      <c r="M946092" s="472"/>
    </row>
    <row r="946093" spans="12:13" x14ac:dyDescent="0.25">
      <c r="L946093" s="472"/>
      <c r="M946093" s="472"/>
    </row>
    <row r="946165" spans="12:13" x14ac:dyDescent="0.25">
      <c r="L946165" s="472"/>
      <c r="M946165" s="472"/>
    </row>
    <row r="946166" spans="12:13" x14ac:dyDescent="0.25">
      <c r="L946166" s="472"/>
      <c r="M946166" s="472"/>
    </row>
    <row r="946167" spans="12:13" x14ac:dyDescent="0.25">
      <c r="L946167" s="472"/>
      <c r="M946167" s="472"/>
    </row>
    <row r="946239" spans="12:13" x14ac:dyDescent="0.25">
      <c r="L946239" s="472"/>
      <c r="M946239" s="472"/>
    </row>
    <row r="946240" spans="12:13" x14ac:dyDescent="0.25">
      <c r="L946240" s="472"/>
      <c r="M946240" s="472"/>
    </row>
    <row r="946241" spans="12:13" x14ac:dyDescent="0.25">
      <c r="L946241" s="472"/>
      <c r="M946241" s="472"/>
    </row>
    <row r="946313" spans="12:13" x14ac:dyDescent="0.25">
      <c r="L946313" s="472"/>
      <c r="M946313" s="472"/>
    </row>
    <row r="946314" spans="12:13" x14ac:dyDescent="0.25">
      <c r="L946314" s="472"/>
      <c r="M946314" s="472"/>
    </row>
    <row r="946315" spans="12:13" x14ac:dyDescent="0.25">
      <c r="L946315" s="472"/>
      <c r="M946315" s="472"/>
    </row>
    <row r="946387" spans="12:13" x14ac:dyDescent="0.25">
      <c r="L946387" s="472"/>
      <c r="M946387" s="472"/>
    </row>
    <row r="946388" spans="12:13" x14ac:dyDescent="0.25">
      <c r="L946388" s="472"/>
      <c r="M946388" s="472"/>
    </row>
    <row r="946389" spans="12:13" x14ac:dyDescent="0.25">
      <c r="L946389" s="472"/>
      <c r="M946389" s="472"/>
    </row>
    <row r="946461" spans="12:13" x14ac:dyDescent="0.25">
      <c r="L946461" s="472"/>
      <c r="M946461" s="472"/>
    </row>
    <row r="946462" spans="12:13" x14ac:dyDescent="0.25">
      <c r="L946462" s="472"/>
      <c r="M946462" s="472"/>
    </row>
    <row r="946463" spans="12:13" x14ac:dyDescent="0.25">
      <c r="L946463" s="472"/>
      <c r="M946463" s="472"/>
    </row>
    <row r="946535" spans="12:13" x14ac:dyDescent="0.25">
      <c r="L946535" s="472"/>
      <c r="M946535" s="472"/>
    </row>
    <row r="946536" spans="12:13" x14ac:dyDescent="0.25">
      <c r="L946536" s="472"/>
      <c r="M946536" s="472"/>
    </row>
    <row r="946537" spans="12:13" x14ac:dyDescent="0.25">
      <c r="L946537" s="472"/>
      <c r="M946537" s="472"/>
    </row>
    <row r="946609" spans="12:13" x14ac:dyDescent="0.25">
      <c r="L946609" s="472"/>
      <c r="M946609" s="472"/>
    </row>
    <row r="946610" spans="12:13" x14ac:dyDescent="0.25">
      <c r="L946610" s="472"/>
      <c r="M946610" s="472"/>
    </row>
    <row r="946611" spans="12:13" x14ac:dyDescent="0.25">
      <c r="L946611" s="472"/>
      <c r="M946611" s="472"/>
    </row>
    <row r="946683" spans="12:13" x14ac:dyDescent="0.25">
      <c r="L946683" s="472"/>
      <c r="M946683" s="472"/>
    </row>
    <row r="946684" spans="12:13" x14ac:dyDescent="0.25">
      <c r="L946684" s="472"/>
      <c r="M946684" s="472"/>
    </row>
    <row r="946685" spans="12:13" x14ac:dyDescent="0.25">
      <c r="L946685" s="472"/>
      <c r="M946685" s="472"/>
    </row>
    <row r="946757" spans="12:13" x14ac:dyDescent="0.25">
      <c r="L946757" s="472"/>
      <c r="M946757" s="472"/>
    </row>
    <row r="946758" spans="12:13" x14ac:dyDescent="0.25">
      <c r="L946758" s="472"/>
      <c r="M946758" s="472"/>
    </row>
    <row r="946759" spans="12:13" x14ac:dyDescent="0.25">
      <c r="L946759" s="472"/>
      <c r="M946759" s="472"/>
    </row>
    <row r="946831" spans="12:13" x14ac:dyDescent="0.25">
      <c r="L946831" s="472"/>
      <c r="M946831" s="472"/>
    </row>
    <row r="946832" spans="12:13" x14ac:dyDescent="0.25">
      <c r="L946832" s="472"/>
      <c r="M946832" s="472"/>
    </row>
    <row r="946833" spans="12:13" x14ac:dyDescent="0.25">
      <c r="L946833" s="472"/>
      <c r="M946833" s="472"/>
    </row>
    <row r="946905" spans="12:13" x14ac:dyDescent="0.25">
      <c r="L946905" s="472"/>
      <c r="M946905" s="472"/>
    </row>
    <row r="946906" spans="12:13" x14ac:dyDescent="0.25">
      <c r="L946906" s="472"/>
      <c r="M946906" s="472"/>
    </row>
    <row r="946907" spans="12:13" x14ac:dyDescent="0.25">
      <c r="L946907" s="472"/>
      <c r="M946907" s="472"/>
    </row>
    <row r="946979" spans="12:13" x14ac:dyDescent="0.25">
      <c r="L946979" s="472"/>
      <c r="M946979" s="472"/>
    </row>
    <row r="946980" spans="12:13" x14ac:dyDescent="0.25">
      <c r="L946980" s="472"/>
      <c r="M946980" s="472"/>
    </row>
    <row r="946981" spans="12:13" x14ac:dyDescent="0.25">
      <c r="L946981" s="472"/>
      <c r="M946981" s="472"/>
    </row>
    <row r="947053" spans="12:13" x14ac:dyDescent="0.25">
      <c r="L947053" s="472"/>
      <c r="M947053" s="472"/>
    </row>
    <row r="947054" spans="12:13" x14ac:dyDescent="0.25">
      <c r="L947054" s="472"/>
      <c r="M947054" s="472"/>
    </row>
    <row r="947055" spans="12:13" x14ac:dyDescent="0.25">
      <c r="L947055" s="472"/>
      <c r="M947055" s="472"/>
    </row>
    <row r="947127" spans="12:13" x14ac:dyDescent="0.25">
      <c r="L947127" s="472"/>
      <c r="M947127" s="472"/>
    </row>
    <row r="947128" spans="12:13" x14ac:dyDescent="0.25">
      <c r="L947128" s="472"/>
      <c r="M947128" s="472"/>
    </row>
    <row r="947129" spans="12:13" x14ac:dyDescent="0.25">
      <c r="L947129" s="472"/>
      <c r="M947129" s="472"/>
    </row>
    <row r="947201" spans="12:13" x14ac:dyDescent="0.25">
      <c r="L947201" s="472"/>
      <c r="M947201" s="472"/>
    </row>
    <row r="947202" spans="12:13" x14ac:dyDescent="0.25">
      <c r="L947202" s="472"/>
      <c r="M947202" s="472"/>
    </row>
    <row r="947203" spans="12:13" x14ac:dyDescent="0.25">
      <c r="L947203" s="472"/>
      <c r="M947203" s="472"/>
    </row>
    <row r="947275" spans="12:13" x14ac:dyDescent="0.25">
      <c r="L947275" s="472"/>
      <c r="M947275" s="472"/>
    </row>
    <row r="947276" spans="12:13" x14ac:dyDescent="0.25">
      <c r="L947276" s="472"/>
      <c r="M947276" s="472"/>
    </row>
    <row r="947277" spans="12:13" x14ac:dyDescent="0.25">
      <c r="L947277" s="472"/>
      <c r="M947277" s="472"/>
    </row>
    <row r="947349" spans="12:13" x14ac:dyDescent="0.25">
      <c r="L947349" s="472"/>
      <c r="M947349" s="472"/>
    </row>
    <row r="947350" spans="12:13" x14ac:dyDescent="0.25">
      <c r="L947350" s="472"/>
      <c r="M947350" s="472"/>
    </row>
    <row r="947351" spans="12:13" x14ac:dyDescent="0.25">
      <c r="L947351" s="472"/>
      <c r="M947351" s="472"/>
    </row>
    <row r="947423" spans="12:13" x14ac:dyDescent="0.25">
      <c r="L947423" s="472"/>
      <c r="M947423" s="472"/>
    </row>
    <row r="947424" spans="12:13" x14ac:dyDescent="0.25">
      <c r="L947424" s="472"/>
      <c r="M947424" s="472"/>
    </row>
    <row r="947425" spans="12:13" x14ac:dyDescent="0.25">
      <c r="L947425" s="472"/>
      <c r="M947425" s="472"/>
    </row>
    <row r="947497" spans="12:13" x14ac:dyDescent="0.25">
      <c r="L947497" s="472"/>
      <c r="M947497" s="472"/>
    </row>
    <row r="947498" spans="12:13" x14ac:dyDescent="0.25">
      <c r="L947498" s="472"/>
      <c r="M947498" s="472"/>
    </row>
    <row r="947499" spans="12:13" x14ac:dyDescent="0.25">
      <c r="L947499" s="472"/>
      <c r="M947499" s="472"/>
    </row>
    <row r="947571" spans="12:13" x14ac:dyDescent="0.25">
      <c r="L947571" s="472"/>
      <c r="M947571" s="472"/>
    </row>
    <row r="947572" spans="12:13" x14ac:dyDescent="0.25">
      <c r="L947572" s="472"/>
      <c r="M947572" s="472"/>
    </row>
    <row r="947573" spans="12:13" x14ac:dyDescent="0.25">
      <c r="L947573" s="472"/>
      <c r="M947573" s="472"/>
    </row>
    <row r="947645" spans="12:13" x14ac:dyDescent="0.25">
      <c r="L947645" s="472"/>
      <c r="M947645" s="472"/>
    </row>
    <row r="947646" spans="12:13" x14ac:dyDescent="0.25">
      <c r="L947646" s="472"/>
      <c r="M947646" s="472"/>
    </row>
    <row r="947647" spans="12:13" x14ac:dyDescent="0.25">
      <c r="L947647" s="472"/>
      <c r="M947647" s="472"/>
    </row>
    <row r="947719" spans="12:13" x14ac:dyDescent="0.25">
      <c r="L947719" s="472"/>
      <c r="M947719" s="472"/>
    </row>
    <row r="947720" spans="12:13" x14ac:dyDescent="0.25">
      <c r="L947720" s="472"/>
      <c r="M947720" s="472"/>
    </row>
    <row r="947721" spans="12:13" x14ac:dyDescent="0.25">
      <c r="L947721" s="472"/>
      <c r="M947721" s="472"/>
    </row>
    <row r="947793" spans="12:13" x14ac:dyDescent="0.25">
      <c r="L947793" s="472"/>
      <c r="M947793" s="472"/>
    </row>
    <row r="947794" spans="12:13" x14ac:dyDescent="0.25">
      <c r="L947794" s="472"/>
      <c r="M947794" s="472"/>
    </row>
    <row r="947795" spans="12:13" x14ac:dyDescent="0.25">
      <c r="L947795" s="472"/>
      <c r="M947795" s="472"/>
    </row>
    <row r="947867" spans="12:13" x14ac:dyDescent="0.25">
      <c r="L947867" s="472"/>
      <c r="M947867" s="472"/>
    </row>
    <row r="947868" spans="12:13" x14ac:dyDescent="0.25">
      <c r="L947868" s="472"/>
      <c r="M947868" s="472"/>
    </row>
    <row r="947869" spans="12:13" x14ac:dyDescent="0.25">
      <c r="L947869" s="472"/>
      <c r="M947869" s="472"/>
    </row>
    <row r="947941" spans="12:13" x14ac:dyDescent="0.25">
      <c r="L947941" s="472"/>
      <c r="M947941" s="472"/>
    </row>
    <row r="947942" spans="12:13" x14ac:dyDescent="0.25">
      <c r="L947942" s="472"/>
      <c r="M947942" s="472"/>
    </row>
    <row r="947943" spans="12:13" x14ac:dyDescent="0.25">
      <c r="L947943" s="472"/>
      <c r="M947943" s="472"/>
    </row>
    <row r="948015" spans="12:13" x14ac:dyDescent="0.25">
      <c r="L948015" s="472"/>
      <c r="M948015" s="472"/>
    </row>
    <row r="948016" spans="12:13" x14ac:dyDescent="0.25">
      <c r="L948016" s="472"/>
      <c r="M948016" s="472"/>
    </row>
    <row r="948017" spans="12:13" x14ac:dyDescent="0.25">
      <c r="L948017" s="472"/>
      <c r="M948017" s="472"/>
    </row>
    <row r="948089" spans="12:13" x14ac:dyDescent="0.25">
      <c r="L948089" s="472"/>
      <c r="M948089" s="472"/>
    </row>
    <row r="948090" spans="12:13" x14ac:dyDescent="0.25">
      <c r="L948090" s="472"/>
      <c r="M948090" s="472"/>
    </row>
    <row r="948091" spans="12:13" x14ac:dyDescent="0.25">
      <c r="L948091" s="472"/>
      <c r="M948091" s="472"/>
    </row>
    <row r="948163" spans="12:13" x14ac:dyDescent="0.25">
      <c r="L948163" s="472"/>
      <c r="M948163" s="472"/>
    </row>
    <row r="948164" spans="12:13" x14ac:dyDescent="0.25">
      <c r="L948164" s="472"/>
      <c r="M948164" s="472"/>
    </row>
    <row r="948165" spans="12:13" x14ac:dyDescent="0.25">
      <c r="L948165" s="472"/>
      <c r="M948165" s="472"/>
    </row>
    <row r="948237" spans="12:13" x14ac:dyDescent="0.25">
      <c r="L948237" s="472"/>
      <c r="M948237" s="472"/>
    </row>
    <row r="948238" spans="12:13" x14ac:dyDescent="0.25">
      <c r="L948238" s="472"/>
      <c r="M948238" s="472"/>
    </row>
    <row r="948239" spans="12:13" x14ac:dyDescent="0.25">
      <c r="L948239" s="472"/>
      <c r="M948239" s="472"/>
    </row>
    <row r="948311" spans="12:13" x14ac:dyDescent="0.25">
      <c r="L948311" s="472"/>
      <c r="M948311" s="472"/>
    </row>
    <row r="948312" spans="12:13" x14ac:dyDescent="0.25">
      <c r="L948312" s="472"/>
      <c r="M948312" s="472"/>
    </row>
    <row r="948313" spans="12:13" x14ac:dyDescent="0.25">
      <c r="L948313" s="472"/>
      <c r="M948313" s="472"/>
    </row>
    <row r="948385" spans="12:13" x14ac:dyDescent="0.25">
      <c r="L948385" s="472"/>
      <c r="M948385" s="472"/>
    </row>
    <row r="948386" spans="12:13" x14ac:dyDescent="0.25">
      <c r="L948386" s="472"/>
      <c r="M948386" s="472"/>
    </row>
    <row r="948387" spans="12:13" x14ac:dyDescent="0.25">
      <c r="L948387" s="472"/>
      <c r="M948387" s="472"/>
    </row>
    <row r="948459" spans="12:13" x14ac:dyDescent="0.25">
      <c r="L948459" s="472"/>
      <c r="M948459" s="472"/>
    </row>
    <row r="948460" spans="12:13" x14ac:dyDescent="0.25">
      <c r="L948460" s="472"/>
      <c r="M948460" s="472"/>
    </row>
    <row r="948461" spans="12:13" x14ac:dyDescent="0.25">
      <c r="L948461" s="472"/>
      <c r="M948461" s="472"/>
    </row>
    <row r="948533" spans="12:13" x14ac:dyDescent="0.25">
      <c r="L948533" s="472"/>
      <c r="M948533" s="472"/>
    </row>
    <row r="948534" spans="12:13" x14ac:dyDescent="0.25">
      <c r="L948534" s="472"/>
      <c r="M948534" s="472"/>
    </row>
    <row r="948535" spans="12:13" x14ac:dyDescent="0.25">
      <c r="L948535" s="472"/>
      <c r="M948535" s="472"/>
    </row>
    <row r="948607" spans="12:13" x14ac:dyDescent="0.25">
      <c r="L948607" s="472"/>
      <c r="M948607" s="472"/>
    </row>
    <row r="948608" spans="12:13" x14ac:dyDescent="0.25">
      <c r="L948608" s="472"/>
      <c r="M948608" s="472"/>
    </row>
    <row r="948609" spans="12:13" x14ac:dyDescent="0.25">
      <c r="L948609" s="472"/>
      <c r="M948609" s="472"/>
    </row>
    <row r="948681" spans="12:13" x14ac:dyDescent="0.25">
      <c r="L948681" s="472"/>
      <c r="M948681" s="472"/>
    </row>
    <row r="948682" spans="12:13" x14ac:dyDescent="0.25">
      <c r="L948682" s="472"/>
      <c r="M948682" s="472"/>
    </row>
    <row r="948683" spans="12:13" x14ac:dyDescent="0.25">
      <c r="L948683" s="472"/>
      <c r="M948683" s="472"/>
    </row>
    <row r="948755" spans="12:13" x14ac:dyDescent="0.25">
      <c r="L948755" s="472"/>
      <c r="M948755" s="472"/>
    </row>
    <row r="948756" spans="12:13" x14ac:dyDescent="0.25">
      <c r="L948756" s="472"/>
      <c r="M948756" s="472"/>
    </row>
    <row r="948757" spans="12:13" x14ac:dyDescent="0.25">
      <c r="L948757" s="472"/>
      <c r="M948757" s="472"/>
    </row>
    <row r="948829" spans="12:13" x14ac:dyDescent="0.25">
      <c r="L948829" s="472"/>
      <c r="M948829" s="472"/>
    </row>
    <row r="948830" spans="12:13" x14ac:dyDescent="0.25">
      <c r="L948830" s="472"/>
      <c r="M948830" s="472"/>
    </row>
    <row r="948831" spans="12:13" x14ac:dyDescent="0.25">
      <c r="L948831" s="472"/>
      <c r="M948831" s="472"/>
    </row>
    <row r="948903" spans="12:13" x14ac:dyDescent="0.25">
      <c r="L948903" s="472"/>
      <c r="M948903" s="472"/>
    </row>
    <row r="948904" spans="12:13" x14ac:dyDescent="0.25">
      <c r="L948904" s="472"/>
      <c r="M948904" s="472"/>
    </row>
    <row r="948905" spans="12:13" x14ac:dyDescent="0.25">
      <c r="L948905" s="472"/>
      <c r="M948905" s="472"/>
    </row>
    <row r="948977" spans="12:13" x14ac:dyDescent="0.25">
      <c r="L948977" s="472"/>
      <c r="M948977" s="472"/>
    </row>
    <row r="948978" spans="12:13" x14ac:dyDescent="0.25">
      <c r="L948978" s="472"/>
      <c r="M948978" s="472"/>
    </row>
    <row r="948979" spans="12:13" x14ac:dyDescent="0.25">
      <c r="L948979" s="472"/>
      <c r="M948979" s="472"/>
    </row>
    <row r="949051" spans="12:13" x14ac:dyDescent="0.25">
      <c r="L949051" s="472"/>
      <c r="M949051" s="472"/>
    </row>
    <row r="949052" spans="12:13" x14ac:dyDescent="0.25">
      <c r="L949052" s="472"/>
      <c r="M949052" s="472"/>
    </row>
    <row r="949053" spans="12:13" x14ac:dyDescent="0.25">
      <c r="L949053" s="472"/>
      <c r="M949053" s="472"/>
    </row>
    <row r="949125" spans="12:13" x14ac:dyDescent="0.25">
      <c r="L949125" s="472"/>
      <c r="M949125" s="472"/>
    </row>
    <row r="949126" spans="12:13" x14ac:dyDescent="0.25">
      <c r="L949126" s="472"/>
      <c r="M949126" s="472"/>
    </row>
    <row r="949127" spans="12:13" x14ac:dyDescent="0.25">
      <c r="L949127" s="472"/>
      <c r="M949127" s="472"/>
    </row>
    <row r="949199" spans="12:13" x14ac:dyDescent="0.25">
      <c r="L949199" s="472"/>
      <c r="M949199" s="472"/>
    </row>
    <row r="949200" spans="12:13" x14ac:dyDescent="0.25">
      <c r="L949200" s="472"/>
      <c r="M949200" s="472"/>
    </row>
    <row r="949201" spans="12:13" x14ac:dyDescent="0.25">
      <c r="L949201" s="472"/>
      <c r="M949201" s="472"/>
    </row>
    <row r="949273" spans="12:13" x14ac:dyDescent="0.25">
      <c r="L949273" s="472"/>
      <c r="M949273" s="472"/>
    </row>
    <row r="949274" spans="12:13" x14ac:dyDescent="0.25">
      <c r="L949274" s="472"/>
      <c r="M949274" s="472"/>
    </row>
    <row r="949275" spans="12:13" x14ac:dyDescent="0.25">
      <c r="L949275" s="472"/>
      <c r="M949275" s="472"/>
    </row>
    <row r="949347" spans="12:13" x14ac:dyDescent="0.25">
      <c r="L949347" s="472"/>
      <c r="M949347" s="472"/>
    </row>
    <row r="949348" spans="12:13" x14ac:dyDescent="0.25">
      <c r="L949348" s="472"/>
      <c r="M949348" s="472"/>
    </row>
    <row r="949349" spans="12:13" x14ac:dyDescent="0.25">
      <c r="L949349" s="472"/>
      <c r="M949349" s="472"/>
    </row>
    <row r="949421" spans="12:13" x14ac:dyDescent="0.25">
      <c r="L949421" s="472"/>
      <c r="M949421" s="472"/>
    </row>
    <row r="949422" spans="12:13" x14ac:dyDescent="0.25">
      <c r="L949422" s="472"/>
      <c r="M949422" s="472"/>
    </row>
    <row r="949423" spans="12:13" x14ac:dyDescent="0.25">
      <c r="L949423" s="472"/>
      <c r="M949423" s="472"/>
    </row>
    <row r="949495" spans="12:13" x14ac:dyDescent="0.25">
      <c r="L949495" s="472"/>
      <c r="M949495" s="472"/>
    </row>
    <row r="949496" spans="12:13" x14ac:dyDescent="0.25">
      <c r="L949496" s="472"/>
      <c r="M949496" s="472"/>
    </row>
    <row r="949497" spans="12:13" x14ac:dyDescent="0.25">
      <c r="L949497" s="472"/>
      <c r="M949497" s="472"/>
    </row>
    <row r="949569" spans="12:13" x14ac:dyDescent="0.25">
      <c r="L949569" s="472"/>
      <c r="M949569" s="472"/>
    </row>
    <row r="949570" spans="12:13" x14ac:dyDescent="0.25">
      <c r="L949570" s="472"/>
      <c r="M949570" s="472"/>
    </row>
    <row r="949571" spans="12:13" x14ac:dyDescent="0.25">
      <c r="L949571" s="472"/>
      <c r="M949571" s="472"/>
    </row>
    <row r="949643" spans="12:13" x14ac:dyDescent="0.25">
      <c r="L949643" s="472"/>
      <c r="M949643" s="472"/>
    </row>
    <row r="949644" spans="12:13" x14ac:dyDescent="0.25">
      <c r="L949644" s="472"/>
      <c r="M949644" s="472"/>
    </row>
    <row r="949645" spans="12:13" x14ac:dyDescent="0.25">
      <c r="L949645" s="472"/>
      <c r="M949645" s="472"/>
    </row>
    <row r="949717" spans="12:13" x14ac:dyDescent="0.25">
      <c r="L949717" s="472"/>
      <c r="M949717" s="472"/>
    </row>
    <row r="949718" spans="12:13" x14ac:dyDescent="0.25">
      <c r="L949718" s="472"/>
      <c r="M949718" s="472"/>
    </row>
    <row r="949719" spans="12:13" x14ac:dyDescent="0.25">
      <c r="L949719" s="472"/>
      <c r="M949719" s="472"/>
    </row>
    <row r="949791" spans="12:13" x14ac:dyDescent="0.25">
      <c r="L949791" s="472"/>
      <c r="M949791" s="472"/>
    </row>
    <row r="949792" spans="12:13" x14ac:dyDescent="0.25">
      <c r="L949792" s="472"/>
      <c r="M949792" s="472"/>
    </row>
    <row r="949793" spans="12:13" x14ac:dyDescent="0.25">
      <c r="L949793" s="472"/>
      <c r="M949793" s="472"/>
    </row>
    <row r="949865" spans="12:13" x14ac:dyDescent="0.25">
      <c r="L949865" s="472"/>
      <c r="M949865" s="472"/>
    </row>
    <row r="949866" spans="12:13" x14ac:dyDescent="0.25">
      <c r="L949866" s="472"/>
      <c r="M949866" s="472"/>
    </row>
    <row r="949867" spans="12:13" x14ac:dyDescent="0.25">
      <c r="L949867" s="472"/>
      <c r="M949867" s="472"/>
    </row>
    <row r="949939" spans="12:13" x14ac:dyDescent="0.25">
      <c r="L949939" s="472"/>
      <c r="M949939" s="472"/>
    </row>
    <row r="949940" spans="12:13" x14ac:dyDescent="0.25">
      <c r="L949940" s="472"/>
      <c r="M949940" s="472"/>
    </row>
    <row r="949941" spans="12:13" x14ac:dyDescent="0.25">
      <c r="L949941" s="472"/>
      <c r="M949941" s="472"/>
    </row>
    <row r="950013" spans="12:13" x14ac:dyDescent="0.25">
      <c r="L950013" s="472"/>
      <c r="M950013" s="472"/>
    </row>
    <row r="950014" spans="12:13" x14ac:dyDescent="0.25">
      <c r="L950014" s="472"/>
      <c r="M950014" s="472"/>
    </row>
    <row r="950015" spans="12:13" x14ac:dyDescent="0.25">
      <c r="L950015" s="472"/>
      <c r="M950015" s="472"/>
    </row>
    <row r="950087" spans="12:13" x14ac:dyDescent="0.25">
      <c r="L950087" s="472"/>
      <c r="M950087" s="472"/>
    </row>
    <row r="950088" spans="12:13" x14ac:dyDescent="0.25">
      <c r="L950088" s="472"/>
      <c r="M950088" s="472"/>
    </row>
    <row r="950089" spans="12:13" x14ac:dyDescent="0.25">
      <c r="L950089" s="472"/>
      <c r="M950089" s="472"/>
    </row>
    <row r="950161" spans="12:13" x14ac:dyDescent="0.25">
      <c r="L950161" s="472"/>
      <c r="M950161" s="472"/>
    </row>
    <row r="950162" spans="12:13" x14ac:dyDescent="0.25">
      <c r="L950162" s="472"/>
      <c r="M950162" s="472"/>
    </row>
    <row r="950163" spans="12:13" x14ac:dyDescent="0.25">
      <c r="L950163" s="472"/>
      <c r="M950163" s="472"/>
    </row>
    <row r="950235" spans="12:13" x14ac:dyDescent="0.25">
      <c r="L950235" s="472"/>
      <c r="M950235" s="472"/>
    </row>
    <row r="950236" spans="12:13" x14ac:dyDescent="0.25">
      <c r="L950236" s="472"/>
      <c r="M950236" s="472"/>
    </row>
    <row r="950237" spans="12:13" x14ac:dyDescent="0.25">
      <c r="L950237" s="472"/>
      <c r="M950237" s="472"/>
    </row>
    <row r="950309" spans="12:13" x14ac:dyDescent="0.25">
      <c r="L950309" s="472"/>
      <c r="M950309" s="472"/>
    </row>
    <row r="950310" spans="12:13" x14ac:dyDescent="0.25">
      <c r="L950310" s="472"/>
      <c r="M950310" s="472"/>
    </row>
    <row r="950311" spans="12:13" x14ac:dyDescent="0.25">
      <c r="L950311" s="472"/>
      <c r="M950311" s="472"/>
    </row>
    <row r="950383" spans="12:13" x14ac:dyDescent="0.25">
      <c r="L950383" s="472"/>
      <c r="M950383" s="472"/>
    </row>
    <row r="950384" spans="12:13" x14ac:dyDescent="0.25">
      <c r="L950384" s="472"/>
      <c r="M950384" s="472"/>
    </row>
    <row r="950385" spans="12:13" x14ac:dyDescent="0.25">
      <c r="L950385" s="472"/>
      <c r="M950385" s="472"/>
    </row>
    <row r="950457" spans="12:13" x14ac:dyDescent="0.25">
      <c r="L950457" s="472"/>
      <c r="M950457" s="472"/>
    </row>
    <row r="950458" spans="12:13" x14ac:dyDescent="0.25">
      <c r="L950458" s="472"/>
      <c r="M950458" s="472"/>
    </row>
    <row r="950459" spans="12:13" x14ac:dyDescent="0.25">
      <c r="L950459" s="472"/>
      <c r="M950459" s="472"/>
    </row>
    <row r="950531" spans="12:13" x14ac:dyDescent="0.25">
      <c r="L950531" s="472"/>
      <c r="M950531" s="472"/>
    </row>
    <row r="950532" spans="12:13" x14ac:dyDescent="0.25">
      <c r="L950532" s="472"/>
      <c r="M950532" s="472"/>
    </row>
    <row r="950533" spans="12:13" x14ac:dyDescent="0.25">
      <c r="L950533" s="472"/>
      <c r="M950533" s="472"/>
    </row>
    <row r="950605" spans="12:13" x14ac:dyDescent="0.25">
      <c r="L950605" s="472"/>
      <c r="M950605" s="472"/>
    </row>
    <row r="950606" spans="12:13" x14ac:dyDescent="0.25">
      <c r="L950606" s="472"/>
      <c r="M950606" s="472"/>
    </row>
    <row r="950607" spans="12:13" x14ac:dyDescent="0.25">
      <c r="L950607" s="472"/>
      <c r="M950607" s="472"/>
    </row>
    <row r="950679" spans="12:13" x14ac:dyDescent="0.25">
      <c r="L950679" s="472"/>
      <c r="M950679" s="472"/>
    </row>
    <row r="950680" spans="12:13" x14ac:dyDescent="0.25">
      <c r="L950680" s="472"/>
      <c r="M950680" s="472"/>
    </row>
    <row r="950681" spans="12:13" x14ac:dyDescent="0.25">
      <c r="L950681" s="472"/>
      <c r="M950681" s="472"/>
    </row>
    <row r="950753" spans="12:13" x14ac:dyDescent="0.25">
      <c r="L950753" s="472"/>
      <c r="M950753" s="472"/>
    </row>
    <row r="950754" spans="12:13" x14ac:dyDescent="0.25">
      <c r="L950754" s="472"/>
      <c r="M950754" s="472"/>
    </row>
    <row r="950755" spans="12:13" x14ac:dyDescent="0.25">
      <c r="L950755" s="472"/>
      <c r="M950755" s="472"/>
    </row>
    <row r="950827" spans="12:13" x14ac:dyDescent="0.25">
      <c r="L950827" s="472"/>
      <c r="M950827" s="472"/>
    </row>
    <row r="950828" spans="12:13" x14ac:dyDescent="0.25">
      <c r="L950828" s="472"/>
      <c r="M950828" s="472"/>
    </row>
    <row r="950829" spans="12:13" x14ac:dyDescent="0.25">
      <c r="L950829" s="472"/>
      <c r="M950829" s="472"/>
    </row>
    <row r="950901" spans="12:13" x14ac:dyDescent="0.25">
      <c r="L950901" s="472"/>
      <c r="M950901" s="472"/>
    </row>
    <row r="950902" spans="12:13" x14ac:dyDescent="0.25">
      <c r="L950902" s="472"/>
      <c r="M950902" s="472"/>
    </row>
    <row r="950903" spans="12:13" x14ac:dyDescent="0.25">
      <c r="L950903" s="472"/>
      <c r="M950903" s="472"/>
    </row>
    <row r="950975" spans="12:13" x14ac:dyDescent="0.25">
      <c r="L950975" s="472"/>
      <c r="M950975" s="472"/>
    </row>
    <row r="950976" spans="12:13" x14ac:dyDescent="0.25">
      <c r="L950976" s="472"/>
      <c r="M950976" s="472"/>
    </row>
    <row r="950977" spans="12:13" x14ac:dyDescent="0.25">
      <c r="L950977" s="472"/>
      <c r="M950977" s="472"/>
    </row>
    <row r="951049" spans="12:13" x14ac:dyDescent="0.25">
      <c r="L951049" s="472"/>
      <c r="M951049" s="472"/>
    </row>
    <row r="951050" spans="12:13" x14ac:dyDescent="0.25">
      <c r="L951050" s="472"/>
      <c r="M951050" s="472"/>
    </row>
    <row r="951051" spans="12:13" x14ac:dyDescent="0.25">
      <c r="L951051" s="472"/>
      <c r="M951051" s="472"/>
    </row>
    <row r="951123" spans="12:13" x14ac:dyDescent="0.25">
      <c r="L951123" s="472"/>
      <c r="M951123" s="472"/>
    </row>
    <row r="951124" spans="12:13" x14ac:dyDescent="0.25">
      <c r="L951124" s="472"/>
      <c r="M951124" s="472"/>
    </row>
    <row r="951125" spans="12:13" x14ac:dyDescent="0.25">
      <c r="L951125" s="472"/>
      <c r="M951125" s="472"/>
    </row>
    <row r="951197" spans="12:13" x14ac:dyDescent="0.25">
      <c r="L951197" s="472"/>
      <c r="M951197" s="472"/>
    </row>
    <row r="951198" spans="12:13" x14ac:dyDescent="0.25">
      <c r="L951198" s="472"/>
      <c r="M951198" s="472"/>
    </row>
    <row r="951199" spans="12:13" x14ac:dyDescent="0.25">
      <c r="L951199" s="472"/>
      <c r="M951199" s="472"/>
    </row>
    <row r="951271" spans="12:13" x14ac:dyDescent="0.25">
      <c r="L951271" s="472"/>
      <c r="M951271" s="472"/>
    </row>
    <row r="951272" spans="12:13" x14ac:dyDescent="0.25">
      <c r="L951272" s="472"/>
      <c r="M951272" s="472"/>
    </row>
    <row r="951273" spans="12:13" x14ac:dyDescent="0.25">
      <c r="L951273" s="472"/>
      <c r="M951273" s="472"/>
    </row>
    <row r="951345" spans="12:13" x14ac:dyDescent="0.25">
      <c r="L951345" s="472"/>
      <c r="M951345" s="472"/>
    </row>
    <row r="951346" spans="12:13" x14ac:dyDescent="0.25">
      <c r="L951346" s="472"/>
      <c r="M951346" s="472"/>
    </row>
    <row r="951347" spans="12:13" x14ac:dyDescent="0.25">
      <c r="L951347" s="472"/>
      <c r="M951347" s="472"/>
    </row>
    <row r="951419" spans="12:13" x14ac:dyDescent="0.25">
      <c r="L951419" s="472"/>
      <c r="M951419" s="472"/>
    </row>
    <row r="951420" spans="12:13" x14ac:dyDescent="0.25">
      <c r="L951420" s="472"/>
      <c r="M951420" s="472"/>
    </row>
    <row r="951421" spans="12:13" x14ac:dyDescent="0.25">
      <c r="L951421" s="472"/>
      <c r="M951421" s="472"/>
    </row>
    <row r="951493" spans="12:13" x14ac:dyDescent="0.25">
      <c r="L951493" s="472"/>
      <c r="M951493" s="472"/>
    </row>
    <row r="951494" spans="12:13" x14ac:dyDescent="0.25">
      <c r="L951494" s="472"/>
      <c r="M951494" s="472"/>
    </row>
    <row r="951495" spans="12:13" x14ac:dyDescent="0.25">
      <c r="L951495" s="472"/>
      <c r="M951495" s="472"/>
    </row>
    <row r="951567" spans="12:13" x14ac:dyDescent="0.25">
      <c r="L951567" s="472"/>
      <c r="M951567" s="472"/>
    </row>
    <row r="951568" spans="12:13" x14ac:dyDescent="0.25">
      <c r="L951568" s="472"/>
      <c r="M951568" s="472"/>
    </row>
    <row r="951569" spans="12:13" x14ac:dyDescent="0.25">
      <c r="L951569" s="472"/>
      <c r="M951569" s="472"/>
    </row>
    <row r="951641" spans="12:13" x14ac:dyDescent="0.25">
      <c r="L951641" s="472"/>
      <c r="M951641" s="472"/>
    </row>
    <row r="951642" spans="12:13" x14ac:dyDescent="0.25">
      <c r="L951642" s="472"/>
      <c r="M951642" s="472"/>
    </row>
    <row r="951643" spans="12:13" x14ac:dyDescent="0.25">
      <c r="L951643" s="472"/>
      <c r="M951643" s="472"/>
    </row>
    <row r="951715" spans="12:13" x14ac:dyDescent="0.25">
      <c r="L951715" s="472"/>
      <c r="M951715" s="472"/>
    </row>
    <row r="951716" spans="12:13" x14ac:dyDescent="0.25">
      <c r="L951716" s="472"/>
      <c r="M951716" s="472"/>
    </row>
    <row r="951717" spans="12:13" x14ac:dyDescent="0.25">
      <c r="L951717" s="472"/>
      <c r="M951717" s="472"/>
    </row>
    <row r="951789" spans="12:13" x14ac:dyDescent="0.25">
      <c r="L951789" s="472"/>
      <c r="M951789" s="472"/>
    </row>
    <row r="951790" spans="12:13" x14ac:dyDescent="0.25">
      <c r="L951790" s="472"/>
      <c r="M951790" s="472"/>
    </row>
    <row r="951791" spans="12:13" x14ac:dyDescent="0.25">
      <c r="L951791" s="472"/>
      <c r="M951791" s="472"/>
    </row>
    <row r="951863" spans="12:13" x14ac:dyDescent="0.25">
      <c r="L951863" s="472"/>
      <c r="M951863" s="472"/>
    </row>
    <row r="951864" spans="12:13" x14ac:dyDescent="0.25">
      <c r="L951864" s="472"/>
      <c r="M951864" s="472"/>
    </row>
    <row r="951865" spans="12:13" x14ac:dyDescent="0.25">
      <c r="L951865" s="472"/>
      <c r="M951865" s="472"/>
    </row>
    <row r="951937" spans="12:13" x14ac:dyDescent="0.25">
      <c r="L951937" s="472"/>
      <c r="M951937" s="472"/>
    </row>
    <row r="951938" spans="12:13" x14ac:dyDescent="0.25">
      <c r="L951938" s="472"/>
      <c r="M951938" s="472"/>
    </row>
    <row r="951939" spans="12:13" x14ac:dyDescent="0.25">
      <c r="L951939" s="472"/>
      <c r="M951939" s="472"/>
    </row>
    <row r="952011" spans="12:13" x14ac:dyDescent="0.25">
      <c r="L952011" s="472"/>
      <c r="M952011" s="472"/>
    </row>
    <row r="952012" spans="12:13" x14ac:dyDescent="0.25">
      <c r="L952012" s="472"/>
      <c r="M952012" s="472"/>
    </row>
    <row r="952013" spans="12:13" x14ac:dyDescent="0.25">
      <c r="L952013" s="472"/>
      <c r="M952013" s="472"/>
    </row>
    <row r="952085" spans="12:13" x14ac:dyDescent="0.25">
      <c r="L952085" s="472"/>
      <c r="M952085" s="472"/>
    </row>
    <row r="952086" spans="12:13" x14ac:dyDescent="0.25">
      <c r="L952086" s="472"/>
      <c r="M952086" s="472"/>
    </row>
    <row r="952087" spans="12:13" x14ac:dyDescent="0.25">
      <c r="L952087" s="472"/>
      <c r="M952087" s="472"/>
    </row>
    <row r="952159" spans="12:13" x14ac:dyDescent="0.25">
      <c r="L952159" s="472"/>
      <c r="M952159" s="472"/>
    </row>
    <row r="952160" spans="12:13" x14ac:dyDescent="0.25">
      <c r="L952160" s="472"/>
      <c r="M952160" s="472"/>
    </row>
    <row r="952161" spans="12:13" x14ac:dyDescent="0.25">
      <c r="L952161" s="472"/>
      <c r="M952161" s="472"/>
    </row>
    <row r="952233" spans="12:13" x14ac:dyDescent="0.25">
      <c r="L952233" s="472"/>
      <c r="M952233" s="472"/>
    </row>
    <row r="952234" spans="12:13" x14ac:dyDescent="0.25">
      <c r="L952234" s="472"/>
      <c r="M952234" s="472"/>
    </row>
    <row r="952235" spans="12:13" x14ac:dyDescent="0.25">
      <c r="L952235" s="472"/>
      <c r="M952235" s="472"/>
    </row>
    <row r="952307" spans="12:13" x14ac:dyDescent="0.25">
      <c r="L952307" s="472"/>
      <c r="M952307" s="472"/>
    </row>
    <row r="952308" spans="12:13" x14ac:dyDescent="0.25">
      <c r="L952308" s="472"/>
      <c r="M952308" s="472"/>
    </row>
    <row r="952309" spans="12:13" x14ac:dyDescent="0.25">
      <c r="L952309" s="472"/>
      <c r="M952309" s="472"/>
    </row>
    <row r="952381" spans="12:13" x14ac:dyDescent="0.25">
      <c r="L952381" s="472"/>
      <c r="M952381" s="472"/>
    </row>
    <row r="952382" spans="12:13" x14ac:dyDescent="0.25">
      <c r="L952382" s="472"/>
      <c r="M952382" s="472"/>
    </row>
    <row r="952383" spans="12:13" x14ac:dyDescent="0.25">
      <c r="L952383" s="472"/>
      <c r="M952383" s="472"/>
    </row>
    <row r="952455" spans="12:13" x14ac:dyDescent="0.25">
      <c r="L952455" s="472"/>
      <c r="M952455" s="472"/>
    </row>
    <row r="952456" spans="12:13" x14ac:dyDescent="0.25">
      <c r="L952456" s="472"/>
      <c r="M952456" s="472"/>
    </row>
    <row r="952457" spans="12:13" x14ac:dyDescent="0.25">
      <c r="L952457" s="472"/>
      <c r="M952457" s="472"/>
    </row>
    <row r="952529" spans="12:13" x14ac:dyDescent="0.25">
      <c r="L952529" s="472"/>
      <c r="M952529" s="472"/>
    </row>
    <row r="952530" spans="12:13" x14ac:dyDescent="0.25">
      <c r="L952530" s="472"/>
      <c r="M952530" s="472"/>
    </row>
    <row r="952531" spans="12:13" x14ac:dyDescent="0.25">
      <c r="L952531" s="472"/>
      <c r="M952531" s="472"/>
    </row>
    <row r="952603" spans="12:13" x14ac:dyDescent="0.25">
      <c r="L952603" s="472"/>
      <c r="M952603" s="472"/>
    </row>
    <row r="952604" spans="12:13" x14ac:dyDescent="0.25">
      <c r="L952604" s="472"/>
      <c r="M952604" s="472"/>
    </row>
    <row r="952605" spans="12:13" x14ac:dyDescent="0.25">
      <c r="L952605" s="472"/>
      <c r="M952605" s="472"/>
    </row>
    <row r="952677" spans="12:13" x14ac:dyDescent="0.25">
      <c r="L952677" s="472"/>
      <c r="M952677" s="472"/>
    </row>
    <row r="952678" spans="12:13" x14ac:dyDescent="0.25">
      <c r="L952678" s="472"/>
      <c r="M952678" s="472"/>
    </row>
    <row r="952679" spans="12:13" x14ac:dyDescent="0.25">
      <c r="L952679" s="472"/>
      <c r="M952679" s="472"/>
    </row>
    <row r="952751" spans="12:13" x14ac:dyDescent="0.25">
      <c r="L952751" s="472"/>
      <c r="M952751" s="472"/>
    </row>
    <row r="952752" spans="12:13" x14ac:dyDescent="0.25">
      <c r="L952752" s="472"/>
      <c r="M952752" s="472"/>
    </row>
    <row r="952753" spans="12:13" x14ac:dyDescent="0.25">
      <c r="L952753" s="472"/>
      <c r="M952753" s="472"/>
    </row>
    <row r="952825" spans="12:13" x14ac:dyDescent="0.25">
      <c r="L952825" s="472"/>
      <c r="M952825" s="472"/>
    </row>
    <row r="952826" spans="12:13" x14ac:dyDescent="0.25">
      <c r="L952826" s="472"/>
      <c r="M952826" s="472"/>
    </row>
    <row r="952827" spans="12:13" x14ac:dyDescent="0.25">
      <c r="L952827" s="472"/>
      <c r="M952827" s="472"/>
    </row>
    <row r="952899" spans="12:13" x14ac:dyDescent="0.25">
      <c r="L952899" s="472"/>
      <c r="M952899" s="472"/>
    </row>
    <row r="952900" spans="12:13" x14ac:dyDescent="0.25">
      <c r="L952900" s="472"/>
      <c r="M952900" s="472"/>
    </row>
    <row r="952901" spans="12:13" x14ac:dyDescent="0.25">
      <c r="L952901" s="472"/>
      <c r="M952901" s="472"/>
    </row>
    <row r="952973" spans="12:13" x14ac:dyDescent="0.25">
      <c r="L952973" s="472"/>
      <c r="M952973" s="472"/>
    </row>
    <row r="952974" spans="12:13" x14ac:dyDescent="0.25">
      <c r="L952974" s="472"/>
      <c r="M952974" s="472"/>
    </row>
    <row r="952975" spans="12:13" x14ac:dyDescent="0.25">
      <c r="L952975" s="472"/>
      <c r="M952975" s="472"/>
    </row>
    <row r="953047" spans="12:13" x14ac:dyDescent="0.25">
      <c r="L953047" s="472"/>
      <c r="M953047" s="472"/>
    </row>
    <row r="953048" spans="12:13" x14ac:dyDescent="0.25">
      <c r="L953048" s="472"/>
      <c r="M953048" s="472"/>
    </row>
    <row r="953049" spans="12:13" x14ac:dyDescent="0.25">
      <c r="L953049" s="472"/>
      <c r="M953049" s="472"/>
    </row>
    <row r="953121" spans="12:13" x14ac:dyDescent="0.25">
      <c r="L953121" s="472"/>
      <c r="M953121" s="472"/>
    </row>
    <row r="953122" spans="12:13" x14ac:dyDescent="0.25">
      <c r="L953122" s="472"/>
      <c r="M953122" s="472"/>
    </row>
    <row r="953123" spans="12:13" x14ac:dyDescent="0.25">
      <c r="L953123" s="472"/>
      <c r="M953123" s="472"/>
    </row>
    <row r="953195" spans="12:13" x14ac:dyDescent="0.25">
      <c r="L953195" s="472"/>
      <c r="M953195" s="472"/>
    </row>
    <row r="953196" spans="12:13" x14ac:dyDescent="0.25">
      <c r="L953196" s="472"/>
      <c r="M953196" s="472"/>
    </row>
    <row r="953197" spans="12:13" x14ac:dyDescent="0.25">
      <c r="L953197" s="472"/>
      <c r="M953197" s="472"/>
    </row>
    <row r="953269" spans="12:13" x14ac:dyDescent="0.25">
      <c r="L953269" s="472"/>
      <c r="M953269" s="472"/>
    </row>
    <row r="953270" spans="12:13" x14ac:dyDescent="0.25">
      <c r="L953270" s="472"/>
      <c r="M953270" s="472"/>
    </row>
    <row r="953271" spans="12:13" x14ac:dyDescent="0.25">
      <c r="L953271" s="472"/>
      <c r="M953271" s="472"/>
    </row>
    <row r="953343" spans="12:13" x14ac:dyDescent="0.25">
      <c r="L953343" s="472"/>
      <c r="M953343" s="472"/>
    </row>
    <row r="953344" spans="12:13" x14ac:dyDescent="0.25">
      <c r="L953344" s="472"/>
      <c r="M953344" s="472"/>
    </row>
    <row r="953345" spans="12:13" x14ac:dyDescent="0.25">
      <c r="L953345" s="472"/>
      <c r="M953345" s="472"/>
    </row>
    <row r="953417" spans="12:13" x14ac:dyDescent="0.25">
      <c r="L953417" s="472"/>
      <c r="M953417" s="472"/>
    </row>
    <row r="953418" spans="12:13" x14ac:dyDescent="0.25">
      <c r="L953418" s="472"/>
      <c r="M953418" s="472"/>
    </row>
    <row r="953419" spans="12:13" x14ac:dyDescent="0.25">
      <c r="L953419" s="472"/>
      <c r="M953419" s="472"/>
    </row>
    <row r="953491" spans="12:13" x14ac:dyDescent="0.25">
      <c r="L953491" s="472"/>
      <c r="M953491" s="472"/>
    </row>
    <row r="953492" spans="12:13" x14ac:dyDescent="0.25">
      <c r="L953492" s="472"/>
      <c r="M953492" s="472"/>
    </row>
    <row r="953493" spans="12:13" x14ac:dyDescent="0.25">
      <c r="L953493" s="472"/>
      <c r="M953493" s="472"/>
    </row>
    <row r="953565" spans="12:13" x14ac:dyDescent="0.25">
      <c r="L953565" s="472"/>
      <c r="M953565" s="472"/>
    </row>
    <row r="953566" spans="12:13" x14ac:dyDescent="0.25">
      <c r="L953566" s="472"/>
      <c r="M953566" s="472"/>
    </row>
    <row r="953567" spans="12:13" x14ac:dyDescent="0.25">
      <c r="L953567" s="472"/>
      <c r="M953567" s="472"/>
    </row>
    <row r="953639" spans="12:13" x14ac:dyDescent="0.25">
      <c r="L953639" s="472"/>
      <c r="M953639" s="472"/>
    </row>
    <row r="953640" spans="12:13" x14ac:dyDescent="0.25">
      <c r="L953640" s="472"/>
      <c r="M953640" s="472"/>
    </row>
    <row r="953641" spans="12:13" x14ac:dyDescent="0.25">
      <c r="L953641" s="472"/>
      <c r="M953641" s="472"/>
    </row>
    <row r="953713" spans="12:13" x14ac:dyDescent="0.25">
      <c r="L953713" s="472"/>
      <c r="M953713" s="472"/>
    </row>
    <row r="953714" spans="12:13" x14ac:dyDescent="0.25">
      <c r="L953714" s="472"/>
      <c r="M953714" s="472"/>
    </row>
    <row r="953715" spans="12:13" x14ac:dyDescent="0.25">
      <c r="L953715" s="472"/>
      <c r="M953715" s="472"/>
    </row>
    <row r="953787" spans="12:13" x14ac:dyDescent="0.25">
      <c r="L953787" s="472"/>
      <c r="M953787" s="472"/>
    </row>
    <row r="953788" spans="12:13" x14ac:dyDescent="0.25">
      <c r="L953788" s="472"/>
      <c r="M953788" s="472"/>
    </row>
    <row r="953789" spans="12:13" x14ac:dyDescent="0.25">
      <c r="L953789" s="472"/>
      <c r="M953789" s="472"/>
    </row>
    <row r="953861" spans="12:13" x14ac:dyDescent="0.25">
      <c r="L953861" s="472"/>
      <c r="M953861" s="472"/>
    </row>
    <row r="953862" spans="12:13" x14ac:dyDescent="0.25">
      <c r="L953862" s="472"/>
      <c r="M953862" s="472"/>
    </row>
    <row r="953863" spans="12:13" x14ac:dyDescent="0.25">
      <c r="L953863" s="472"/>
      <c r="M953863" s="472"/>
    </row>
    <row r="953935" spans="12:13" x14ac:dyDescent="0.25">
      <c r="L953935" s="472"/>
      <c r="M953935" s="472"/>
    </row>
    <row r="953936" spans="12:13" x14ac:dyDescent="0.25">
      <c r="L953936" s="472"/>
      <c r="M953936" s="472"/>
    </row>
    <row r="953937" spans="12:13" x14ac:dyDescent="0.25">
      <c r="L953937" s="472"/>
      <c r="M953937" s="472"/>
    </row>
    <row r="954009" spans="12:13" x14ac:dyDescent="0.25">
      <c r="L954009" s="472"/>
      <c r="M954009" s="472"/>
    </row>
    <row r="954010" spans="12:13" x14ac:dyDescent="0.25">
      <c r="L954010" s="472"/>
      <c r="M954010" s="472"/>
    </row>
    <row r="954011" spans="12:13" x14ac:dyDescent="0.25">
      <c r="L954011" s="472"/>
      <c r="M954011" s="472"/>
    </row>
    <row r="954083" spans="12:13" x14ac:dyDescent="0.25">
      <c r="L954083" s="472"/>
      <c r="M954083" s="472"/>
    </row>
    <row r="954084" spans="12:13" x14ac:dyDescent="0.25">
      <c r="L954084" s="472"/>
      <c r="M954084" s="472"/>
    </row>
    <row r="954085" spans="12:13" x14ac:dyDescent="0.25">
      <c r="L954085" s="472"/>
      <c r="M954085" s="472"/>
    </row>
    <row r="954157" spans="12:13" x14ac:dyDescent="0.25">
      <c r="L954157" s="472"/>
      <c r="M954157" s="472"/>
    </row>
    <row r="954158" spans="12:13" x14ac:dyDescent="0.25">
      <c r="L954158" s="472"/>
      <c r="M954158" s="472"/>
    </row>
    <row r="954159" spans="12:13" x14ac:dyDescent="0.25">
      <c r="L954159" s="472"/>
      <c r="M954159" s="472"/>
    </row>
    <row r="954231" spans="12:13" x14ac:dyDescent="0.25">
      <c r="L954231" s="472"/>
      <c r="M954231" s="472"/>
    </row>
    <row r="954232" spans="12:13" x14ac:dyDescent="0.25">
      <c r="L954232" s="472"/>
      <c r="M954232" s="472"/>
    </row>
    <row r="954233" spans="12:13" x14ac:dyDescent="0.25">
      <c r="L954233" s="472"/>
      <c r="M954233" s="472"/>
    </row>
    <row r="954305" spans="12:13" x14ac:dyDescent="0.25">
      <c r="L954305" s="472"/>
      <c r="M954305" s="472"/>
    </row>
    <row r="954306" spans="12:13" x14ac:dyDescent="0.25">
      <c r="L954306" s="472"/>
      <c r="M954306" s="472"/>
    </row>
    <row r="954307" spans="12:13" x14ac:dyDescent="0.25">
      <c r="L954307" s="472"/>
      <c r="M954307" s="472"/>
    </row>
    <row r="954379" spans="12:13" x14ac:dyDescent="0.25">
      <c r="L954379" s="472"/>
      <c r="M954379" s="472"/>
    </row>
    <row r="954380" spans="12:13" x14ac:dyDescent="0.25">
      <c r="L954380" s="472"/>
      <c r="M954380" s="472"/>
    </row>
    <row r="954381" spans="12:13" x14ac:dyDescent="0.25">
      <c r="L954381" s="472"/>
      <c r="M954381" s="472"/>
    </row>
    <row r="954453" spans="12:13" x14ac:dyDescent="0.25">
      <c r="L954453" s="472"/>
      <c r="M954453" s="472"/>
    </row>
    <row r="954454" spans="12:13" x14ac:dyDescent="0.25">
      <c r="L954454" s="472"/>
      <c r="M954454" s="472"/>
    </row>
    <row r="954455" spans="12:13" x14ac:dyDescent="0.25">
      <c r="L954455" s="472"/>
      <c r="M954455" s="472"/>
    </row>
    <row r="954527" spans="12:13" x14ac:dyDescent="0.25">
      <c r="L954527" s="472"/>
      <c r="M954527" s="472"/>
    </row>
    <row r="954528" spans="12:13" x14ac:dyDescent="0.25">
      <c r="L954528" s="472"/>
      <c r="M954528" s="472"/>
    </row>
    <row r="954529" spans="12:13" x14ac:dyDescent="0.25">
      <c r="L954529" s="472"/>
      <c r="M954529" s="472"/>
    </row>
    <row r="954601" spans="12:13" x14ac:dyDescent="0.25">
      <c r="L954601" s="472"/>
      <c r="M954601" s="472"/>
    </row>
    <row r="954602" spans="12:13" x14ac:dyDescent="0.25">
      <c r="L954602" s="472"/>
      <c r="M954602" s="472"/>
    </row>
    <row r="954603" spans="12:13" x14ac:dyDescent="0.25">
      <c r="L954603" s="472"/>
      <c r="M954603" s="472"/>
    </row>
    <row r="954675" spans="12:13" x14ac:dyDescent="0.25">
      <c r="L954675" s="472"/>
      <c r="M954675" s="472"/>
    </row>
    <row r="954676" spans="12:13" x14ac:dyDescent="0.25">
      <c r="L954676" s="472"/>
      <c r="M954676" s="472"/>
    </row>
    <row r="954677" spans="12:13" x14ac:dyDescent="0.25">
      <c r="L954677" s="472"/>
      <c r="M954677" s="472"/>
    </row>
    <row r="954749" spans="12:13" x14ac:dyDescent="0.25">
      <c r="L954749" s="472"/>
      <c r="M954749" s="472"/>
    </row>
    <row r="954750" spans="12:13" x14ac:dyDescent="0.25">
      <c r="L954750" s="472"/>
      <c r="M954750" s="472"/>
    </row>
    <row r="954751" spans="12:13" x14ac:dyDescent="0.25">
      <c r="L954751" s="472"/>
      <c r="M954751" s="472"/>
    </row>
    <row r="954823" spans="12:13" x14ac:dyDescent="0.25">
      <c r="L954823" s="472"/>
      <c r="M954823" s="472"/>
    </row>
    <row r="954824" spans="12:13" x14ac:dyDescent="0.25">
      <c r="L954824" s="472"/>
      <c r="M954824" s="472"/>
    </row>
    <row r="954825" spans="12:13" x14ac:dyDescent="0.25">
      <c r="L954825" s="472"/>
      <c r="M954825" s="472"/>
    </row>
    <row r="954897" spans="12:13" x14ac:dyDescent="0.25">
      <c r="L954897" s="472"/>
      <c r="M954897" s="472"/>
    </row>
    <row r="954898" spans="12:13" x14ac:dyDescent="0.25">
      <c r="L954898" s="472"/>
      <c r="M954898" s="472"/>
    </row>
    <row r="954899" spans="12:13" x14ac:dyDescent="0.25">
      <c r="L954899" s="472"/>
      <c r="M954899" s="472"/>
    </row>
    <row r="954971" spans="12:13" x14ac:dyDescent="0.25">
      <c r="L954971" s="472"/>
      <c r="M954971" s="472"/>
    </row>
    <row r="954972" spans="12:13" x14ac:dyDescent="0.25">
      <c r="L954972" s="472"/>
      <c r="M954972" s="472"/>
    </row>
    <row r="954973" spans="12:13" x14ac:dyDescent="0.25">
      <c r="L954973" s="472"/>
      <c r="M954973" s="472"/>
    </row>
    <row r="955045" spans="12:13" x14ac:dyDescent="0.25">
      <c r="L955045" s="472"/>
      <c r="M955045" s="472"/>
    </row>
    <row r="955046" spans="12:13" x14ac:dyDescent="0.25">
      <c r="L955046" s="472"/>
      <c r="M955046" s="472"/>
    </row>
    <row r="955047" spans="12:13" x14ac:dyDescent="0.25">
      <c r="L955047" s="472"/>
      <c r="M955047" s="472"/>
    </row>
    <row r="955119" spans="12:13" x14ac:dyDescent="0.25">
      <c r="L955119" s="472"/>
      <c r="M955119" s="472"/>
    </row>
    <row r="955120" spans="12:13" x14ac:dyDescent="0.25">
      <c r="L955120" s="472"/>
      <c r="M955120" s="472"/>
    </row>
    <row r="955121" spans="12:13" x14ac:dyDescent="0.25">
      <c r="L955121" s="472"/>
      <c r="M955121" s="472"/>
    </row>
    <row r="955193" spans="12:13" x14ac:dyDescent="0.25">
      <c r="L955193" s="472"/>
      <c r="M955193" s="472"/>
    </row>
    <row r="955194" spans="12:13" x14ac:dyDescent="0.25">
      <c r="L955194" s="472"/>
      <c r="M955194" s="472"/>
    </row>
    <row r="955195" spans="12:13" x14ac:dyDescent="0.25">
      <c r="L955195" s="472"/>
      <c r="M955195" s="472"/>
    </row>
    <row r="955267" spans="12:13" x14ac:dyDescent="0.25">
      <c r="L955267" s="472"/>
      <c r="M955267" s="472"/>
    </row>
    <row r="955268" spans="12:13" x14ac:dyDescent="0.25">
      <c r="L955268" s="472"/>
      <c r="M955268" s="472"/>
    </row>
    <row r="955269" spans="12:13" x14ac:dyDescent="0.25">
      <c r="L955269" s="472"/>
      <c r="M955269" s="472"/>
    </row>
    <row r="955341" spans="12:13" x14ac:dyDescent="0.25">
      <c r="L955341" s="472"/>
      <c r="M955341" s="472"/>
    </row>
    <row r="955342" spans="12:13" x14ac:dyDescent="0.25">
      <c r="L955342" s="472"/>
      <c r="M955342" s="472"/>
    </row>
    <row r="955343" spans="12:13" x14ac:dyDescent="0.25">
      <c r="L955343" s="472"/>
      <c r="M955343" s="472"/>
    </row>
    <row r="955415" spans="12:13" x14ac:dyDescent="0.25">
      <c r="L955415" s="472"/>
      <c r="M955415" s="472"/>
    </row>
    <row r="955416" spans="12:13" x14ac:dyDescent="0.25">
      <c r="L955416" s="472"/>
      <c r="M955416" s="472"/>
    </row>
    <row r="955417" spans="12:13" x14ac:dyDescent="0.25">
      <c r="L955417" s="472"/>
      <c r="M955417" s="472"/>
    </row>
    <row r="955489" spans="12:13" x14ac:dyDescent="0.25">
      <c r="L955489" s="472"/>
      <c r="M955489" s="472"/>
    </row>
    <row r="955490" spans="12:13" x14ac:dyDescent="0.25">
      <c r="L955490" s="472"/>
      <c r="M955490" s="472"/>
    </row>
    <row r="955491" spans="12:13" x14ac:dyDescent="0.25">
      <c r="L955491" s="472"/>
      <c r="M955491" s="472"/>
    </row>
    <row r="955563" spans="12:13" x14ac:dyDescent="0.25">
      <c r="L955563" s="472"/>
      <c r="M955563" s="472"/>
    </row>
    <row r="955564" spans="12:13" x14ac:dyDescent="0.25">
      <c r="L955564" s="472"/>
      <c r="M955564" s="472"/>
    </row>
    <row r="955565" spans="12:13" x14ac:dyDescent="0.25">
      <c r="L955565" s="472"/>
      <c r="M955565" s="472"/>
    </row>
    <row r="955637" spans="12:13" x14ac:dyDescent="0.25">
      <c r="L955637" s="472"/>
      <c r="M955637" s="472"/>
    </row>
    <row r="955638" spans="12:13" x14ac:dyDescent="0.25">
      <c r="L955638" s="472"/>
      <c r="M955638" s="472"/>
    </row>
    <row r="955639" spans="12:13" x14ac:dyDescent="0.25">
      <c r="L955639" s="472"/>
      <c r="M955639" s="472"/>
    </row>
    <row r="955711" spans="12:13" x14ac:dyDescent="0.25">
      <c r="L955711" s="472"/>
      <c r="M955711" s="472"/>
    </row>
    <row r="955712" spans="12:13" x14ac:dyDescent="0.25">
      <c r="L955712" s="472"/>
      <c r="M955712" s="472"/>
    </row>
    <row r="955713" spans="12:13" x14ac:dyDescent="0.25">
      <c r="L955713" s="472"/>
      <c r="M955713" s="472"/>
    </row>
    <row r="955785" spans="12:13" x14ac:dyDescent="0.25">
      <c r="L955785" s="472"/>
      <c r="M955785" s="472"/>
    </row>
    <row r="955786" spans="12:13" x14ac:dyDescent="0.25">
      <c r="L955786" s="472"/>
      <c r="M955786" s="472"/>
    </row>
    <row r="955787" spans="12:13" x14ac:dyDescent="0.25">
      <c r="L955787" s="472"/>
      <c r="M955787" s="472"/>
    </row>
    <row r="955859" spans="12:13" x14ac:dyDescent="0.25">
      <c r="L955859" s="472"/>
      <c r="M955859" s="472"/>
    </row>
    <row r="955860" spans="12:13" x14ac:dyDescent="0.25">
      <c r="L955860" s="472"/>
      <c r="M955860" s="472"/>
    </row>
    <row r="955861" spans="12:13" x14ac:dyDescent="0.25">
      <c r="L955861" s="472"/>
      <c r="M955861" s="472"/>
    </row>
    <row r="955933" spans="12:13" x14ac:dyDescent="0.25">
      <c r="L955933" s="472"/>
      <c r="M955933" s="472"/>
    </row>
    <row r="955934" spans="12:13" x14ac:dyDescent="0.25">
      <c r="L955934" s="472"/>
      <c r="M955934" s="472"/>
    </row>
    <row r="955935" spans="12:13" x14ac:dyDescent="0.25">
      <c r="L955935" s="472"/>
      <c r="M955935" s="472"/>
    </row>
    <row r="956007" spans="12:13" x14ac:dyDescent="0.25">
      <c r="L956007" s="472"/>
      <c r="M956007" s="472"/>
    </row>
    <row r="956008" spans="12:13" x14ac:dyDescent="0.25">
      <c r="L956008" s="472"/>
      <c r="M956008" s="472"/>
    </row>
    <row r="956009" spans="12:13" x14ac:dyDescent="0.25">
      <c r="L956009" s="472"/>
      <c r="M956009" s="472"/>
    </row>
    <row r="956081" spans="12:13" x14ac:dyDescent="0.25">
      <c r="L956081" s="472"/>
      <c r="M956081" s="472"/>
    </row>
    <row r="956082" spans="12:13" x14ac:dyDescent="0.25">
      <c r="L956082" s="472"/>
      <c r="M956082" s="472"/>
    </row>
    <row r="956083" spans="12:13" x14ac:dyDescent="0.25">
      <c r="L956083" s="472"/>
      <c r="M956083" s="472"/>
    </row>
    <row r="956155" spans="12:13" x14ac:dyDescent="0.25">
      <c r="L956155" s="472"/>
      <c r="M956155" s="472"/>
    </row>
    <row r="956156" spans="12:13" x14ac:dyDescent="0.25">
      <c r="L956156" s="472"/>
      <c r="M956156" s="472"/>
    </row>
    <row r="956157" spans="12:13" x14ac:dyDescent="0.25">
      <c r="L956157" s="472"/>
      <c r="M956157" s="472"/>
    </row>
    <row r="956229" spans="12:13" x14ac:dyDescent="0.25">
      <c r="L956229" s="472"/>
      <c r="M956229" s="472"/>
    </row>
    <row r="956230" spans="12:13" x14ac:dyDescent="0.25">
      <c r="L956230" s="472"/>
      <c r="M956230" s="472"/>
    </row>
    <row r="956231" spans="12:13" x14ac:dyDescent="0.25">
      <c r="L956231" s="472"/>
      <c r="M956231" s="472"/>
    </row>
    <row r="956303" spans="12:13" x14ac:dyDescent="0.25">
      <c r="L956303" s="472"/>
      <c r="M956303" s="472"/>
    </row>
    <row r="956304" spans="12:13" x14ac:dyDescent="0.25">
      <c r="L956304" s="472"/>
      <c r="M956304" s="472"/>
    </row>
    <row r="956305" spans="12:13" x14ac:dyDescent="0.25">
      <c r="L956305" s="472"/>
      <c r="M956305" s="472"/>
    </row>
    <row r="956377" spans="12:13" x14ac:dyDescent="0.25">
      <c r="L956377" s="472"/>
      <c r="M956377" s="472"/>
    </row>
    <row r="956378" spans="12:13" x14ac:dyDescent="0.25">
      <c r="L956378" s="472"/>
      <c r="M956378" s="472"/>
    </row>
    <row r="956379" spans="12:13" x14ac:dyDescent="0.25">
      <c r="L956379" s="472"/>
      <c r="M956379" s="472"/>
    </row>
    <row r="956451" spans="12:13" x14ac:dyDescent="0.25">
      <c r="L956451" s="472"/>
      <c r="M956451" s="472"/>
    </row>
    <row r="956452" spans="12:13" x14ac:dyDescent="0.25">
      <c r="L956452" s="472"/>
      <c r="M956452" s="472"/>
    </row>
    <row r="956453" spans="12:13" x14ac:dyDescent="0.25">
      <c r="L956453" s="472"/>
      <c r="M956453" s="472"/>
    </row>
    <row r="956525" spans="12:13" x14ac:dyDescent="0.25">
      <c r="L956525" s="472"/>
      <c r="M956525" s="472"/>
    </row>
    <row r="956526" spans="12:13" x14ac:dyDescent="0.25">
      <c r="L956526" s="472"/>
      <c r="M956526" s="472"/>
    </row>
    <row r="956527" spans="12:13" x14ac:dyDescent="0.25">
      <c r="L956527" s="472"/>
      <c r="M956527" s="472"/>
    </row>
    <row r="956599" spans="12:13" x14ac:dyDescent="0.25">
      <c r="L956599" s="472"/>
      <c r="M956599" s="472"/>
    </row>
    <row r="956600" spans="12:13" x14ac:dyDescent="0.25">
      <c r="L956600" s="472"/>
      <c r="M956600" s="472"/>
    </row>
    <row r="956601" spans="12:13" x14ac:dyDescent="0.25">
      <c r="L956601" s="472"/>
      <c r="M956601" s="472"/>
    </row>
    <row r="956673" spans="12:13" x14ac:dyDescent="0.25">
      <c r="L956673" s="472"/>
      <c r="M956673" s="472"/>
    </row>
    <row r="956674" spans="12:13" x14ac:dyDescent="0.25">
      <c r="L956674" s="472"/>
      <c r="M956674" s="472"/>
    </row>
    <row r="956675" spans="12:13" x14ac:dyDescent="0.25">
      <c r="L956675" s="472"/>
      <c r="M956675" s="472"/>
    </row>
    <row r="956747" spans="12:13" x14ac:dyDescent="0.25">
      <c r="L956747" s="472"/>
      <c r="M956747" s="472"/>
    </row>
    <row r="956748" spans="12:13" x14ac:dyDescent="0.25">
      <c r="L956748" s="472"/>
      <c r="M956748" s="472"/>
    </row>
    <row r="956749" spans="12:13" x14ac:dyDescent="0.25">
      <c r="L956749" s="472"/>
      <c r="M956749" s="472"/>
    </row>
    <row r="956821" spans="12:13" x14ac:dyDescent="0.25">
      <c r="L956821" s="472"/>
      <c r="M956821" s="472"/>
    </row>
    <row r="956822" spans="12:13" x14ac:dyDescent="0.25">
      <c r="L956822" s="472"/>
      <c r="M956822" s="472"/>
    </row>
    <row r="956823" spans="12:13" x14ac:dyDescent="0.25">
      <c r="L956823" s="472"/>
      <c r="M956823" s="472"/>
    </row>
    <row r="956895" spans="12:13" x14ac:dyDescent="0.25">
      <c r="L956895" s="472"/>
      <c r="M956895" s="472"/>
    </row>
    <row r="956896" spans="12:13" x14ac:dyDescent="0.25">
      <c r="L956896" s="472"/>
      <c r="M956896" s="472"/>
    </row>
    <row r="956897" spans="12:13" x14ac:dyDescent="0.25">
      <c r="L956897" s="472"/>
      <c r="M956897" s="472"/>
    </row>
    <row r="956969" spans="12:13" x14ac:dyDescent="0.25">
      <c r="L956969" s="472"/>
      <c r="M956969" s="472"/>
    </row>
    <row r="956970" spans="12:13" x14ac:dyDescent="0.25">
      <c r="L956970" s="472"/>
      <c r="M956970" s="472"/>
    </row>
    <row r="956971" spans="12:13" x14ac:dyDescent="0.25">
      <c r="L956971" s="472"/>
      <c r="M956971" s="472"/>
    </row>
    <row r="957043" spans="12:13" x14ac:dyDescent="0.25">
      <c r="L957043" s="472"/>
      <c r="M957043" s="472"/>
    </row>
    <row r="957044" spans="12:13" x14ac:dyDescent="0.25">
      <c r="L957044" s="472"/>
      <c r="M957044" s="472"/>
    </row>
    <row r="957045" spans="12:13" x14ac:dyDescent="0.25">
      <c r="L957045" s="472"/>
      <c r="M957045" s="472"/>
    </row>
    <row r="957117" spans="12:13" x14ac:dyDescent="0.25">
      <c r="L957117" s="472"/>
      <c r="M957117" s="472"/>
    </row>
    <row r="957118" spans="12:13" x14ac:dyDescent="0.25">
      <c r="L957118" s="472"/>
      <c r="M957118" s="472"/>
    </row>
    <row r="957119" spans="12:13" x14ac:dyDescent="0.25">
      <c r="L957119" s="472"/>
      <c r="M957119" s="472"/>
    </row>
    <row r="957191" spans="12:13" x14ac:dyDescent="0.25">
      <c r="L957191" s="472"/>
      <c r="M957191" s="472"/>
    </row>
    <row r="957192" spans="12:13" x14ac:dyDescent="0.25">
      <c r="L957192" s="472"/>
      <c r="M957192" s="472"/>
    </row>
    <row r="957193" spans="12:13" x14ac:dyDescent="0.25">
      <c r="L957193" s="472"/>
      <c r="M957193" s="472"/>
    </row>
    <row r="957265" spans="12:13" x14ac:dyDescent="0.25">
      <c r="L957265" s="472"/>
      <c r="M957265" s="472"/>
    </row>
    <row r="957266" spans="12:13" x14ac:dyDescent="0.25">
      <c r="L957266" s="472"/>
      <c r="M957266" s="472"/>
    </row>
    <row r="957267" spans="12:13" x14ac:dyDescent="0.25">
      <c r="L957267" s="472"/>
      <c r="M957267" s="472"/>
    </row>
    <row r="957339" spans="12:13" x14ac:dyDescent="0.25">
      <c r="L957339" s="472"/>
      <c r="M957339" s="472"/>
    </row>
    <row r="957340" spans="12:13" x14ac:dyDescent="0.25">
      <c r="L957340" s="472"/>
      <c r="M957340" s="472"/>
    </row>
    <row r="957341" spans="12:13" x14ac:dyDescent="0.25">
      <c r="L957341" s="472"/>
      <c r="M957341" s="472"/>
    </row>
    <row r="957413" spans="12:13" x14ac:dyDescent="0.25">
      <c r="L957413" s="472"/>
      <c r="M957413" s="472"/>
    </row>
    <row r="957414" spans="12:13" x14ac:dyDescent="0.25">
      <c r="L957414" s="472"/>
      <c r="M957414" s="472"/>
    </row>
    <row r="957415" spans="12:13" x14ac:dyDescent="0.25">
      <c r="L957415" s="472"/>
      <c r="M957415" s="472"/>
    </row>
    <row r="957487" spans="12:13" x14ac:dyDescent="0.25">
      <c r="L957487" s="472"/>
      <c r="M957487" s="472"/>
    </row>
    <row r="957488" spans="12:13" x14ac:dyDescent="0.25">
      <c r="L957488" s="472"/>
      <c r="M957488" s="472"/>
    </row>
    <row r="957489" spans="12:13" x14ac:dyDescent="0.25">
      <c r="L957489" s="472"/>
      <c r="M957489" s="472"/>
    </row>
    <row r="957561" spans="12:13" x14ac:dyDescent="0.25">
      <c r="L957561" s="472"/>
      <c r="M957561" s="472"/>
    </row>
    <row r="957562" spans="12:13" x14ac:dyDescent="0.25">
      <c r="L957562" s="472"/>
      <c r="M957562" s="472"/>
    </row>
    <row r="957563" spans="12:13" x14ac:dyDescent="0.25">
      <c r="L957563" s="472"/>
      <c r="M957563" s="472"/>
    </row>
    <row r="957635" spans="12:13" x14ac:dyDescent="0.25">
      <c r="L957635" s="472"/>
      <c r="M957635" s="472"/>
    </row>
    <row r="957636" spans="12:13" x14ac:dyDescent="0.25">
      <c r="L957636" s="472"/>
      <c r="M957636" s="472"/>
    </row>
    <row r="957637" spans="12:13" x14ac:dyDescent="0.25">
      <c r="L957637" s="472"/>
      <c r="M957637" s="472"/>
    </row>
    <row r="957709" spans="12:13" x14ac:dyDescent="0.25">
      <c r="L957709" s="472"/>
      <c r="M957709" s="472"/>
    </row>
    <row r="957710" spans="12:13" x14ac:dyDescent="0.25">
      <c r="L957710" s="472"/>
      <c r="M957710" s="472"/>
    </row>
    <row r="957711" spans="12:13" x14ac:dyDescent="0.25">
      <c r="L957711" s="472"/>
      <c r="M957711" s="472"/>
    </row>
    <row r="957783" spans="12:13" x14ac:dyDescent="0.25">
      <c r="L957783" s="472"/>
      <c r="M957783" s="472"/>
    </row>
    <row r="957784" spans="12:13" x14ac:dyDescent="0.25">
      <c r="L957784" s="472"/>
      <c r="M957784" s="472"/>
    </row>
    <row r="957785" spans="12:13" x14ac:dyDescent="0.25">
      <c r="L957785" s="472"/>
      <c r="M957785" s="472"/>
    </row>
    <row r="957857" spans="12:13" x14ac:dyDescent="0.25">
      <c r="L957857" s="472"/>
      <c r="M957857" s="472"/>
    </row>
    <row r="957858" spans="12:13" x14ac:dyDescent="0.25">
      <c r="L957858" s="472"/>
      <c r="M957858" s="472"/>
    </row>
    <row r="957859" spans="12:13" x14ac:dyDescent="0.25">
      <c r="L957859" s="472"/>
      <c r="M957859" s="472"/>
    </row>
    <row r="957931" spans="12:13" x14ac:dyDescent="0.25">
      <c r="L957931" s="472"/>
      <c r="M957931" s="472"/>
    </row>
    <row r="957932" spans="12:13" x14ac:dyDescent="0.25">
      <c r="L957932" s="472"/>
      <c r="M957932" s="472"/>
    </row>
    <row r="957933" spans="12:13" x14ac:dyDescent="0.25">
      <c r="L957933" s="472"/>
      <c r="M957933" s="472"/>
    </row>
    <row r="958005" spans="12:13" x14ac:dyDescent="0.25">
      <c r="L958005" s="472"/>
      <c r="M958005" s="472"/>
    </row>
    <row r="958006" spans="12:13" x14ac:dyDescent="0.25">
      <c r="L958006" s="472"/>
      <c r="M958006" s="472"/>
    </row>
    <row r="958007" spans="12:13" x14ac:dyDescent="0.25">
      <c r="L958007" s="472"/>
      <c r="M958007" s="472"/>
    </row>
    <row r="958079" spans="12:13" x14ac:dyDescent="0.25">
      <c r="L958079" s="472"/>
      <c r="M958079" s="472"/>
    </row>
    <row r="958080" spans="12:13" x14ac:dyDescent="0.25">
      <c r="L958080" s="472"/>
      <c r="M958080" s="472"/>
    </row>
    <row r="958081" spans="12:13" x14ac:dyDescent="0.25">
      <c r="L958081" s="472"/>
      <c r="M958081" s="472"/>
    </row>
    <row r="958153" spans="12:13" x14ac:dyDescent="0.25">
      <c r="L958153" s="472"/>
      <c r="M958153" s="472"/>
    </row>
    <row r="958154" spans="12:13" x14ac:dyDescent="0.25">
      <c r="L958154" s="472"/>
      <c r="M958154" s="472"/>
    </row>
    <row r="958155" spans="12:13" x14ac:dyDescent="0.25">
      <c r="L958155" s="472"/>
      <c r="M958155" s="472"/>
    </row>
    <row r="958227" spans="12:13" x14ac:dyDescent="0.25">
      <c r="L958227" s="472"/>
      <c r="M958227" s="472"/>
    </row>
    <row r="958228" spans="12:13" x14ac:dyDescent="0.25">
      <c r="L958228" s="472"/>
      <c r="M958228" s="472"/>
    </row>
    <row r="958229" spans="12:13" x14ac:dyDescent="0.25">
      <c r="L958229" s="472"/>
      <c r="M958229" s="472"/>
    </row>
    <row r="958301" spans="12:13" x14ac:dyDescent="0.25">
      <c r="L958301" s="472"/>
      <c r="M958301" s="472"/>
    </row>
    <row r="958302" spans="12:13" x14ac:dyDescent="0.25">
      <c r="L958302" s="472"/>
      <c r="M958302" s="472"/>
    </row>
    <row r="958303" spans="12:13" x14ac:dyDescent="0.25">
      <c r="L958303" s="472"/>
      <c r="M958303" s="472"/>
    </row>
    <row r="958375" spans="12:13" x14ac:dyDescent="0.25">
      <c r="L958375" s="472"/>
      <c r="M958375" s="472"/>
    </row>
    <row r="958376" spans="12:13" x14ac:dyDescent="0.25">
      <c r="L958376" s="472"/>
      <c r="M958376" s="472"/>
    </row>
    <row r="958377" spans="12:13" x14ac:dyDescent="0.25">
      <c r="L958377" s="472"/>
      <c r="M958377" s="472"/>
    </row>
    <row r="958449" spans="12:13" x14ac:dyDescent="0.25">
      <c r="L958449" s="472"/>
      <c r="M958449" s="472"/>
    </row>
    <row r="958450" spans="12:13" x14ac:dyDescent="0.25">
      <c r="L958450" s="472"/>
      <c r="M958450" s="472"/>
    </row>
    <row r="958451" spans="12:13" x14ac:dyDescent="0.25">
      <c r="L958451" s="472"/>
      <c r="M958451" s="472"/>
    </row>
    <row r="958523" spans="12:13" x14ac:dyDescent="0.25">
      <c r="L958523" s="472"/>
      <c r="M958523" s="472"/>
    </row>
    <row r="958524" spans="12:13" x14ac:dyDescent="0.25">
      <c r="L958524" s="472"/>
      <c r="M958524" s="472"/>
    </row>
    <row r="958525" spans="12:13" x14ac:dyDescent="0.25">
      <c r="L958525" s="472"/>
      <c r="M958525" s="472"/>
    </row>
    <row r="958597" spans="12:13" x14ac:dyDescent="0.25">
      <c r="L958597" s="472"/>
      <c r="M958597" s="472"/>
    </row>
    <row r="958598" spans="12:13" x14ac:dyDescent="0.25">
      <c r="L958598" s="472"/>
      <c r="M958598" s="472"/>
    </row>
    <row r="958599" spans="12:13" x14ac:dyDescent="0.25">
      <c r="L958599" s="472"/>
      <c r="M958599" s="472"/>
    </row>
    <row r="958671" spans="12:13" x14ac:dyDescent="0.25">
      <c r="L958671" s="472"/>
      <c r="M958671" s="472"/>
    </row>
    <row r="958672" spans="12:13" x14ac:dyDescent="0.25">
      <c r="L958672" s="472"/>
      <c r="M958672" s="472"/>
    </row>
    <row r="958673" spans="12:13" x14ac:dyDescent="0.25">
      <c r="L958673" s="472"/>
      <c r="M958673" s="472"/>
    </row>
    <row r="958745" spans="12:13" x14ac:dyDescent="0.25">
      <c r="L958745" s="472"/>
      <c r="M958745" s="472"/>
    </row>
    <row r="958746" spans="12:13" x14ac:dyDescent="0.25">
      <c r="L958746" s="472"/>
      <c r="M958746" s="472"/>
    </row>
    <row r="958747" spans="12:13" x14ac:dyDescent="0.25">
      <c r="L958747" s="472"/>
      <c r="M958747" s="472"/>
    </row>
    <row r="958819" spans="12:13" x14ac:dyDescent="0.25">
      <c r="L958819" s="472"/>
      <c r="M958819" s="472"/>
    </row>
    <row r="958820" spans="12:13" x14ac:dyDescent="0.25">
      <c r="L958820" s="472"/>
      <c r="M958820" s="472"/>
    </row>
    <row r="958821" spans="12:13" x14ac:dyDescent="0.25">
      <c r="L958821" s="472"/>
      <c r="M958821" s="472"/>
    </row>
    <row r="958893" spans="12:13" x14ac:dyDescent="0.25">
      <c r="L958893" s="472"/>
      <c r="M958893" s="472"/>
    </row>
    <row r="958894" spans="12:13" x14ac:dyDescent="0.25">
      <c r="L958894" s="472"/>
      <c r="M958894" s="472"/>
    </row>
    <row r="958895" spans="12:13" x14ac:dyDescent="0.25">
      <c r="L958895" s="472"/>
      <c r="M958895" s="472"/>
    </row>
    <row r="958967" spans="12:13" x14ac:dyDescent="0.25">
      <c r="L958967" s="472"/>
      <c r="M958967" s="472"/>
    </row>
    <row r="958968" spans="12:13" x14ac:dyDescent="0.25">
      <c r="L958968" s="472"/>
      <c r="M958968" s="472"/>
    </row>
    <row r="958969" spans="12:13" x14ac:dyDescent="0.25">
      <c r="L958969" s="472"/>
      <c r="M958969" s="472"/>
    </row>
    <row r="959041" spans="12:13" x14ac:dyDescent="0.25">
      <c r="L959041" s="472"/>
      <c r="M959041" s="472"/>
    </row>
    <row r="959042" spans="12:13" x14ac:dyDescent="0.25">
      <c r="L959042" s="472"/>
      <c r="M959042" s="472"/>
    </row>
    <row r="959043" spans="12:13" x14ac:dyDescent="0.25">
      <c r="L959043" s="472"/>
      <c r="M959043" s="472"/>
    </row>
    <row r="959115" spans="12:13" x14ac:dyDescent="0.25">
      <c r="L959115" s="472"/>
      <c r="M959115" s="472"/>
    </row>
    <row r="959116" spans="12:13" x14ac:dyDescent="0.25">
      <c r="L959116" s="472"/>
      <c r="M959116" s="472"/>
    </row>
    <row r="959117" spans="12:13" x14ac:dyDescent="0.25">
      <c r="L959117" s="472"/>
      <c r="M959117" s="472"/>
    </row>
    <row r="959189" spans="12:13" x14ac:dyDescent="0.25">
      <c r="L959189" s="472"/>
      <c r="M959189" s="472"/>
    </row>
    <row r="959190" spans="12:13" x14ac:dyDescent="0.25">
      <c r="L959190" s="472"/>
      <c r="M959190" s="472"/>
    </row>
    <row r="959191" spans="12:13" x14ac:dyDescent="0.25">
      <c r="L959191" s="472"/>
      <c r="M959191" s="472"/>
    </row>
    <row r="959263" spans="12:13" x14ac:dyDescent="0.25">
      <c r="L959263" s="472"/>
      <c r="M959263" s="472"/>
    </row>
    <row r="959264" spans="12:13" x14ac:dyDescent="0.25">
      <c r="L959264" s="472"/>
      <c r="M959264" s="472"/>
    </row>
    <row r="959265" spans="12:13" x14ac:dyDescent="0.25">
      <c r="L959265" s="472"/>
      <c r="M959265" s="472"/>
    </row>
    <row r="959337" spans="12:13" x14ac:dyDescent="0.25">
      <c r="L959337" s="472"/>
      <c r="M959337" s="472"/>
    </row>
    <row r="959338" spans="12:13" x14ac:dyDescent="0.25">
      <c r="L959338" s="472"/>
      <c r="M959338" s="472"/>
    </row>
    <row r="959339" spans="12:13" x14ac:dyDescent="0.25">
      <c r="L959339" s="472"/>
      <c r="M959339" s="472"/>
    </row>
    <row r="959411" spans="12:13" x14ac:dyDescent="0.25">
      <c r="L959411" s="472"/>
      <c r="M959411" s="472"/>
    </row>
    <row r="959412" spans="12:13" x14ac:dyDescent="0.25">
      <c r="L959412" s="472"/>
      <c r="M959412" s="472"/>
    </row>
    <row r="959413" spans="12:13" x14ac:dyDescent="0.25">
      <c r="L959413" s="472"/>
      <c r="M959413" s="472"/>
    </row>
    <row r="959485" spans="12:13" x14ac:dyDescent="0.25">
      <c r="L959485" s="472"/>
      <c r="M959485" s="472"/>
    </row>
    <row r="959486" spans="12:13" x14ac:dyDescent="0.25">
      <c r="L959486" s="472"/>
      <c r="M959486" s="472"/>
    </row>
    <row r="959487" spans="12:13" x14ac:dyDescent="0.25">
      <c r="L959487" s="472"/>
      <c r="M959487" s="472"/>
    </row>
    <row r="959559" spans="12:13" x14ac:dyDescent="0.25">
      <c r="L959559" s="472"/>
      <c r="M959559" s="472"/>
    </row>
    <row r="959560" spans="12:13" x14ac:dyDescent="0.25">
      <c r="L959560" s="472"/>
      <c r="M959560" s="472"/>
    </row>
    <row r="959561" spans="12:13" x14ac:dyDescent="0.25">
      <c r="L959561" s="472"/>
      <c r="M959561" s="472"/>
    </row>
    <row r="959633" spans="12:13" x14ac:dyDescent="0.25">
      <c r="L959633" s="472"/>
      <c r="M959633" s="472"/>
    </row>
    <row r="959634" spans="12:13" x14ac:dyDescent="0.25">
      <c r="L959634" s="472"/>
      <c r="M959634" s="472"/>
    </row>
    <row r="959635" spans="12:13" x14ac:dyDescent="0.25">
      <c r="L959635" s="472"/>
      <c r="M959635" s="472"/>
    </row>
    <row r="959707" spans="12:13" x14ac:dyDescent="0.25">
      <c r="L959707" s="472"/>
      <c r="M959707" s="472"/>
    </row>
    <row r="959708" spans="12:13" x14ac:dyDescent="0.25">
      <c r="L959708" s="472"/>
      <c r="M959708" s="472"/>
    </row>
    <row r="959709" spans="12:13" x14ac:dyDescent="0.25">
      <c r="L959709" s="472"/>
      <c r="M959709" s="472"/>
    </row>
    <row r="959781" spans="12:13" x14ac:dyDescent="0.25">
      <c r="L959781" s="472"/>
      <c r="M959781" s="472"/>
    </row>
    <row r="959782" spans="12:13" x14ac:dyDescent="0.25">
      <c r="L959782" s="472"/>
      <c r="M959782" s="472"/>
    </row>
    <row r="959783" spans="12:13" x14ac:dyDescent="0.25">
      <c r="L959783" s="472"/>
      <c r="M959783" s="472"/>
    </row>
    <row r="959855" spans="12:13" x14ac:dyDescent="0.25">
      <c r="L959855" s="472"/>
      <c r="M959855" s="472"/>
    </row>
    <row r="959856" spans="12:13" x14ac:dyDescent="0.25">
      <c r="L959856" s="472"/>
      <c r="M959856" s="472"/>
    </row>
    <row r="959857" spans="12:13" x14ac:dyDescent="0.25">
      <c r="L959857" s="472"/>
      <c r="M959857" s="472"/>
    </row>
    <row r="959929" spans="12:13" x14ac:dyDescent="0.25">
      <c r="L959929" s="472"/>
      <c r="M959929" s="472"/>
    </row>
    <row r="959930" spans="12:13" x14ac:dyDescent="0.25">
      <c r="L959930" s="472"/>
      <c r="M959930" s="472"/>
    </row>
    <row r="959931" spans="12:13" x14ac:dyDescent="0.25">
      <c r="L959931" s="472"/>
      <c r="M959931" s="472"/>
    </row>
    <row r="960003" spans="12:13" x14ac:dyDescent="0.25">
      <c r="L960003" s="472"/>
      <c r="M960003" s="472"/>
    </row>
    <row r="960004" spans="12:13" x14ac:dyDescent="0.25">
      <c r="L960004" s="472"/>
      <c r="M960004" s="472"/>
    </row>
    <row r="960005" spans="12:13" x14ac:dyDescent="0.25">
      <c r="L960005" s="472"/>
      <c r="M960005" s="472"/>
    </row>
    <row r="960077" spans="12:13" x14ac:dyDescent="0.25">
      <c r="L960077" s="472"/>
      <c r="M960077" s="472"/>
    </row>
    <row r="960078" spans="12:13" x14ac:dyDescent="0.25">
      <c r="L960078" s="472"/>
      <c r="M960078" s="472"/>
    </row>
    <row r="960079" spans="12:13" x14ac:dyDescent="0.25">
      <c r="L960079" s="472"/>
      <c r="M960079" s="472"/>
    </row>
    <row r="960151" spans="12:13" x14ac:dyDescent="0.25">
      <c r="L960151" s="472"/>
      <c r="M960151" s="472"/>
    </row>
    <row r="960152" spans="12:13" x14ac:dyDescent="0.25">
      <c r="L960152" s="472"/>
      <c r="M960152" s="472"/>
    </row>
    <row r="960153" spans="12:13" x14ac:dyDescent="0.25">
      <c r="L960153" s="472"/>
      <c r="M960153" s="472"/>
    </row>
    <row r="960225" spans="12:13" x14ac:dyDescent="0.25">
      <c r="L960225" s="472"/>
      <c r="M960225" s="472"/>
    </row>
    <row r="960226" spans="12:13" x14ac:dyDescent="0.25">
      <c r="L960226" s="472"/>
      <c r="M960226" s="472"/>
    </row>
    <row r="960227" spans="12:13" x14ac:dyDescent="0.25">
      <c r="L960227" s="472"/>
      <c r="M960227" s="472"/>
    </row>
    <row r="960299" spans="12:13" x14ac:dyDescent="0.25">
      <c r="L960299" s="472"/>
      <c r="M960299" s="472"/>
    </row>
    <row r="960300" spans="12:13" x14ac:dyDescent="0.25">
      <c r="L960300" s="472"/>
      <c r="M960300" s="472"/>
    </row>
    <row r="960301" spans="12:13" x14ac:dyDescent="0.25">
      <c r="L960301" s="472"/>
      <c r="M960301" s="472"/>
    </row>
    <row r="960373" spans="12:13" x14ac:dyDescent="0.25">
      <c r="L960373" s="472"/>
      <c r="M960373" s="472"/>
    </row>
    <row r="960374" spans="12:13" x14ac:dyDescent="0.25">
      <c r="L960374" s="472"/>
      <c r="M960374" s="472"/>
    </row>
    <row r="960375" spans="12:13" x14ac:dyDescent="0.25">
      <c r="L960375" s="472"/>
      <c r="M960375" s="472"/>
    </row>
    <row r="960447" spans="12:13" x14ac:dyDescent="0.25">
      <c r="L960447" s="472"/>
      <c r="M960447" s="472"/>
    </row>
    <row r="960448" spans="12:13" x14ac:dyDescent="0.25">
      <c r="L960448" s="472"/>
      <c r="M960448" s="472"/>
    </row>
    <row r="960449" spans="12:13" x14ac:dyDescent="0.25">
      <c r="L960449" s="472"/>
      <c r="M960449" s="472"/>
    </row>
    <row r="960521" spans="12:13" x14ac:dyDescent="0.25">
      <c r="L960521" s="472"/>
      <c r="M960521" s="472"/>
    </row>
    <row r="960522" spans="12:13" x14ac:dyDescent="0.25">
      <c r="L960522" s="472"/>
      <c r="M960522" s="472"/>
    </row>
    <row r="960523" spans="12:13" x14ac:dyDescent="0.25">
      <c r="L960523" s="472"/>
      <c r="M960523" s="472"/>
    </row>
    <row r="960595" spans="12:13" x14ac:dyDescent="0.25">
      <c r="L960595" s="472"/>
      <c r="M960595" s="472"/>
    </row>
    <row r="960596" spans="12:13" x14ac:dyDescent="0.25">
      <c r="L960596" s="472"/>
      <c r="M960596" s="472"/>
    </row>
    <row r="960597" spans="12:13" x14ac:dyDescent="0.25">
      <c r="L960597" s="472"/>
      <c r="M960597" s="472"/>
    </row>
    <row r="960669" spans="12:13" x14ac:dyDescent="0.25">
      <c r="L960669" s="472"/>
      <c r="M960669" s="472"/>
    </row>
    <row r="960670" spans="12:13" x14ac:dyDescent="0.25">
      <c r="L960670" s="472"/>
      <c r="M960670" s="472"/>
    </row>
    <row r="960671" spans="12:13" x14ac:dyDescent="0.25">
      <c r="L960671" s="472"/>
      <c r="M960671" s="472"/>
    </row>
    <row r="960743" spans="12:13" x14ac:dyDescent="0.25">
      <c r="L960743" s="472"/>
      <c r="M960743" s="472"/>
    </row>
    <row r="960744" spans="12:13" x14ac:dyDescent="0.25">
      <c r="L960744" s="472"/>
      <c r="M960744" s="472"/>
    </row>
    <row r="960745" spans="12:13" x14ac:dyDescent="0.25">
      <c r="L960745" s="472"/>
      <c r="M960745" s="472"/>
    </row>
    <row r="960817" spans="12:13" x14ac:dyDescent="0.25">
      <c r="L960817" s="472"/>
      <c r="M960817" s="472"/>
    </row>
    <row r="960818" spans="12:13" x14ac:dyDescent="0.25">
      <c r="L960818" s="472"/>
      <c r="M960818" s="472"/>
    </row>
    <row r="960819" spans="12:13" x14ac:dyDescent="0.25">
      <c r="L960819" s="472"/>
      <c r="M960819" s="472"/>
    </row>
    <row r="960891" spans="12:13" x14ac:dyDescent="0.25">
      <c r="L960891" s="472"/>
      <c r="M960891" s="472"/>
    </row>
    <row r="960892" spans="12:13" x14ac:dyDescent="0.25">
      <c r="L960892" s="472"/>
      <c r="M960892" s="472"/>
    </row>
    <row r="960893" spans="12:13" x14ac:dyDescent="0.25">
      <c r="L960893" s="472"/>
      <c r="M960893" s="472"/>
    </row>
    <row r="960965" spans="12:13" x14ac:dyDescent="0.25">
      <c r="L960965" s="472"/>
      <c r="M960965" s="472"/>
    </row>
    <row r="960966" spans="12:13" x14ac:dyDescent="0.25">
      <c r="L960966" s="472"/>
      <c r="M960966" s="472"/>
    </row>
    <row r="960967" spans="12:13" x14ac:dyDescent="0.25">
      <c r="L960967" s="472"/>
      <c r="M960967" s="472"/>
    </row>
    <row r="961039" spans="12:13" x14ac:dyDescent="0.25">
      <c r="L961039" s="472"/>
      <c r="M961039" s="472"/>
    </row>
    <row r="961040" spans="12:13" x14ac:dyDescent="0.25">
      <c r="L961040" s="472"/>
      <c r="M961040" s="472"/>
    </row>
    <row r="961041" spans="12:13" x14ac:dyDescent="0.25">
      <c r="L961041" s="472"/>
      <c r="M961041" s="472"/>
    </row>
    <row r="961113" spans="12:13" x14ac:dyDescent="0.25">
      <c r="L961113" s="472"/>
      <c r="M961113" s="472"/>
    </row>
    <row r="961114" spans="12:13" x14ac:dyDescent="0.25">
      <c r="L961114" s="472"/>
      <c r="M961114" s="472"/>
    </row>
    <row r="961115" spans="12:13" x14ac:dyDescent="0.25">
      <c r="L961115" s="472"/>
      <c r="M961115" s="472"/>
    </row>
    <row r="961187" spans="12:13" x14ac:dyDescent="0.25">
      <c r="L961187" s="472"/>
      <c r="M961187" s="472"/>
    </row>
    <row r="961188" spans="12:13" x14ac:dyDescent="0.25">
      <c r="L961188" s="472"/>
      <c r="M961188" s="472"/>
    </row>
    <row r="961189" spans="12:13" x14ac:dyDescent="0.25">
      <c r="L961189" s="472"/>
      <c r="M961189" s="472"/>
    </row>
    <row r="961261" spans="12:13" x14ac:dyDescent="0.25">
      <c r="L961261" s="472"/>
      <c r="M961261" s="472"/>
    </row>
    <row r="961262" spans="12:13" x14ac:dyDescent="0.25">
      <c r="L961262" s="472"/>
      <c r="M961262" s="472"/>
    </row>
    <row r="961263" spans="12:13" x14ac:dyDescent="0.25">
      <c r="L961263" s="472"/>
      <c r="M961263" s="472"/>
    </row>
    <row r="961335" spans="12:13" x14ac:dyDescent="0.25">
      <c r="L961335" s="472"/>
      <c r="M961335" s="472"/>
    </row>
    <row r="961336" spans="12:13" x14ac:dyDescent="0.25">
      <c r="L961336" s="472"/>
      <c r="M961336" s="472"/>
    </row>
    <row r="961337" spans="12:13" x14ac:dyDescent="0.25">
      <c r="L961337" s="472"/>
      <c r="M961337" s="472"/>
    </row>
    <row r="961409" spans="12:13" x14ac:dyDescent="0.25">
      <c r="L961409" s="472"/>
      <c r="M961409" s="472"/>
    </row>
    <row r="961410" spans="12:13" x14ac:dyDescent="0.25">
      <c r="L961410" s="472"/>
      <c r="M961410" s="472"/>
    </row>
    <row r="961411" spans="12:13" x14ac:dyDescent="0.25">
      <c r="L961411" s="472"/>
      <c r="M961411" s="472"/>
    </row>
    <row r="961483" spans="12:13" x14ac:dyDescent="0.25">
      <c r="L961483" s="472"/>
      <c r="M961483" s="472"/>
    </row>
    <row r="961484" spans="12:13" x14ac:dyDescent="0.25">
      <c r="L961484" s="472"/>
      <c r="M961484" s="472"/>
    </row>
    <row r="961485" spans="12:13" x14ac:dyDescent="0.25">
      <c r="L961485" s="472"/>
      <c r="M961485" s="472"/>
    </row>
    <row r="961557" spans="12:13" x14ac:dyDescent="0.25">
      <c r="L961557" s="472"/>
      <c r="M961557" s="472"/>
    </row>
    <row r="961558" spans="12:13" x14ac:dyDescent="0.25">
      <c r="L961558" s="472"/>
      <c r="M961558" s="472"/>
    </row>
    <row r="961559" spans="12:13" x14ac:dyDescent="0.25">
      <c r="L961559" s="472"/>
      <c r="M961559" s="472"/>
    </row>
    <row r="961631" spans="12:13" x14ac:dyDescent="0.25">
      <c r="L961631" s="472"/>
      <c r="M961631" s="472"/>
    </row>
    <row r="961632" spans="12:13" x14ac:dyDescent="0.25">
      <c r="L961632" s="472"/>
      <c r="M961632" s="472"/>
    </row>
    <row r="961633" spans="12:13" x14ac:dyDescent="0.25">
      <c r="L961633" s="472"/>
      <c r="M961633" s="472"/>
    </row>
    <row r="961705" spans="12:13" x14ac:dyDescent="0.25">
      <c r="L961705" s="472"/>
      <c r="M961705" s="472"/>
    </row>
    <row r="961706" spans="12:13" x14ac:dyDescent="0.25">
      <c r="L961706" s="472"/>
      <c r="M961706" s="472"/>
    </row>
    <row r="961707" spans="12:13" x14ac:dyDescent="0.25">
      <c r="L961707" s="472"/>
      <c r="M961707" s="472"/>
    </row>
    <row r="961779" spans="12:13" x14ac:dyDescent="0.25">
      <c r="L961779" s="472"/>
      <c r="M961779" s="472"/>
    </row>
    <row r="961780" spans="12:13" x14ac:dyDescent="0.25">
      <c r="L961780" s="472"/>
      <c r="M961780" s="472"/>
    </row>
    <row r="961781" spans="12:13" x14ac:dyDescent="0.25">
      <c r="L961781" s="472"/>
      <c r="M961781" s="472"/>
    </row>
    <row r="961853" spans="12:13" x14ac:dyDescent="0.25">
      <c r="L961853" s="472"/>
      <c r="M961853" s="472"/>
    </row>
    <row r="961854" spans="12:13" x14ac:dyDescent="0.25">
      <c r="L961854" s="472"/>
      <c r="M961854" s="472"/>
    </row>
    <row r="961855" spans="12:13" x14ac:dyDescent="0.25">
      <c r="L961855" s="472"/>
      <c r="M961855" s="472"/>
    </row>
    <row r="961927" spans="12:13" x14ac:dyDescent="0.25">
      <c r="L961927" s="472"/>
      <c r="M961927" s="472"/>
    </row>
    <row r="961928" spans="12:13" x14ac:dyDescent="0.25">
      <c r="L961928" s="472"/>
      <c r="M961928" s="472"/>
    </row>
    <row r="961929" spans="12:13" x14ac:dyDescent="0.25">
      <c r="L961929" s="472"/>
      <c r="M961929" s="472"/>
    </row>
    <row r="962001" spans="12:13" x14ac:dyDescent="0.25">
      <c r="L962001" s="472"/>
      <c r="M962001" s="472"/>
    </row>
    <row r="962002" spans="12:13" x14ac:dyDescent="0.25">
      <c r="L962002" s="472"/>
      <c r="M962002" s="472"/>
    </row>
    <row r="962003" spans="12:13" x14ac:dyDescent="0.25">
      <c r="L962003" s="472"/>
      <c r="M962003" s="472"/>
    </row>
    <row r="962075" spans="12:13" x14ac:dyDescent="0.25">
      <c r="L962075" s="472"/>
      <c r="M962075" s="472"/>
    </row>
    <row r="962076" spans="12:13" x14ac:dyDescent="0.25">
      <c r="L962076" s="472"/>
      <c r="M962076" s="472"/>
    </row>
    <row r="962077" spans="12:13" x14ac:dyDescent="0.25">
      <c r="L962077" s="472"/>
      <c r="M962077" s="472"/>
    </row>
    <row r="962149" spans="12:13" x14ac:dyDescent="0.25">
      <c r="L962149" s="472"/>
      <c r="M962149" s="472"/>
    </row>
    <row r="962150" spans="12:13" x14ac:dyDescent="0.25">
      <c r="L962150" s="472"/>
      <c r="M962150" s="472"/>
    </row>
    <row r="962151" spans="12:13" x14ac:dyDescent="0.25">
      <c r="L962151" s="472"/>
      <c r="M962151" s="472"/>
    </row>
    <row r="962223" spans="12:13" x14ac:dyDescent="0.25">
      <c r="L962223" s="472"/>
      <c r="M962223" s="472"/>
    </row>
    <row r="962224" spans="12:13" x14ac:dyDescent="0.25">
      <c r="L962224" s="472"/>
      <c r="M962224" s="472"/>
    </row>
    <row r="962225" spans="12:13" x14ac:dyDescent="0.25">
      <c r="L962225" s="472"/>
      <c r="M962225" s="472"/>
    </row>
    <row r="962297" spans="12:13" x14ac:dyDescent="0.25">
      <c r="L962297" s="472"/>
      <c r="M962297" s="472"/>
    </row>
    <row r="962298" spans="12:13" x14ac:dyDescent="0.25">
      <c r="L962298" s="472"/>
      <c r="M962298" s="472"/>
    </row>
    <row r="962299" spans="12:13" x14ac:dyDescent="0.25">
      <c r="L962299" s="472"/>
      <c r="M962299" s="472"/>
    </row>
    <row r="962371" spans="12:13" x14ac:dyDescent="0.25">
      <c r="L962371" s="472"/>
      <c r="M962371" s="472"/>
    </row>
    <row r="962372" spans="12:13" x14ac:dyDescent="0.25">
      <c r="L962372" s="472"/>
      <c r="M962372" s="472"/>
    </row>
    <row r="962373" spans="12:13" x14ac:dyDescent="0.25">
      <c r="L962373" s="472"/>
      <c r="M962373" s="472"/>
    </row>
    <row r="962445" spans="12:13" x14ac:dyDescent="0.25">
      <c r="L962445" s="472"/>
      <c r="M962445" s="472"/>
    </row>
    <row r="962446" spans="12:13" x14ac:dyDescent="0.25">
      <c r="L962446" s="472"/>
      <c r="M962446" s="472"/>
    </row>
    <row r="962447" spans="12:13" x14ac:dyDescent="0.25">
      <c r="L962447" s="472"/>
      <c r="M962447" s="472"/>
    </row>
    <row r="962519" spans="12:13" x14ac:dyDescent="0.25">
      <c r="L962519" s="472"/>
      <c r="M962519" s="472"/>
    </row>
    <row r="962520" spans="12:13" x14ac:dyDescent="0.25">
      <c r="L962520" s="472"/>
      <c r="M962520" s="472"/>
    </row>
    <row r="962521" spans="12:13" x14ac:dyDescent="0.25">
      <c r="L962521" s="472"/>
      <c r="M962521" s="472"/>
    </row>
    <row r="962593" spans="12:13" x14ac:dyDescent="0.25">
      <c r="L962593" s="472"/>
      <c r="M962593" s="472"/>
    </row>
    <row r="962594" spans="12:13" x14ac:dyDescent="0.25">
      <c r="L962594" s="472"/>
      <c r="M962594" s="472"/>
    </row>
    <row r="962595" spans="12:13" x14ac:dyDescent="0.25">
      <c r="L962595" s="472"/>
      <c r="M962595" s="472"/>
    </row>
    <row r="962667" spans="12:13" x14ac:dyDescent="0.25">
      <c r="L962667" s="472"/>
      <c r="M962667" s="472"/>
    </row>
    <row r="962668" spans="12:13" x14ac:dyDescent="0.25">
      <c r="L962668" s="472"/>
      <c r="M962668" s="472"/>
    </row>
    <row r="962669" spans="12:13" x14ac:dyDescent="0.25">
      <c r="L962669" s="472"/>
      <c r="M962669" s="472"/>
    </row>
    <row r="962741" spans="12:13" x14ac:dyDescent="0.25">
      <c r="L962741" s="472"/>
      <c r="M962741" s="472"/>
    </row>
    <row r="962742" spans="12:13" x14ac:dyDescent="0.25">
      <c r="L962742" s="472"/>
      <c r="M962742" s="472"/>
    </row>
    <row r="962743" spans="12:13" x14ac:dyDescent="0.25">
      <c r="L962743" s="472"/>
      <c r="M962743" s="472"/>
    </row>
    <row r="962815" spans="12:13" x14ac:dyDescent="0.25">
      <c r="L962815" s="472"/>
      <c r="M962815" s="472"/>
    </row>
    <row r="962816" spans="12:13" x14ac:dyDescent="0.25">
      <c r="L962816" s="472"/>
      <c r="M962816" s="472"/>
    </row>
    <row r="962817" spans="12:13" x14ac:dyDescent="0.25">
      <c r="L962817" s="472"/>
      <c r="M962817" s="472"/>
    </row>
    <row r="962889" spans="12:13" x14ac:dyDescent="0.25">
      <c r="L962889" s="472"/>
      <c r="M962889" s="472"/>
    </row>
    <row r="962890" spans="12:13" x14ac:dyDescent="0.25">
      <c r="L962890" s="472"/>
      <c r="M962890" s="472"/>
    </row>
    <row r="962891" spans="12:13" x14ac:dyDescent="0.25">
      <c r="L962891" s="472"/>
      <c r="M962891" s="472"/>
    </row>
    <row r="962963" spans="12:13" x14ac:dyDescent="0.25">
      <c r="L962963" s="472"/>
      <c r="M962963" s="472"/>
    </row>
    <row r="962964" spans="12:13" x14ac:dyDescent="0.25">
      <c r="L962964" s="472"/>
      <c r="M962964" s="472"/>
    </row>
    <row r="962965" spans="12:13" x14ac:dyDescent="0.25">
      <c r="L962965" s="472"/>
      <c r="M962965" s="472"/>
    </row>
    <row r="963037" spans="12:13" x14ac:dyDescent="0.25">
      <c r="L963037" s="472"/>
      <c r="M963037" s="472"/>
    </row>
    <row r="963038" spans="12:13" x14ac:dyDescent="0.25">
      <c r="L963038" s="472"/>
      <c r="M963038" s="472"/>
    </row>
    <row r="963039" spans="12:13" x14ac:dyDescent="0.25">
      <c r="L963039" s="472"/>
      <c r="M963039" s="472"/>
    </row>
    <row r="963111" spans="12:13" x14ac:dyDescent="0.25">
      <c r="L963111" s="472"/>
      <c r="M963111" s="472"/>
    </row>
    <row r="963112" spans="12:13" x14ac:dyDescent="0.25">
      <c r="L963112" s="472"/>
      <c r="M963112" s="472"/>
    </row>
    <row r="963113" spans="12:13" x14ac:dyDescent="0.25">
      <c r="L963113" s="472"/>
      <c r="M963113" s="472"/>
    </row>
    <row r="963185" spans="12:13" x14ac:dyDescent="0.25">
      <c r="L963185" s="472"/>
      <c r="M963185" s="472"/>
    </row>
    <row r="963186" spans="12:13" x14ac:dyDescent="0.25">
      <c r="L963186" s="472"/>
      <c r="M963186" s="472"/>
    </row>
    <row r="963187" spans="12:13" x14ac:dyDescent="0.25">
      <c r="L963187" s="472"/>
      <c r="M963187" s="472"/>
    </row>
    <row r="963259" spans="12:13" x14ac:dyDescent="0.25">
      <c r="L963259" s="472"/>
      <c r="M963259" s="472"/>
    </row>
    <row r="963260" spans="12:13" x14ac:dyDescent="0.25">
      <c r="L963260" s="472"/>
      <c r="M963260" s="472"/>
    </row>
    <row r="963261" spans="12:13" x14ac:dyDescent="0.25">
      <c r="L963261" s="472"/>
      <c r="M963261" s="472"/>
    </row>
    <row r="963333" spans="12:13" x14ac:dyDescent="0.25">
      <c r="L963333" s="472"/>
      <c r="M963333" s="472"/>
    </row>
    <row r="963334" spans="12:13" x14ac:dyDescent="0.25">
      <c r="L963334" s="472"/>
      <c r="M963334" s="472"/>
    </row>
    <row r="963335" spans="12:13" x14ac:dyDescent="0.25">
      <c r="L963335" s="472"/>
      <c r="M963335" s="472"/>
    </row>
    <row r="963407" spans="12:13" x14ac:dyDescent="0.25">
      <c r="L963407" s="472"/>
      <c r="M963407" s="472"/>
    </row>
    <row r="963408" spans="12:13" x14ac:dyDescent="0.25">
      <c r="L963408" s="472"/>
      <c r="M963408" s="472"/>
    </row>
    <row r="963409" spans="12:13" x14ac:dyDescent="0.25">
      <c r="L963409" s="472"/>
      <c r="M963409" s="472"/>
    </row>
    <row r="963481" spans="12:13" x14ac:dyDescent="0.25">
      <c r="L963481" s="472"/>
      <c r="M963481" s="472"/>
    </row>
    <row r="963482" spans="12:13" x14ac:dyDescent="0.25">
      <c r="L963482" s="472"/>
      <c r="M963482" s="472"/>
    </row>
    <row r="963483" spans="12:13" x14ac:dyDescent="0.25">
      <c r="L963483" s="472"/>
      <c r="M963483" s="472"/>
    </row>
    <row r="963555" spans="12:13" x14ac:dyDescent="0.25">
      <c r="L963555" s="472"/>
      <c r="M963555" s="472"/>
    </row>
    <row r="963556" spans="12:13" x14ac:dyDescent="0.25">
      <c r="L963556" s="472"/>
      <c r="M963556" s="472"/>
    </row>
    <row r="963557" spans="12:13" x14ac:dyDescent="0.25">
      <c r="L963557" s="472"/>
      <c r="M963557" s="472"/>
    </row>
    <row r="963629" spans="12:13" x14ac:dyDescent="0.25">
      <c r="L963629" s="472"/>
      <c r="M963629" s="472"/>
    </row>
    <row r="963630" spans="12:13" x14ac:dyDescent="0.25">
      <c r="L963630" s="472"/>
      <c r="M963630" s="472"/>
    </row>
    <row r="963631" spans="12:13" x14ac:dyDescent="0.25">
      <c r="L963631" s="472"/>
      <c r="M963631" s="472"/>
    </row>
    <row r="963703" spans="12:13" x14ac:dyDescent="0.25">
      <c r="L963703" s="472"/>
      <c r="M963703" s="472"/>
    </row>
    <row r="963704" spans="12:13" x14ac:dyDescent="0.25">
      <c r="L963704" s="472"/>
      <c r="M963704" s="472"/>
    </row>
    <row r="963705" spans="12:13" x14ac:dyDescent="0.25">
      <c r="L963705" s="472"/>
      <c r="M963705" s="472"/>
    </row>
    <row r="963777" spans="12:13" x14ac:dyDescent="0.25">
      <c r="L963777" s="472"/>
      <c r="M963777" s="472"/>
    </row>
    <row r="963778" spans="12:13" x14ac:dyDescent="0.25">
      <c r="L963778" s="472"/>
      <c r="M963778" s="472"/>
    </row>
    <row r="963779" spans="12:13" x14ac:dyDescent="0.25">
      <c r="L963779" s="472"/>
      <c r="M963779" s="472"/>
    </row>
    <row r="963851" spans="12:13" x14ac:dyDescent="0.25">
      <c r="L963851" s="472"/>
      <c r="M963851" s="472"/>
    </row>
    <row r="963852" spans="12:13" x14ac:dyDescent="0.25">
      <c r="L963852" s="472"/>
      <c r="M963852" s="472"/>
    </row>
    <row r="963853" spans="12:13" x14ac:dyDescent="0.25">
      <c r="L963853" s="472"/>
      <c r="M963853" s="472"/>
    </row>
    <row r="963925" spans="12:13" x14ac:dyDescent="0.25">
      <c r="L963925" s="472"/>
      <c r="M963925" s="472"/>
    </row>
    <row r="963926" spans="12:13" x14ac:dyDescent="0.25">
      <c r="L963926" s="472"/>
      <c r="M963926" s="472"/>
    </row>
    <row r="963927" spans="12:13" x14ac:dyDescent="0.25">
      <c r="L963927" s="472"/>
      <c r="M963927" s="472"/>
    </row>
    <row r="963999" spans="12:13" x14ac:dyDescent="0.25">
      <c r="L963999" s="472"/>
      <c r="M963999" s="472"/>
    </row>
    <row r="964000" spans="12:13" x14ac:dyDescent="0.25">
      <c r="L964000" s="472"/>
      <c r="M964000" s="472"/>
    </row>
    <row r="964001" spans="12:13" x14ac:dyDescent="0.25">
      <c r="L964001" s="472"/>
      <c r="M964001" s="472"/>
    </row>
    <row r="964073" spans="12:13" x14ac:dyDescent="0.25">
      <c r="L964073" s="472"/>
      <c r="M964073" s="472"/>
    </row>
    <row r="964074" spans="12:13" x14ac:dyDescent="0.25">
      <c r="L964074" s="472"/>
      <c r="M964074" s="472"/>
    </row>
    <row r="964075" spans="12:13" x14ac:dyDescent="0.25">
      <c r="L964075" s="472"/>
      <c r="M964075" s="472"/>
    </row>
    <row r="964147" spans="12:13" x14ac:dyDescent="0.25">
      <c r="L964147" s="472"/>
      <c r="M964147" s="472"/>
    </row>
    <row r="964148" spans="12:13" x14ac:dyDescent="0.25">
      <c r="L964148" s="472"/>
      <c r="M964148" s="472"/>
    </row>
    <row r="964149" spans="12:13" x14ac:dyDescent="0.25">
      <c r="L964149" s="472"/>
      <c r="M964149" s="472"/>
    </row>
    <row r="964221" spans="12:13" x14ac:dyDescent="0.25">
      <c r="L964221" s="472"/>
      <c r="M964221" s="472"/>
    </row>
    <row r="964222" spans="12:13" x14ac:dyDescent="0.25">
      <c r="L964222" s="472"/>
      <c r="M964222" s="472"/>
    </row>
    <row r="964223" spans="12:13" x14ac:dyDescent="0.25">
      <c r="L964223" s="472"/>
      <c r="M964223" s="472"/>
    </row>
    <row r="964295" spans="12:13" x14ac:dyDescent="0.25">
      <c r="L964295" s="472"/>
      <c r="M964295" s="472"/>
    </row>
    <row r="964296" spans="12:13" x14ac:dyDescent="0.25">
      <c r="L964296" s="472"/>
      <c r="M964296" s="472"/>
    </row>
    <row r="964297" spans="12:13" x14ac:dyDescent="0.25">
      <c r="L964297" s="472"/>
      <c r="M964297" s="472"/>
    </row>
    <row r="964369" spans="12:13" x14ac:dyDescent="0.25">
      <c r="L964369" s="472"/>
      <c r="M964369" s="472"/>
    </row>
    <row r="964370" spans="12:13" x14ac:dyDescent="0.25">
      <c r="L964370" s="472"/>
      <c r="M964370" s="472"/>
    </row>
    <row r="964371" spans="12:13" x14ac:dyDescent="0.25">
      <c r="L964371" s="472"/>
      <c r="M964371" s="472"/>
    </row>
    <row r="964443" spans="12:13" x14ac:dyDescent="0.25">
      <c r="L964443" s="472"/>
      <c r="M964443" s="472"/>
    </row>
    <row r="964444" spans="12:13" x14ac:dyDescent="0.25">
      <c r="L964444" s="472"/>
      <c r="M964444" s="472"/>
    </row>
    <row r="964445" spans="12:13" x14ac:dyDescent="0.25">
      <c r="L964445" s="472"/>
      <c r="M964445" s="472"/>
    </row>
    <row r="964517" spans="12:13" x14ac:dyDescent="0.25">
      <c r="L964517" s="472"/>
      <c r="M964517" s="472"/>
    </row>
    <row r="964518" spans="12:13" x14ac:dyDescent="0.25">
      <c r="L964518" s="472"/>
      <c r="M964518" s="472"/>
    </row>
    <row r="964519" spans="12:13" x14ac:dyDescent="0.25">
      <c r="L964519" s="472"/>
      <c r="M964519" s="472"/>
    </row>
    <row r="964591" spans="12:13" x14ac:dyDescent="0.25">
      <c r="L964591" s="472"/>
      <c r="M964591" s="472"/>
    </row>
    <row r="964592" spans="12:13" x14ac:dyDescent="0.25">
      <c r="L964592" s="472"/>
      <c r="M964592" s="472"/>
    </row>
    <row r="964593" spans="12:13" x14ac:dyDescent="0.25">
      <c r="L964593" s="472"/>
      <c r="M964593" s="472"/>
    </row>
    <row r="964665" spans="12:13" x14ac:dyDescent="0.25">
      <c r="L964665" s="472"/>
      <c r="M964665" s="472"/>
    </row>
    <row r="964666" spans="12:13" x14ac:dyDescent="0.25">
      <c r="L964666" s="472"/>
      <c r="M964666" s="472"/>
    </row>
    <row r="964667" spans="12:13" x14ac:dyDescent="0.25">
      <c r="L964667" s="472"/>
      <c r="M964667" s="472"/>
    </row>
    <row r="964739" spans="12:13" x14ac:dyDescent="0.25">
      <c r="L964739" s="472"/>
      <c r="M964739" s="472"/>
    </row>
    <row r="964740" spans="12:13" x14ac:dyDescent="0.25">
      <c r="L964740" s="472"/>
      <c r="M964740" s="472"/>
    </row>
    <row r="964741" spans="12:13" x14ac:dyDescent="0.25">
      <c r="L964741" s="472"/>
      <c r="M964741" s="472"/>
    </row>
    <row r="964813" spans="12:13" x14ac:dyDescent="0.25">
      <c r="L964813" s="472"/>
      <c r="M964813" s="472"/>
    </row>
    <row r="964814" spans="12:13" x14ac:dyDescent="0.25">
      <c r="L964814" s="472"/>
      <c r="M964814" s="472"/>
    </row>
    <row r="964815" spans="12:13" x14ac:dyDescent="0.25">
      <c r="L964815" s="472"/>
      <c r="M964815" s="472"/>
    </row>
    <row r="964887" spans="12:13" x14ac:dyDescent="0.25">
      <c r="L964887" s="472"/>
      <c r="M964887" s="472"/>
    </row>
    <row r="964888" spans="12:13" x14ac:dyDescent="0.25">
      <c r="L964888" s="472"/>
      <c r="M964888" s="472"/>
    </row>
    <row r="964889" spans="12:13" x14ac:dyDescent="0.25">
      <c r="L964889" s="472"/>
      <c r="M964889" s="472"/>
    </row>
    <row r="964961" spans="12:13" x14ac:dyDescent="0.25">
      <c r="L964961" s="472"/>
      <c r="M964961" s="472"/>
    </row>
    <row r="964962" spans="12:13" x14ac:dyDescent="0.25">
      <c r="L964962" s="472"/>
      <c r="M964962" s="472"/>
    </row>
    <row r="964963" spans="12:13" x14ac:dyDescent="0.25">
      <c r="L964963" s="472"/>
      <c r="M964963" s="472"/>
    </row>
    <row r="965035" spans="12:13" x14ac:dyDescent="0.25">
      <c r="L965035" s="472"/>
      <c r="M965035" s="472"/>
    </row>
    <row r="965036" spans="12:13" x14ac:dyDescent="0.25">
      <c r="L965036" s="472"/>
      <c r="M965036" s="472"/>
    </row>
    <row r="965037" spans="12:13" x14ac:dyDescent="0.25">
      <c r="L965037" s="472"/>
      <c r="M965037" s="472"/>
    </row>
    <row r="965109" spans="12:13" x14ac:dyDescent="0.25">
      <c r="L965109" s="472"/>
      <c r="M965109" s="472"/>
    </row>
    <row r="965110" spans="12:13" x14ac:dyDescent="0.25">
      <c r="L965110" s="472"/>
      <c r="M965110" s="472"/>
    </row>
    <row r="965111" spans="12:13" x14ac:dyDescent="0.25">
      <c r="L965111" s="472"/>
      <c r="M965111" s="472"/>
    </row>
    <row r="965183" spans="12:13" x14ac:dyDescent="0.25">
      <c r="L965183" s="472"/>
      <c r="M965183" s="472"/>
    </row>
    <row r="965184" spans="12:13" x14ac:dyDescent="0.25">
      <c r="L965184" s="472"/>
      <c r="M965184" s="472"/>
    </row>
    <row r="965185" spans="12:13" x14ac:dyDescent="0.25">
      <c r="L965185" s="472"/>
      <c r="M965185" s="472"/>
    </row>
    <row r="965257" spans="12:13" x14ac:dyDescent="0.25">
      <c r="L965257" s="472"/>
      <c r="M965257" s="472"/>
    </row>
    <row r="965258" spans="12:13" x14ac:dyDescent="0.25">
      <c r="L965258" s="472"/>
      <c r="M965258" s="472"/>
    </row>
    <row r="965259" spans="12:13" x14ac:dyDescent="0.25">
      <c r="L965259" s="472"/>
      <c r="M965259" s="472"/>
    </row>
    <row r="965331" spans="12:13" x14ac:dyDescent="0.25">
      <c r="L965331" s="472"/>
      <c r="M965331" s="472"/>
    </row>
    <row r="965332" spans="12:13" x14ac:dyDescent="0.25">
      <c r="L965332" s="472"/>
      <c r="M965332" s="472"/>
    </row>
    <row r="965333" spans="12:13" x14ac:dyDescent="0.25">
      <c r="L965333" s="472"/>
      <c r="M965333" s="472"/>
    </row>
    <row r="965405" spans="12:13" x14ac:dyDescent="0.25">
      <c r="L965405" s="472"/>
      <c r="M965405" s="472"/>
    </row>
    <row r="965406" spans="12:13" x14ac:dyDescent="0.25">
      <c r="L965406" s="472"/>
      <c r="M965406" s="472"/>
    </row>
    <row r="965407" spans="12:13" x14ac:dyDescent="0.25">
      <c r="L965407" s="472"/>
      <c r="M965407" s="472"/>
    </row>
    <row r="965479" spans="12:13" x14ac:dyDescent="0.25">
      <c r="L965479" s="472"/>
      <c r="M965479" s="472"/>
    </row>
    <row r="965480" spans="12:13" x14ac:dyDescent="0.25">
      <c r="L965480" s="472"/>
      <c r="M965480" s="472"/>
    </row>
    <row r="965481" spans="12:13" x14ac:dyDescent="0.25">
      <c r="L965481" s="472"/>
      <c r="M965481" s="472"/>
    </row>
    <row r="965553" spans="12:13" x14ac:dyDescent="0.25">
      <c r="L965553" s="472"/>
      <c r="M965553" s="472"/>
    </row>
    <row r="965554" spans="12:13" x14ac:dyDescent="0.25">
      <c r="L965554" s="472"/>
      <c r="M965554" s="472"/>
    </row>
    <row r="965555" spans="12:13" x14ac:dyDescent="0.25">
      <c r="L965555" s="472"/>
      <c r="M965555" s="472"/>
    </row>
    <row r="965627" spans="12:13" x14ac:dyDescent="0.25">
      <c r="L965627" s="472"/>
      <c r="M965627" s="472"/>
    </row>
    <row r="965628" spans="12:13" x14ac:dyDescent="0.25">
      <c r="L965628" s="472"/>
      <c r="M965628" s="472"/>
    </row>
    <row r="965629" spans="12:13" x14ac:dyDescent="0.25">
      <c r="L965629" s="472"/>
      <c r="M965629" s="472"/>
    </row>
    <row r="965701" spans="12:13" x14ac:dyDescent="0.25">
      <c r="L965701" s="472"/>
      <c r="M965701" s="472"/>
    </row>
    <row r="965702" spans="12:13" x14ac:dyDescent="0.25">
      <c r="L965702" s="472"/>
      <c r="M965702" s="472"/>
    </row>
    <row r="965703" spans="12:13" x14ac:dyDescent="0.25">
      <c r="L965703" s="472"/>
      <c r="M965703" s="472"/>
    </row>
    <row r="965775" spans="12:13" x14ac:dyDescent="0.25">
      <c r="L965775" s="472"/>
      <c r="M965775" s="472"/>
    </row>
    <row r="965776" spans="12:13" x14ac:dyDescent="0.25">
      <c r="L965776" s="472"/>
      <c r="M965776" s="472"/>
    </row>
    <row r="965777" spans="12:13" x14ac:dyDescent="0.25">
      <c r="L965777" s="472"/>
      <c r="M965777" s="472"/>
    </row>
    <row r="965849" spans="12:13" x14ac:dyDescent="0.25">
      <c r="L965849" s="472"/>
      <c r="M965849" s="472"/>
    </row>
    <row r="965850" spans="12:13" x14ac:dyDescent="0.25">
      <c r="L965850" s="472"/>
      <c r="M965850" s="472"/>
    </row>
    <row r="965851" spans="12:13" x14ac:dyDescent="0.25">
      <c r="L965851" s="472"/>
      <c r="M965851" s="472"/>
    </row>
    <row r="965923" spans="12:13" x14ac:dyDescent="0.25">
      <c r="L965923" s="472"/>
      <c r="M965923" s="472"/>
    </row>
    <row r="965924" spans="12:13" x14ac:dyDescent="0.25">
      <c r="L965924" s="472"/>
      <c r="M965924" s="472"/>
    </row>
    <row r="965925" spans="12:13" x14ac:dyDescent="0.25">
      <c r="L965925" s="472"/>
      <c r="M965925" s="472"/>
    </row>
    <row r="965997" spans="12:13" x14ac:dyDescent="0.25">
      <c r="L965997" s="472"/>
      <c r="M965997" s="472"/>
    </row>
    <row r="965998" spans="12:13" x14ac:dyDescent="0.25">
      <c r="L965998" s="472"/>
      <c r="M965998" s="472"/>
    </row>
    <row r="965999" spans="12:13" x14ac:dyDescent="0.25">
      <c r="L965999" s="472"/>
      <c r="M965999" s="472"/>
    </row>
    <row r="966071" spans="12:13" x14ac:dyDescent="0.25">
      <c r="L966071" s="472"/>
      <c r="M966071" s="472"/>
    </row>
    <row r="966072" spans="12:13" x14ac:dyDescent="0.25">
      <c r="L966072" s="472"/>
      <c r="M966072" s="472"/>
    </row>
    <row r="966073" spans="12:13" x14ac:dyDescent="0.25">
      <c r="L966073" s="472"/>
      <c r="M966073" s="472"/>
    </row>
    <row r="966145" spans="12:13" x14ac:dyDescent="0.25">
      <c r="L966145" s="472"/>
      <c r="M966145" s="472"/>
    </row>
    <row r="966146" spans="12:13" x14ac:dyDescent="0.25">
      <c r="L966146" s="472"/>
      <c r="M966146" s="472"/>
    </row>
    <row r="966147" spans="12:13" x14ac:dyDescent="0.25">
      <c r="L966147" s="472"/>
      <c r="M966147" s="472"/>
    </row>
    <row r="966219" spans="12:13" x14ac:dyDescent="0.25">
      <c r="L966219" s="472"/>
      <c r="M966219" s="472"/>
    </row>
    <row r="966220" spans="12:13" x14ac:dyDescent="0.25">
      <c r="L966220" s="472"/>
      <c r="M966220" s="472"/>
    </row>
    <row r="966221" spans="12:13" x14ac:dyDescent="0.25">
      <c r="L966221" s="472"/>
      <c r="M966221" s="472"/>
    </row>
    <row r="966293" spans="12:13" x14ac:dyDescent="0.25">
      <c r="L966293" s="472"/>
      <c r="M966293" s="472"/>
    </row>
    <row r="966294" spans="12:13" x14ac:dyDescent="0.25">
      <c r="L966294" s="472"/>
      <c r="M966294" s="472"/>
    </row>
    <row r="966295" spans="12:13" x14ac:dyDescent="0.25">
      <c r="L966295" s="472"/>
      <c r="M966295" s="472"/>
    </row>
    <row r="966367" spans="12:13" x14ac:dyDescent="0.25">
      <c r="L966367" s="472"/>
      <c r="M966367" s="472"/>
    </row>
    <row r="966368" spans="12:13" x14ac:dyDescent="0.25">
      <c r="L966368" s="472"/>
      <c r="M966368" s="472"/>
    </row>
    <row r="966369" spans="12:13" x14ac:dyDescent="0.25">
      <c r="L966369" s="472"/>
      <c r="M966369" s="472"/>
    </row>
    <row r="966441" spans="12:13" x14ac:dyDescent="0.25">
      <c r="L966441" s="472"/>
      <c r="M966441" s="472"/>
    </row>
    <row r="966442" spans="12:13" x14ac:dyDescent="0.25">
      <c r="L966442" s="472"/>
      <c r="M966442" s="472"/>
    </row>
    <row r="966443" spans="12:13" x14ac:dyDescent="0.25">
      <c r="L966443" s="472"/>
      <c r="M966443" s="472"/>
    </row>
    <row r="966515" spans="12:13" x14ac:dyDescent="0.25">
      <c r="L966515" s="472"/>
      <c r="M966515" s="472"/>
    </row>
    <row r="966516" spans="12:13" x14ac:dyDescent="0.25">
      <c r="L966516" s="472"/>
      <c r="M966516" s="472"/>
    </row>
    <row r="966517" spans="12:13" x14ac:dyDescent="0.25">
      <c r="L966517" s="472"/>
      <c r="M966517" s="472"/>
    </row>
    <row r="966589" spans="12:13" x14ac:dyDescent="0.25">
      <c r="L966589" s="472"/>
      <c r="M966589" s="472"/>
    </row>
    <row r="966590" spans="12:13" x14ac:dyDescent="0.25">
      <c r="L966590" s="472"/>
      <c r="M966590" s="472"/>
    </row>
    <row r="966591" spans="12:13" x14ac:dyDescent="0.25">
      <c r="L966591" s="472"/>
      <c r="M966591" s="472"/>
    </row>
    <row r="966663" spans="12:13" x14ac:dyDescent="0.25">
      <c r="L966663" s="472"/>
      <c r="M966663" s="472"/>
    </row>
    <row r="966664" spans="12:13" x14ac:dyDescent="0.25">
      <c r="L966664" s="472"/>
      <c r="M966664" s="472"/>
    </row>
    <row r="966665" spans="12:13" x14ac:dyDescent="0.25">
      <c r="L966665" s="472"/>
      <c r="M966665" s="472"/>
    </row>
    <row r="966737" spans="12:13" x14ac:dyDescent="0.25">
      <c r="L966737" s="472"/>
      <c r="M966737" s="472"/>
    </row>
    <row r="966738" spans="12:13" x14ac:dyDescent="0.25">
      <c r="L966738" s="472"/>
      <c r="M966738" s="472"/>
    </row>
    <row r="966739" spans="12:13" x14ac:dyDescent="0.25">
      <c r="L966739" s="472"/>
      <c r="M966739" s="472"/>
    </row>
    <row r="966811" spans="12:13" x14ac:dyDescent="0.25">
      <c r="L966811" s="472"/>
      <c r="M966811" s="472"/>
    </row>
    <row r="966812" spans="12:13" x14ac:dyDescent="0.25">
      <c r="L966812" s="472"/>
      <c r="M966812" s="472"/>
    </row>
    <row r="966813" spans="12:13" x14ac:dyDescent="0.25">
      <c r="L966813" s="472"/>
      <c r="M966813" s="472"/>
    </row>
    <row r="966885" spans="12:13" x14ac:dyDescent="0.25">
      <c r="L966885" s="472"/>
      <c r="M966885" s="472"/>
    </row>
    <row r="966886" spans="12:13" x14ac:dyDescent="0.25">
      <c r="L966886" s="472"/>
      <c r="M966886" s="472"/>
    </row>
    <row r="966887" spans="12:13" x14ac:dyDescent="0.25">
      <c r="L966887" s="472"/>
      <c r="M966887" s="472"/>
    </row>
    <row r="966959" spans="12:13" x14ac:dyDescent="0.25">
      <c r="L966959" s="472"/>
      <c r="M966959" s="472"/>
    </row>
    <row r="966960" spans="12:13" x14ac:dyDescent="0.25">
      <c r="L966960" s="472"/>
      <c r="M966960" s="472"/>
    </row>
    <row r="966961" spans="12:13" x14ac:dyDescent="0.25">
      <c r="L966961" s="472"/>
      <c r="M966961" s="472"/>
    </row>
    <row r="967033" spans="12:13" x14ac:dyDescent="0.25">
      <c r="L967033" s="472"/>
      <c r="M967033" s="472"/>
    </row>
    <row r="967034" spans="12:13" x14ac:dyDescent="0.25">
      <c r="L967034" s="472"/>
      <c r="M967034" s="472"/>
    </row>
    <row r="967035" spans="12:13" x14ac:dyDescent="0.25">
      <c r="L967035" s="472"/>
      <c r="M967035" s="472"/>
    </row>
    <row r="967107" spans="12:13" x14ac:dyDescent="0.25">
      <c r="L967107" s="472"/>
      <c r="M967107" s="472"/>
    </row>
    <row r="967108" spans="12:13" x14ac:dyDescent="0.25">
      <c r="L967108" s="472"/>
      <c r="M967108" s="472"/>
    </row>
    <row r="967109" spans="12:13" x14ac:dyDescent="0.25">
      <c r="L967109" s="472"/>
      <c r="M967109" s="472"/>
    </row>
    <row r="967181" spans="12:13" x14ac:dyDescent="0.25">
      <c r="L967181" s="472"/>
      <c r="M967181" s="472"/>
    </row>
    <row r="967182" spans="12:13" x14ac:dyDescent="0.25">
      <c r="L967182" s="472"/>
      <c r="M967182" s="472"/>
    </row>
    <row r="967183" spans="12:13" x14ac:dyDescent="0.25">
      <c r="L967183" s="472"/>
      <c r="M967183" s="472"/>
    </row>
    <row r="967255" spans="12:13" x14ac:dyDescent="0.25">
      <c r="L967255" s="472"/>
      <c r="M967255" s="472"/>
    </row>
    <row r="967256" spans="12:13" x14ac:dyDescent="0.25">
      <c r="L967256" s="472"/>
      <c r="M967256" s="472"/>
    </row>
    <row r="967257" spans="12:13" x14ac:dyDescent="0.25">
      <c r="L967257" s="472"/>
      <c r="M967257" s="472"/>
    </row>
    <row r="967329" spans="12:13" x14ac:dyDescent="0.25">
      <c r="L967329" s="472"/>
      <c r="M967329" s="472"/>
    </row>
    <row r="967330" spans="12:13" x14ac:dyDescent="0.25">
      <c r="L967330" s="472"/>
      <c r="M967330" s="472"/>
    </row>
    <row r="967331" spans="12:13" x14ac:dyDescent="0.25">
      <c r="L967331" s="472"/>
      <c r="M967331" s="472"/>
    </row>
    <row r="967403" spans="12:13" x14ac:dyDescent="0.25">
      <c r="L967403" s="472"/>
      <c r="M967403" s="472"/>
    </row>
    <row r="967404" spans="12:13" x14ac:dyDescent="0.25">
      <c r="L967404" s="472"/>
      <c r="M967404" s="472"/>
    </row>
    <row r="967405" spans="12:13" x14ac:dyDescent="0.25">
      <c r="L967405" s="472"/>
      <c r="M967405" s="472"/>
    </row>
    <row r="967477" spans="12:13" x14ac:dyDescent="0.25">
      <c r="L967477" s="472"/>
      <c r="M967477" s="472"/>
    </row>
    <row r="967478" spans="12:13" x14ac:dyDescent="0.25">
      <c r="L967478" s="472"/>
      <c r="M967478" s="472"/>
    </row>
    <row r="967479" spans="12:13" x14ac:dyDescent="0.25">
      <c r="L967479" s="472"/>
      <c r="M967479" s="472"/>
    </row>
    <row r="967551" spans="12:13" x14ac:dyDescent="0.25">
      <c r="L967551" s="472"/>
      <c r="M967551" s="472"/>
    </row>
    <row r="967552" spans="12:13" x14ac:dyDescent="0.25">
      <c r="L967552" s="472"/>
      <c r="M967552" s="472"/>
    </row>
    <row r="967553" spans="12:13" x14ac:dyDescent="0.25">
      <c r="L967553" s="472"/>
      <c r="M967553" s="472"/>
    </row>
    <row r="967625" spans="12:13" x14ac:dyDescent="0.25">
      <c r="L967625" s="472"/>
      <c r="M967625" s="472"/>
    </row>
    <row r="967626" spans="12:13" x14ac:dyDescent="0.25">
      <c r="L967626" s="472"/>
      <c r="M967626" s="472"/>
    </row>
    <row r="967627" spans="12:13" x14ac:dyDescent="0.25">
      <c r="L967627" s="472"/>
      <c r="M967627" s="472"/>
    </row>
    <row r="967699" spans="12:13" x14ac:dyDescent="0.25">
      <c r="L967699" s="472"/>
      <c r="M967699" s="472"/>
    </row>
    <row r="967700" spans="12:13" x14ac:dyDescent="0.25">
      <c r="L967700" s="472"/>
      <c r="M967700" s="472"/>
    </row>
    <row r="967701" spans="12:13" x14ac:dyDescent="0.25">
      <c r="L967701" s="472"/>
      <c r="M967701" s="472"/>
    </row>
    <row r="967773" spans="12:13" x14ac:dyDescent="0.25">
      <c r="L967773" s="472"/>
      <c r="M967773" s="472"/>
    </row>
    <row r="967774" spans="12:13" x14ac:dyDescent="0.25">
      <c r="L967774" s="472"/>
      <c r="M967774" s="472"/>
    </row>
    <row r="967775" spans="12:13" x14ac:dyDescent="0.25">
      <c r="L967775" s="472"/>
      <c r="M967775" s="472"/>
    </row>
    <row r="967847" spans="12:13" x14ac:dyDescent="0.25">
      <c r="L967847" s="472"/>
      <c r="M967847" s="472"/>
    </row>
    <row r="967848" spans="12:13" x14ac:dyDescent="0.25">
      <c r="L967848" s="472"/>
      <c r="M967848" s="472"/>
    </row>
    <row r="967849" spans="12:13" x14ac:dyDescent="0.25">
      <c r="L967849" s="472"/>
      <c r="M967849" s="472"/>
    </row>
    <row r="967921" spans="12:13" x14ac:dyDescent="0.25">
      <c r="L967921" s="472"/>
      <c r="M967921" s="472"/>
    </row>
    <row r="967922" spans="12:13" x14ac:dyDescent="0.25">
      <c r="L967922" s="472"/>
      <c r="M967922" s="472"/>
    </row>
    <row r="967923" spans="12:13" x14ac:dyDescent="0.25">
      <c r="L967923" s="472"/>
      <c r="M967923" s="472"/>
    </row>
    <row r="967995" spans="12:13" x14ac:dyDescent="0.25">
      <c r="L967995" s="472"/>
      <c r="M967995" s="472"/>
    </row>
    <row r="967996" spans="12:13" x14ac:dyDescent="0.25">
      <c r="L967996" s="472"/>
      <c r="M967996" s="472"/>
    </row>
    <row r="967997" spans="12:13" x14ac:dyDescent="0.25">
      <c r="L967997" s="472"/>
      <c r="M967997" s="472"/>
    </row>
    <row r="968069" spans="12:13" x14ac:dyDescent="0.25">
      <c r="L968069" s="472"/>
      <c r="M968069" s="472"/>
    </row>
    <row r="968070" spans="12:13" x14ac:dyDescent="0.25">
      <c r="L968070" s="472"/>
      <c r="M968070" s="472"/>
    </row>
    <row r="968071" spans="12:13" x14ac:dyDescent="0.25">
      <c r="L968071" s="472"/>
      <c r="M968071" s="472"/>
    </row>
    <row r="968143" spans="12:13" x14ac:dyDescent="0.25">
      <c r="L968143" s="472"/>
      <c r="M968143" s="472"/>
    </row>
    <row r="968144" spans="12:13" x14ac:dyDescent="0.25">
      <c r="L968144" s="472"/>
      <c r="M968144" s="472"/>
    </row>
    <row r="968145" spans="12:13" x14ac:dyDescent="0.25">
      <c r="L968145" s="472"/>
      <c r="M968145" s="472"/>
    </row>
    <row r="968217" spans="12:13" x14ac:dyDescent="0.25">
      <c r="L968217" s="472"/>
      <c r="M968217" s="472"/>
    </row>
    <row r="968218" spans="12:13" x14ac:dyDescent="0.25">
      <c r="L968218" s="472"/>
      <c r="M968218" s="472"/>
    </row>
    <row r="968219" spans="12:13" x14ac:dyDescent="0.25">
      <c r="L968219" s="472"/>
      <c r="M968219" s="472"/>
    </row>
    <row r="968291" spans="12:13" x14ac:dyDescent="0.25">
      <c r="L968291" s="472"/>
      <c r="M968291" s="472"/>
    </row>
    <row r="968292" spans="12:13" x14ac:dyDescent="0.25">
      <c r="L968292" s="472"/>
      <c r="M968292" s="472"/>
    </row>
    <row r="968293" spans="12:13" x14ac:dyDescent="0.25">
      <c r="L968293" s="472"/>
      <c r="M968293" s="472"/>
    </row>
    <row r="968365" spans="12:13" x14ac:dyDescent="0.25">
      <c r="L968365" s="472"/>
      <c r="M968365" s="472"/>
    </row>
    <row r="968366" spans="12:13" x14ac:dyDescent="0.25">
      <c r="L968366" s="472"/>
      <c r="M968366" s="472"/>
    </row>
    <row r="968367" spans="12:13" x14ac:dyDescent="0.25">
      <c r="L968367" s="472"/>
      <c r="M968367" s="472"/>
    </row>
    <row r="968439" spans="12:13" x14ac:dyDescent="0.25">
      <c r="L968439" s="472"/>
      <c r="M968439" s="472"/>
    </row>
    <row r="968440" spans="12:13" x14ac:dyDescent="0.25">
      <c r="L968440" s="472"/>
      <c r="M968440" s="472"/>
    </row>
    <row r="968441" spans="12:13" x14ac:dyDescent="0.25">
      <c r="L968441" s="472"/>
      <c r="M968441" s="472"/>
    </row>
    <row r="968513" spans="12:13" x14ac:dyDescent="0.25">
      <c r="L968513" s="472"/>
      <c r="M968513" s="472"/>
    </row>
    <row r="968514" spans="12:13" x14ac:dyDescent="0.25">
      <c r="L968514" s="472"/>
      <c r="M968514" s="472"/>
    </row>
    <row r="968515" spans="12:13" x14ac:dyDescent="0.25">
      <c r="L968515" s="472"/>
      <c r="M968515" s="472"/>
    </row>
    <row r="968587" spans="12:13" x14ac:dyDescent="0.25">
      <c r="L968587" s="472"/>
      <c r="M968587" s="472"/>
    </row>
    <row r="968588" spans="12:13" x14ac:dyDescent="0.25">
      <c r="L968588" s="472"/>
      <c r="M968588" s="472"/>
    </row>
    <row r="968589" spans="12:13" x14ac:dyDescent="0.25">
      <c r="L968589" s="472"/>
      <c r="M968589" s="472"/>
    </row>
    <row r="968661" spans="12:13" x14ac:dyDescent="0.25">
      <c r="L968661" s="472"/>
      <c r="M968661" s="472"/>
    </row>
    <row r="968662" spans="12:13" x14ac:dyDescent="0.25">
      <c r="L968662" s="472"/>
      <c r="M968662" s="472"/>
    </row>
    <row r="968663" spans="12:13" x14ac:dyDescent="0.25">
      <c r="L968663" s="472"/>
      <c r="M968663" s="472"/>
    </row>
    <row r="968735" spans="12:13" x14ac:dyDescent="0.25">
      <c r="L968735" s="472"/>
      <c r="M968735" s="472"/>
    </row>
    <row r="968736" spans="12:13" x14ac:dyDescent="0.25">
      <c r="L968736" s="472"/>
      <c r="M968736" s="472"/>
    </row>
    <row r="968737" spans="12:13" x14ac:dyDescent="0.25">
      <c r="L968737" s="472"/>
      <c r="M968737" s="472"/>
    </row>
    <row r="968809" spans="12:13" x14ac:dyDescent="0.25">
      <c r="L968809" s="472"/>
      <c r="M968809" s="472"/>
    </row>
    <row r="968810" spans="12:13" x14ac:dyDescent="0.25">
      <c r="L968810" s="472"/>
      <c r="M968810" s="472"/>
    </row>
    <row r="968811" spans="12:13" x14ac:dyDescent="0.25">
      <c r="L968811" s="472"/>
      <c r="M968811" s="472"/>
    </row>
    <row r="968883" spans="12:13" x14ac:dyDescent="0.25">
      <c r="L968883" s="472"/>
      <c r="M968883" s="472"/>
    </row>
    <row r="968884" spans="12:13" x14ac:dyDescent="0.25">
      <c r="L968884" s="472"/>
      <c r="M968884" s="472"/>
    </row>
    <row r="968885" spans="12:13" x14ac:dyDescent="0.25">
      <c r="L968885" s="472"/>
      <c r="M968885" s="472"/>
    </row>
    <row r="968957" spans="12:13" x14ac:dyDescent="0.25">
      <c r="L968957" s="472"/>
      <c r="M968957" s="472"/>
    </row>
    <row r="968958" spans="12:13" x14ac:dyDescent="0.25">
      <c r="L968958" s="472"/>
      <c r="M968958" s="472"/>
    </row>
    <row r="968959" spans="12:13" x14ac:dyDescent="0.25">
      <c r="L968959" s="472"/>
      <c r="M968959" s="472"/>
    </row>
    <row r="969031" spans="12:13" x14ac:dyDescent="0.25">
      <c r="L969031" s="472"/>
      <c r="M969031" s="472"/>
    </row>
    <row r="969032" spans="12:13" x14ac:dyDescent="0.25">
      <c r="L969032" s="472"/>
      <c r="M969032" s="472"/>
    </row>
    <row r="969033" spans="12:13" x14ac:dyDescent="0.25">
      <c r="L969033" s="472"/>
      <c r="M969033" s="472"/>
    </row>
    <row r="969105" spans="12:13" x14ac:dyDescent="0.25">
      <c r="L969105" s="472"/>
      <c r="M969105" s="472"/>
    </row>
    <row r="969106" spans="12:13" x14ac:dyDescent="0.25">
      <c r="L969106" s="472"/>
      <c r="M969106" s="472"/>
    </row>
    <row r="969107" spans="12:13" x14ac:dyDescent="0.25">
      <c r="L969107" s="472"/>
      <c r="M969107" s="472"/>
    </row>
    <row r="969179" spans="12:13" x14ac:dyDescent="0.25">
      <c r="L969179" s="472"/>
      <c r="M969179" s="472"/>
    </row>
    <row r="969180" spans="12:13" x14ac:dyDescent="0.25">
      <c r="L969180" s="472"/>
      <c r="M969180" s="472"/>
    </row>
    <row r="969181" spans="12:13" x14ac:dyDescent="0.25">
      <c r="L969181" s="472"/>
      <c r="M969181" s="472"/>
    </row>
    <row r="969253" spans="12:13" x14ac:dyDescent="0.25">
      <c r="L969253" s="472"/>
      <c r="M969253" s="472"/>
    </row>
    <row r="969254" spans="12:13" x14ac:dyDescent="0.25">
      <c r="L969254" s="472"/>
      <c r="M969254" s="472"/>
    </row>
    <row r="969255" spans="12:13" x14ac:dyDescent="0.25">
      <c r="L969255" s="472"/>
      <c r="M969255" s="472"/>
    </row>
    <row r="969327" spans="12:13" x14ac:dyDescent="0.25">
      <c r="L969327" s="472"/>
      <c r="M969327" s="472"/>
    </row>
    <row r="969328" spans="12:13" x14ac:dyDescent="0.25">
      <c r="L969328" s="472"/>
      <c r="M969328" s="472"/>
    </row>
    <row r="969329" spans="12:13" x14ac:dyDescent="0.25">
      <c r="L969329" s="472"/>
      <c r="M969329" s="472"/>
    </row>
    <row r="969401" spans="12:13" x14ac:dyDescent="0.25">
      <c r="L969401" s="472"/>
      <c r="M969401" s="472"/>
    </row>
    <row r="969402" spans="12:13" x14ac:dyDescent="0.25">
      <c r="L969402" s="472"/>
      <c r="M969402" s="472"/>
    </row>
    <row r="969403" spans="12:13" x14ac:dyDescent="0.25">
      <c r="L969403" s="472"/>
      <c r="M969403" s="472"/>
    </row>
    <row r="969475" spans="12:13" x14ac:dyDescent="0.25">
      <c r="L969475" s="472"/>
      <c r="M969475" s="472"/>
    </row>
    <row r="969476" spans="12:13" x14ac:dyDescent="0.25">
      <c r="L969476" s="472"/>
      <c r="M969476" s="472"/>
    </row>
    <row r="969477" spans="12:13" x14ac:dyDescent="0.25">
      <c r="L969477" s="472"/>
      <c r="M969477" s="472"/>
    </row>
    <row r="969549" spans="12:13" x14ac:dyDescent="0.25">
      <c r="L969549" s="472"/>
      <c r="M969549" s="472"/>
    </row>
    <row r="969550" spans="12:13" x14ac:dyDescent="0.25">
      <c r="L969550" s="472"/>
      <c r="M969550" s="472"/>
    </row>
    <row r="969551" spans="12:13" x14ac:dyDescent="0.25">
      <c r="L969551" s="472"/>
      <c r="M969551" s="472"/>
    </row>
    <row r="969623" spans="12:13" x14ac:dyDescent="0.25">
      <c r="L969623" s="472"/>
      <c r="M969623" s="472"/>
    </row>
    <row r="969624" spans="12:13" x14ac:dyDescent="0.25">
      <c r="L969624" s="472"/>
      <c r="M969624" s="472"/>
    </row>
    <row r="969625" spans="12:13" x14ac:dyDescent="0.25">
      <c r="L969625" s="472"/>
      <c r="M969625" s="472"/>
    </row>
    <row r="969697" spans="12:13" x14ac:dyDescent="0.25">
      <c r="L969697" s="472"/>
      <c r="M969697" s="472"/>
    </row>
    <row r="969698" spans="12:13" x14ac:dyDescent="0.25">
      <c r="L969698" s="472"/>
      <c r="M969698" s="472"/>
    </row>
    <row r="969699" spans="12:13" x14ac:dyDescent="0.25">
      <c r="L969699" s="472"/>
      <c r="M969699" s="472"/>
    </row>
    <row r="969771" spans="12:13" x14ac:dyDescent="0.25">
      <c r="L969771" s="472"/>
      <c r="M969771" s="472"/>
    </row>
    <row r="969772" spans="12:13" x14ac:dyDescent="0.25">
      <c r="L969772" s="472"/>
      <c r="M969772" s="472"/>
    </row>
    <row r="969773" spans="12:13" x14ac:dyDescent="0.25">
      <c r="L969773" s="472"/>
      <c r="M969773" s="472"/>
    </row>
    <row r="969845" spans="12:13" x14ac:dyDescent="0.25">
      <c r="L969845" s="472"/>
      <c r="M969845" s="472"/>
    </row>
    <row r="969846" spans="12:13" x14ac:dyDescent="0.25">
      <c r="L969846" s="472"/>
      <c r="M969846" s="472"/>
    </row>
    <row r="969847" spans="12:13" x14ac:dyDescent="0.25">
      <c r="L969847" s="472"/>
      <c r="M969847" s="472"/>
    </row>
    <row r="969919" spans="12:13" x14ac:dyDescent="0.25">
      <c r="L969919" s="472"/>
      <c r="M969919" s="472"/>
    </row>
    <row r="969920" spans="12:13" x14ac:dyDescent="0.25">
      <c r="L969920" s="472"/>
      <c r="M969920" s="472"/>
    </row>
    <row r="969921" spans="12:13" x14ac:dyDescent="0.25">
      <c r="L969921" s="472"/>
      <c r="M969921" s="472"/>
    </row>
    <row r="969993" spans="12:13" x14ac:dyDescent="0.25">
      <c r="L969993" s="472"/>
      <c r="M969993" s="472"/>
    </row>
    <row r="969994" spans="12:13" x14ac:dyDescent="0.25">
      <c r="L969994" s="472"/>
      <c r="M969994" s="472"/>
    </row>
    <row r="969995" spans="12:13" x14ac:dyDescent="0.25">
      <c r="L969995" s="472"/>
      <c r="M969995" s="472"/>
    </row>
    <row r="970067" spans="12:13" x14ac:dyDescent="0.25">
      <c r="L970067" s="472"/>
      <c r="M970067" s="472"/>
    </row>
    <row r="970068" spans="12:13" x14ac:dyDescent="0.25">
      <c r="L970068" s="472"/>
      <c r="M970068" s="472"/>
    </row>
    <row r="970069" spans="12:13" x14ac:dyDescent="0.25">
      <c r="L970069" s="472"/>
      <c r="M970069" s="472"/>
    </row>
    <row r="970141" spans="12:13" x14ac:dyDescent="0.25">
      <c r="L970141" s="472"/>
      <c r="M970141" s="472"/>
    </row>
    <row r="970142" spans="12:13" x14ac:dyDescent="0.25">
      <c r="L970142" s="472"/>
      <c r="M970142" s="472"/>
    </row>
    <row r="970143" spans="12:13" x14ac:dyDescent="0.25">
      <c r="L970143" s="472"/>
      <c r="M970143" s="472"/>
    </row>
    <row r="970215" spans="12:13" x14ac:dyDescent="0.25">
      <c r="L970215" s="472"/>
      <c r="M970215" s="472"/>
    </row>
    <row r="970216" spans="12:13" x14ac:dyDescent="0.25">
      <c r="L970216" s="472"/>
      <c r="M970216" s="472"/>
    </row>
    <row r="970217" spans="12:13" x14ac:dyDescent="0.25">
      <c r="L970217" s="472"/>
      <c r="M970217" s="472"/>
    </row>
    <row r="970289" spans="12:13" x14ac:dyDescent="0.25">
      <c r="L970289" s="472"/>
      <c r="M970289" s="472"/>
    </row>
    <row r="970290" spans="12:13" x14ac:dyDescent="0.25">
      <c r="L970290" s="472"/>
      <c r="M970290" s="472"/>
    </row>
    <row r="970291" spans="12:13" x14ac:dyDescent="0.25">
      <c r="L970291" s="472"/>
      <c r="M970291" s="472"/>
    </row>
    <row r="970363" spans="12:13" x14ac:dyDescent="0.25">
      <c r="L970363" s="472"/>
      <c r="M970363" s="472"/>
    </row>
    <row r="970364" spans="12:13" x14ac:dyDescent="0.25">
      <c r="L970364" s="472"/>
      <c r="M970364" s="472"/>
    </row>
    <row r="970365" spans="12:13" x14ac:dyDescent="0.25">
      <c r="L970365" s="472"/>
      <c r="M970365" s="472"/>
    </row>
    <row r="970437" spans="12:13" x14ac:dyDescent="0.25">
      <c r="L970437" s="472"/>
      <c r="M970437" s="472"/>
    </row>
    <row r="970438" spans="12:13" x14ac:dyDescent="0.25">
      <c r="L970438" s="472"/>
      <c r="M970438" s="472"/>
    </row>
    <row r="970439" spans="12:13" x14ac:dyDescent="0.25">
      <c r="L970439" s="472"/>
      <c r="M970439" s="472"/>
    </row>
    <row r="970511" spans="12:13" x14ac:dyDescent="0.25">
      <c r="L970511" s="472"/>
      <c r="M970511" s="472"/>
    </row>
    <row r="970512" spans="12:13" x14ac:dyDescent="0.25">
      <c r="L970512" s="472"/>
      <c r="M970512" s="472"/>
    </row>
    <row r="970513" spans="12:13" x14ac:dyDescent="0.25">
      <c r="L970513" s="472"/>
      <c r="M970513" s="472"/>
    </row>
    <row r="970585" spans="12:13" x14ac:dyDescent="0.25">
      <c r="L970585" s="472"/>
      <c r="M970585" s="472"/>
    </row>
    <row r="970586" spans="12:13" x14ac:dyDescent="0.25">
      <c r="L970586" s="472"/>
      <c r="M970586" s="472"/>
    </row>
    <row r="970587" spans="12:13" x14ac:dyDescent="0.25">
      <c r="L970587" s="472"/>
      <c r="M970587" s="472"/>
    </row>
    <row r="970659" spans="12:13" x14ac:dyDescent="0.25">
      <c r="L970659" s="472"/>
      <c r="M970659" s="472"/>
    </row>
    <row r="970660" spans="12:13" x14ac:dyDescent="0.25">
      <c r="L970660" s="472"/>
      <c r="M970660" s="472"/>
    </row>
    <row r="970661" spans="12:13" x14ac:dyDescent="0.25">
      <c r="L970661" s="472"/>
      <c r="M970661" s="472"/>
    </row>
    <row r="970733" spans="12:13" x14ac:dyDescent="0.25">
      <c r="L970733" s="472"/>
      <c r="M970733" s="472"/>
    </row>
    <row r="970734" spans="12:13" x14ac:dyDescent="0.25">
      <c r="L970734" s="472"/>
      <c r="M970734" s="472"/>
    </row>
    <row r="970735" spans="12:13" x14ac:dyDescent="0.25">
      <c r="L970735" s="472"/>
      <c r="M970735" s="472"/>
    </row>
    <row r="970807" spans="12:13" x14ac:dyDescent="0.25">
      <c r="L970807" s="472"/>
      <c r="M970807" s="472"/>
    </row>
    <row r="970808" spans="12:13" x14ac:dyDescent="0.25">
      <c r="L970808" s="472"/>
      <c r="M970808" s="472"/>
    </row>
    <row r="970809" spans="12:13" x14ac:dyDescent="0.25">
      <c r="L970809" s="472"/>
      <c r="M970809" s="472"/>
    </row>
    <row r="970881" spans="12:13" x14ac:dyDescent="0.25">
      <c r="L970881" s="472"/>
      <c r="M970881" s="472"/>
    </row>
    <row r="970882" spans="12:13" x14ac:dyDescent="0.25">
      <c r="L970882" s="472"/>
      <c r="M970882" s="472"/>
    </row>
    <row r="970883" spans="12:13" x14ac:dyDescent="0.25">
      <c r="L970883" s="472"/>
      <c r="M970883" s="472"/>
    </row>
    <row r="970955" spans="12:13" x14ac:dyDescent="0.25">
      <c r="L970955" s="472"/>
      <c r="M970955" s="472"/>
    </row>
    <row r="970956" spans="12:13" x14ac:dyDescent="0.25">
      <c r="L970956" s="472"/>
      <c r="M970956" s="472"/>
    </row>
    <row r="970957" spans="12:13" x14ac:dyDescent="0.25">
      <c r="L970957" s="472"/>
      <c r="M970957" s="472"/>
    </row>
    <row r="971029" spans="12:13" x14ac:dyDescent="0.25">
      <c r="L971029" s="472"/>
      <c r="M971029" s="472"/>
    </row>
    <row r="971030" spans="12:13" x14ac:dyDescent="0.25">
      <c r="L971030" s="472"/>
      <c r="M971030" s="472"/>
    </row>
    <row r="971031" spans="12:13" x14ac:dyDescent="0.25">
      <c r="L971031" s="472"/>
      <c r="M971031" s="472"/>
    </row>
    <row r="971103" spans="12:13" x14ac:dyDescent="0.25">
      <c r="L971103" s="472"/>
      <c r="M971103" s="472"/>
    </row>
    <row r="971104" spans="12:13" x14ac:dyDescent="0.25">
      <c r="L971104" s="472"/>
      <c r="M971104" s="472"/>
    </row>
    <row r="971105" spans="12:13" x14ac:dyDescent="0.25">
      <c r="L971105" s="472"/>
      <c r="M971105" s="472"/>
    </row>
    <row r="971177" spans="12:13" x14ac:dyDescent="0.25">
      <c r="L971177" s="472"/>
      <c r="M971177" s="472"/>
    </row>
    <row r="971178" spans="12:13" x14ac:dyDescent="0.25">
      <c r="L971178" s="472"/>
      <c r="M971178" s="472"/>
    </row>
    <row r="971179" spans="12:13" x14ac:dyDescent="0.25">
      <c r="L971179" s="472"/>
      <c r="M971179" s="472"/>
    </row>
    <row r="971251" spans="12:13" x14ac:dyDescent="0.25">
      <c r="L971251" s="472"/>
      <c r="M971251" s="472"/>
    </row>
    <row r="971252" spans="12:13" x14ac:dyDescent="0.25">
      <c r="L971252" s="472"/>
      <c r="M971252" s="472"/>
    </row>
    <row r="971253" spans="12:13" x14ac:dyDescent="0.25">
      <c r="L971253" s="472"/>
      <c r="M971253" s="472"/>
    </row>
    <row r="971325" spans="12:13" x14ac:dyDescent="0.25">
      <c r="L971325" s="472"/>
      <c r="M971325" s="472"/>
    </row>
    <row r="971326" spans="12:13" x14ac:dyDescent="0.25">
      <c r="L971326" s="472"/>
      <c r="M971326" s="472"/>
    </row>
    <row r="971327" spans="12:13" x14ac:dyDescent="0.25">
      <c r="L971327" s="472"/>
      <c r="M971327" s="472"/>
    </row>
    <row r="971399" spans="12:13" x14ac:dyDescent="0.25">
      <c r="L971399" s="472"/>
      <c r="M971399" s="472"/>
    </row>
    <row r="971400" spans="12:13" x14ac:dyDescent="0.25">
      <c r="L971400" s="472"/>
      <c r="M971400" s="472"/>
    </row>
    <row r="971401" spans="12:13" x14ac:dyDescent="0.25">
      <c r="L971401" s="472"/>
      <c r="M971401" s="472"/>
    </row>
    <row r="971473" spans="12:13" x14ac:dyDescent="0.25">
      <c r="L971473" s="472"/>
      <c r="M971473" s="472"/>
    </row>
    <row r="971474" spans="12:13" x14ac:dyDescent="0.25">
      <c r="L971474" s="472"/>
      <c r="M971474" s="472"/>
    </row>
    <row r="971475" spans="12:13" x14ac:dyDescent="0.25">
      <c r="L971475" s="472"/>
      <c r="M971475" s="472"/>
    </row>
    <row r="971547" spans="12:13" x14ac:dyDescent="0.25">
      <c r="L971547" s="472"/>
      <c r="M971547" s="472"/>
    </row>
    <row r="971548" spans="12:13" x14ac:dyDescent="0.25">
      <c r="L971548" s="472"/>
      <c r="M971548" s="472"/>
    </row>
    <row r="971549" spans="12:13" x14ac:dyDescent="0.25">
      <c r="L971549" s="472"/>
      <c r="M971549" s="472"/>
    </row>
    <row r="971621" spans="12:13" x14ac:dyDescent="0.25">
      <c r="L971621" s="472"/>
      <c r="M971621" s="472"/>
    </row>
    <row r="971622" spans="12:13" x14ac:dyDescent="0.25">
      <c r="L971622" s="472"/>
      <c r="M971622" s="472"/>
    </row>
    <row r="971623" spans="12:13" x14ac:dyDescent="0.25">
      <c r="L971623" s="472"/>
      <c r="M971623" s="472"/>
    </row>
    <row r="971695" spans="12:13" x14ac:dyDescent="0.25">
      <c r="L971695" s="472"/>
      <c r="M971695" s="472"/>
    </row>
    <row r="971696" spans="12:13" x14ac:dyDescent="0.25">
      <c r="L971696" s="472"/>
      <c r="M971696" s="472"/>
    </row>
    <row r="971697" spans="12:13" x14ac:dyDescent="0.25">
      <c r="L971697" s="472"/>
      <c r="M971697" s="472"/>
    </row>
    <row r="971769" spans="12:13" x14ac:dyDescent="0.25">
      <c r="L971769" s="472"/>
      <c r="M971769" s="472"/>
    </row>
    <row r="971770" spans="12:13" x14ac:dyDescent="0.25">
      <c r="L971770" s="472"/>
      <c r="M971770" s="472"/>
    </row>
    <row r="971771" spans="12:13" x14ac:dyDescent="0.25">
      <c r="L971771" s="472"/>
      <c r="M971771" s="472"/>
    </row>
    <row r="971843" spans="12:13" x14ac:dyDescent="0.25">
      <c r="L971843" s="472"/>
      <c r="M971843" s="472"/>
    </row>
    <row r="971844" spans="12:13" x14ac:dyDescent="0.25">
      <c r="L971844" s="472"/>
      <c r="M971844" s="472"/>
    </row>
    <row r="971845" spans="12:13" x14ac:dyDescent="0.25">
      <c r="L971845" s="472"/>
      <c r="M971845" s="472"/>
    </row>
    <row r="971917" spans="12:13" x14ac:dyDescent="0.25">
      <c r="L971917" s="472"/>
      <c r="M971917" s="472"/>
    </row>
    <row r="971918" spans="12:13" x14ac:dyDescent="0.25">
      <c r="L971918" s="472"/>
      <c r="M971918" s="472"/>
    </row>
    <row r="971919" spans="12:13" x14ac:dyDescent="0.25">
      <c r="L971919" s="472"/>
      <c r="M971919" s="472"/>
    </row>
    <row r="971991" spans="12:13" x14ac:dyDescent="0.25">
      <c r="L971991" s="472"/>
      <c r="M971991" s="472"/>
    </row>
    <row r="971992" spans="12:13" x14ac:dyDescent="0.25">
      <c r="L971992" s="472"/>
      <c r="M971992" s="472"/>
    </row>
    <row r="971993" spans="12:13" x14ac:dyDescent="0.25">
      <c r="L971993" s="472"/>
      <c r="M971993" s="472"/>
    </row>
    <row r="972065" spans="12:13" x14ac:dyDescent="0.25">
      <c r="L972065" s="472"/>
      <c r="M972065" s="472"/>
    </row>
    <row r="972066" spans="12:13" x14ac:dyDescent="0.25">
      <c r="L972066" s="472"/>
      <c r="M972066" s="472"/>
    </row>
    <row r="972067" spans="12:13" x14ac:dyDescent="0.25">
      <c r="L972067" s="472"/>
      <c r="M972067" s="472"/>
    </row>
    <row r="972139" spans="12:13" x14ac:dyDescent="0.25">
      <c r="L972139" s="472"/>
      <c r="M972139" s="472"/>
    </row>
    <row r="972140" spans="12:13" x14ac:dyDescent="0.25">
      <c r="L972140" s="472"/>
      <c r="M972140" s="472"/>
    </row>
    <row r="972141" spans="12:13" x14ac:dyDescent="0.25">
      <c r="L972141" s="472"/>
      <c r="M972141" s="472"/>
    </row>
    <row r="972213" spans="12:13" x14ac:dyDescent="0.25">
      <c r="L972213" s="472"/>
      <c r="M972213" s="472"/>
    </row>
    <row r="972214" spans="12:13" x14ac:dyDescent="0.25">
      <c r="L972214" s="472"/>
      <c r="M972214" s="472"/>
    </row>
    <row r="972215" spans="12:13" x14ac:dyDescent="0.25">
      <c r="L972215" s="472"/>
      <c r="M972215" s="472"/>
    </row>
    <row r="972287" spans="12:13" x14ac:dyDescent="0.25">
      <c r="L972287" s="472"/>
      <c r="M972287" s="472"/>
    </row>
    <row r="972288" spans="12:13" x14ac:dyDescent="0.25">
      <c r="L972288" s="472"/>
      <c r="M972288" s="472"/>
    </row>
    <row r="972289" spans="12:13" x14ac:dyDescent="0.25">
      <c r="L972289" s="472"/>
      <c r="M972289" s="472"/>
    </row>
    <row r="972361" spans="12:13" x14ac:dyDescent="0.25">
      <c r="L972361" s="472"/>
      <c r="M972361" s="472"/>
    </row>
    <row r="972362" spans="12:13" x14ac:dyDescent="0.25">
      <c r="L972362" s="472"/>
      <c r="M972362" s="472"/>
    </row>
    <row r="972363" spans="12:13" x14ac:dyDescent="0.25">
      <c r="L972363" s="472"/>
      <c r="M972363" s="472"/>
    </row>
    <row r="972435" spans="12:13" x14ac:dyDescent="0.25">
      <c r="L972435" s="472"/>
      <c r="M972435" s="472"/>
    </row>
    <row r="972436" spans="12:13" x14ac:dyDescent="0.25">
      <c r="L972436" s="472"/>
      <c r="M972436" s="472"/>
    </row>
    <row r="972437" spans="12:13" x14ac:dyDescent="0.25">
      <c r="L972437" s="472"/>
      <c r="M972437" s="472"/>
    </row>
    <row r="972509" spans="12:13" x14ac:dyDescent="0.25">
      <c r="L972509" s="472"/>
      <c r="M972509" s="472"/>
    </row>
    <row r="972510" spans="12:13" x14ac:dyDescent="0.25">
      <c r="L972510" s="472"/>
      <c r="M972510" s="472"/>
    </row>
    <row r="972511" spans="12:13" x14ac:dyDescent="0.25">
      <c r="L972511" s="472"/>
      <c r="M972511" s="472"/>
    </row>
    <row r="972583" spans="12:13" x14ac:dyDescent="0.25">
      <c r="L972583" s="472"/>
      <c r="M972583" s="472"/>
    </row>
    <row r="972584" spans="12:13" x14ac:dyDescent="0.25">
      <c r="L972584" s="472"/>
      <c r="M972584" s="472"/>
    </row>
    <row r="972585" spans="12:13" x14ac:dyDescent="0.25">
      <c r="L972585" s="472"/>
      <c r="M972585" s="472"/>
    </row>
    <row r="972657" spans="12:13" x14ac:dyDescent="0.25">
      <c r="L972657" s="472"/>
      <c r="M972657" s="472"/>
    </row>
    <row r="972658" spans="12:13" x14ac:dyDescent="0.25">
      <c r="L972658" s="472"/>
      <c r="M972658" s="472"/>
    </row>
    <row r="972659" spans="12:13" x14ac:dyDescent="0.25">
      <c r="L972659" s="472"/>
      <c r="M972659" s="472"/>
    </row>
    <row r="972731" spans="12:13" x14ac:dyDescent="0.25">
      <c r="L972731" s="472"/>
      <c r="M972731" s="472"/>
    </row>
    <row r="972732" spans="12:13" x14ac:dyDescent="0.25">
      <c r="L972732" s="472"/>
      <c r="M972732" s="472"/>
    </row>
    <row r="972733" spans="12:13" x14ac:dyDescent="0.25">
      <c r="L972733" s="472"/>
      <c r="M972733" s="472"/>
    </row>
    <row r="972805" spans="12:13" x14ac:dyDescent="0.25">
      <c r="L972805" s="472"/>
      <c r="M972805" s="472"/>
    </row>
    <row r="972806" spans="12:13" x14ac:dyDescent="0.25">
      <c r="L972806" s="472"/>
      <c r="M972806" s="472"/>
    </row>
    <row r="972807" spans="12:13" x14ac:dyDescent="0.25">
      <c r="L972807" s="472"/>
      <c r="M972807" s="472"/>
    </row>
    <row r="972879" spans="12:13" x14ac:dyDescent="0.25">
      <c r="L972879" s="472"/>
      <c r="M972879" s="472"/>
    </row>
    <row r="972880" spans="12:13" x14ac:dyDescent="0.25">
      <c r="L972880" s="472"/>
      <c r="M972880" s="472"/>
    </row>
    <row r="972881" spans="12:13" x14ac:dyDescent="0.25">
      <c r="L972881" s="472"/>
      <c r="M972881" s="472"/>
    </row>
    <row r="972953" spans="12:13" x14ac:dyDescent="0.25">
      <c r="L972953" s="472"/>
      <c r="M972953" s="472"/>
    </row>
    <row r="972954" spans="12:13" x14ac:dyDescent="0.25">
      <c r="L972954" s="472"/>
      <c r="M972954" s="472"/>
    </row>
    <row r="972955" spans="12:13" x14ac:dyDescent="0.25">
      <c r="L972955" s="472"/>
      <c r="M972955" s="472"/>
    </row>
    <row r="973027" spans="12:13" x14ac:dyDescent="0.25">
      <c r="L973027" s="472"/>
      <c r="M973027" s="472"/>
    </row>
    <row r="973028" spans="12:13" x14ac:dyDescent="0.25">
      <c r="L973028" s="472"/>
      <c r="M973028" s="472"/>
    </row>
    <row r="973029" spans="12:13" x14ac:dyDescent="0.25">
      <c r="L973029" s="472"/>
      <c r="M973029" s="472"/>
    </row>
    <row r="973101" spans="12:13" x14ac:dyDescent="0.25">
      <c r="L973101" s="472"/>
      <c r="M973101" s="472"/>
    </row>
    <row r="973102" spans="12:13" x14ac:dyDescent="0.25">
      <c r="L973102" s="472"/>
      <c r="M973102" s="472"/>
    </row>
    <row r="973103" spans="12:13" x14ac:dyDescent="0.25">
      <c r="L973103" s="472"/>
      <c r="M973103" s="472"/>
    </row>
    <row r="973175" spans="12:13" x14ac:dyDescent="0.25">
      <c r="L973175" s="472"/>
      <c r="M973175" s="472"/>
    </row>
    <row r="973176" spans="12:13" x14ac:dyDescent="0.25">
      <c r="L973176" s="472"/>
      <c r="M973176" s="472"/>
    </row>
    <row r="973177" spans="12:13" x14ac:dyDescent="0.25">
      <c r="L973177" s="472"/>
      <c r="M973177" s="472"/>
    </row>
    <row r="973249" spans="12:13" x14ac:dyDescent="0.25">
      <c r="L973249" s="472"/>
      <c r="M973249" s="472"/>
    </row>
    <row r="973250" spans="12:13" x14ac:dyDescent="0.25">
      <c r="L973250" s="472"/>
      <c r="M973250" s="472"/>
    </row>
    <row r="973251" spans="12:13" x14ac:dyDescent="0.25">
      <c r="L973251" s="472"/>
      <c r="M973251" s="472"/>
    </row>
    <row r="973323" spans="12:13" x14ac:dyDescent="0.25">
      <c r="L973323" s="472"/>
      <c r="M973323" s="472"/>
    </row>
    <row r="973324" spans="12:13" x14ac:dyDescent="0.25">
      <c r="L973324" s="472"/>
      <c r="M973324" s="472"/>
    </row>
    <row r="973325" spans="12:13" x14ac:dyDescent="0.25">
      <c r="L973325" s="472"/>
      <c r="M973325" s="472"/>
    </row>
    <row r="973397" spans="12:13" x14ac:dyDescent="0.25">
      <c r="L973397" s="472"/>
      <c r="M973397" s="472"/>
    </row>
    <row r="973398" spans="12:13" x14ac:dyDescent="0.25">
      <c r="L973398" s="472"/>
      <c r="M973398" s="472"/>
    </row>
    <row r="973399" spans="12:13" x14ac:dyDescent="0.25">
      <c r="L973399" s="472"/>
      <c r="M973399" s="472"/>
    </row>
    <row r="973471" spans="12:13" x14ac:dyDescent="0.25">
      <c r="L973471" s="472"/>
      <c r="M973471" s="472"/>
    </row>
    <row r="973472" spans="12:13" x14ac:dyDescent="0.25">
      <c r="L973472" s="472"/>
      <c r="M973472" s="472"/>
    </row>
    <row r="973473" spans="12:13" x14ac:dyDescent="0.25">
      <c r="L973473" s="472"/>
      <c r="M973473" s="472"/>
    </row>
    <row r="973545" spans="12:13" x14ac:dyDescent="0.25">
      <c r="L973545" s="472"/>
      <c r="M973545" s="472"/>
    </row>
    <row r="973546" spans="12:13" x14ac:dyDescent="0.25">
      <c r="L973546" s="472"/>
      <c r="M973546" s="472"/>
    </row>
    <row r="973547" spans="12:13" x14ac:dyDescent="0.25">
      <c r="L973547" s="472"/>
      <c r="M973547" s="472"/>
    </row>
    <row r="973619" spans="12:13" x14ac:dyDescent="0.25">
      <c r="L973619" s="472"/>
      <c r="M973619" s="472"/>
    </row>
    <row r="973620" spans="12:13" x14ac:dyDescent="0.25">
      <c r="L973620" s="472"/>
      <c r="M973620" s="472"/>
    </row>
    <row r="973621" spans="12:13" x14ac:dyDescent="0.25">
      <c r="L973621" s="472"/>
      <c r="M973621" s="472"/>
    </row>
    <row r="973693" spans="12:13" x14ac:dyDescent="0.25">
      <c r="L973693" s="472"/>
      <c r="M973693" s="472"/>
    </row>
    <row r="973694" spans="12:13" x14ac:dyDescent="0.25">
      <c r="L973694" s="472"/>
      <c r="M973694" s="472"/>
    </row>
    <row r="973695" spans="12:13" x14ac:dyDescent="0.25">
      <c r="L973695" s="472"/>
      <c r="M973695" s="472"/>
    </row>
    <row r="973767" spans="12:13" x14ac:dyDescent="0.25">
      <c r="L973767" s="472"/>
      <c r="M973767" s="472"/>
    </row>
    <row r="973768" spans="12:13" x14ac:dyDescent="0.25">
      <c r="L973768" s="472"/>
      <c r="M973768" s="472"/>
    </row>
    <row r="973769" spans="12:13" x14ac:dyDescent="0.25">
      <c r="L973769" s="472"/>
      <c r="M973769" s="472"/>
    </row>
    <row r="973841" spans="12:13" x14ac:dyDescent="0.25">
      <c r="L973841" s="472"/>
      <c r="M973841" s="472"/>
    </row>
    <row r="973842" spans="12:13" x14ac:dyDescent="0.25">
      <c r="L973842" s="472"/>
      <c r="M973842" s="472"/>
    </row>
    <row r="973843" spans="12:13" x14ac:dyDescent="0.25">
      <c r="L973843" s="472"/>
      <c r="M973843" s="472"/>
    </row>
    <row r="973915" spans="12:13" x14ac:dyDescent="0.25">
      <c r="L973915" s="472"/>
      <c r="M973915" s="472"/>
    </row>
    <row r="973916" spans="12:13" x14ac:dyDescent="0.25">
      <c r="L973916" s="472"/>
      <c r="M973916" s="472"/>
    </row>
    <row r="973917" spans="12:13" x14ac:dyDescent="0.25">
      <c r="L973917" s="472"/>
      <c r="M973917" s="472"/>
    </row>
    <row r="973989" spans="12:13" x14ac:dyDescent="0.25">
      <c r="L973989" s="472"/>
      <c r="M973989" s="472"/>
    </row>
    <row r="973990" spans="12:13" x14ac:dyDescent="0.25">
      <c r="L973990" s="472"/>
      <c r="M973990" s="472"/>
    </row>
    <row r="973991" spans="12:13" x14ac:dyDescent="0.25">
      <c r="L973991" s="472"/>
      <c r="M973991" s="472"/>
    </row>
    <row r="974063" spans="12:13" x14ac:dyDescent="0.25">
      <c r="L974063" s="472"/>
      <c r="M974063" s="472"/>
    </row>
    <row r="974064" spans="12:13" x14ac:dyDescent="0.25">
      <c r="L974064" s="472"/>
      <c r="M974064" s="472"/>
    </row>
    <row r="974065" spans="12:13" x14ac:dyDescent="0.25">
      <c r="L974065" s="472"/>
      <c r="M974065" s="472"/>
    </row>
    <row r="974137" spans="12:13" x14ac:dyDescent="0.25">
      <c r="L974137" s="472"/>
      <c r="M974137" s="472"/>
    </row>
    <row r="974138" spans="12:13" x14ac:dyDescent="0.25">
      <c r="L974138" s="472"/>
      <c r="M974138" s="472"/>
    </row>
    <row r="974139" spans="12:13" x14ac:dyDescent="0.25">
      <c r="L974139" s="472"/>
      <c r="M974139" s="472"/>
    </row>
    <row r="974211" spans="12:13" x14ac:dyDescent="0.25">
      <c r="L974211" s="472"/>
      <c r="M974211" s="472"/>
    </row>
    <row r="974212" spans="12:13" x14ac:dyDescent="0.25">
      <c r="L974212" s="472"/>
      <c r="M974212" s="472"/>
    </row>
    <row r="974213" spans="12:13" x14ac:dyDescent="0.25">
      <c r="L974213" s="472"/>
      <c r="M974213" s="472"/>
    </row>
    <row r="974285" spans="12:13" x14ac:dyDescent="0.25">
      <c r="L974285" s="472"/>
      <c r="M974285" s="472"/>
    </row>
    <row r="974286" spans="12:13" x14ac:dyDescent="0.25">
      <c r="L974286" s="472"/>
      <c r="M974286" s="472"/>
    </row>
    <row r="974287" spans="12:13" x14ac:dyDescent="0.25">
      <c r="L974287" s="472"/>
      <c r="M974287" s="472"/>
    </row>
    <row r="974359" spans="12:13" x14ac:dyDescent="0.25">
      <c r="L974359" s="472"/>
      <c r="M974359" s="472"/>
    </row>
    <row r="974360" spans="12:13" x14ac:dyDescent="0.25">
      <c r="L974360" s="472"/>
      <c r="M974360" s="472"/>
    </row>
    <row r="974361" spans="12:13" x14ac:dyDescent="0.25">
      <c r="L974361" s="472"/>
      <c r="M974361" s="472"/>
    </row>
    <row r="974433" spans="12:13" x14ac:dyDescent="0.25">
      <c r="L974433" s="472"/>
      <c r="M974433" s="472"/>
    </row>
    <row r="974434" spans="12:13" x14ac:dyDescent="0.25">
      <c r="L974434" s="472"/>
      <c r="M974434" s="472"/>
    </row>
    <row r="974435" spans="12:13" x14ac:dyDescent="0.25">
      <c r="L974435" s="472"/>
      <c r="M974435" s="472"/>
    </row>
    <row r="974507" spans="12:13" x14ac:dyDescent="0.25">
      <c r="L974507" s="472"/>
      <c r="M974507" s="472"/>
    </row>
    <row r="974508" spans="12:13" x14ac:dyDescent="0.25">
      <c r="L974508" s="472"/>
      <c r="M974508" s="472"/>
    </row>
    <row r="974509" spans="12:13" x14ac:dyDescent="0.25">
      <c r="L974509" s="472"/>
      <c r="M974509" s="472"/>
    </row>
    <row r="974581" spans="12:13" x14ac:dyDescent="0.25">
      <c r="L974581" s="472"/>
      <c r="M974581" s="472"/>
    </row>
    <row r="974582" spans="12:13" x14ac:dyDescent="0.25">
      <c r="L974582" s="472"/>
      <c r="M974582" s="472"/>
    </row>
    <row r="974583" spans="12:13" x14ac:dyDescent="0.25">
      <c r="L974583" s="472"/>
      <c r="M974583" s="472"/>
    </row>
    <row r="974655" spans="12:13" x14ac:dyDescent="0.25">
      <c r="L974655" s="472"/>
      <c r="M974655" s="472"/>
    </row>
    <row r="974656" spans="12:13" x14ac:dyDescent="0.25">
      <c r="L974656" s="472"/>
      <c r="M974656" s="472"/>
    </row>
    <row r="974657" spans="12:13" x14ac:dyDescent="0.25">
      <c r="L974657" s="472"/>
      <c r="M974657" s="472"/>
    </row>
    <row r="974729" spans="12:13" x14ac:dyDescent="0.25">
      <c r="L974729" s="472"/>
      <c r="M974729" s="472"/>
    </row>
    <row r="974730" spans="12:13" x14ac:dyDescent="0.25">
      <c r="L974730" s="472"/>
      <c r="M974730" s="472"/>
    </row>
    <row r="974731" spans="12:13" x14ac:dyDescent="0.25">
      <c r="L974731" s="472"/>
      <c r="M974731" s="472"/>
    </row>
    <row r="974803" spans="12:13" x14ac:dyDescent="0.25">
      <c r="L974803" s="472"/>
      <c r="M974803" s="472"/>
    </row>
    <row r="974804" spans="12:13" x14ac:dyDescent="0.25">
      <c r="L974804" s="472"/>
      <c r="M974804" s="472"/>
    </row>
    <row r="974805" spans="12:13" x14ac:dyDescent="0.25">
      <c r="L974805" s="472"/>
      <c r="M974805" s="472"/>
    </row>
    <row r="974877" spans="12:13" x14ac:dyDescent="0.25">
      <c r="L974877" s="472"/>
      <c r="M974877" s="472"/>
    </row>
    <row r="974878" spans="12:13" x14ac:dyDescent="0.25">
      <c r="L974878" s="472"/>
      <c r="M974878" s="472"/>
    </row>
    <row r="974879" spans="12:13" x14ac:dyDescent="0.25">
      <c r="L974879" s="472"/>
      <c r="M974879" s="472"/>
    </row>
    <row r="974951" spans="12:13" x14ac:dyDescent="0.25">
      <c r="L974951" s="472"/>
      <c r="M974951" s="472"/>
    </row>
    <row r="974952" spans="12:13" x14ac:dyDescent="0.25">
      <c r="L974952" s="472"/>
      <c r="M974952" s="472"/>
    </row>
    <row r="974953" spans="12:13" x14ac:dyDescent="0.25">
      <c r="L974953" s="472"/>
      <c r="M974953" s="472"/>
    </row>
    <row r="975025" spans="12:13" x14ac:dyDescent="0.25">
      <c r="L975025" s="472"/>
      <c r="M975025" s="472"/>
    </row>
    <row r="975026" spans="12:13" x14ac:dyDescent="0.25">
      <c r="L975026" s="472"/>
      <c r="M975026" s="472"/>
    </row>
    <row r="975027" spans="12:13" x14ac:dyDescent="0.25">
      <c r="L975027" s="472"/>
      <c r="M975027" s="472"/>
    </row>
    <row r="975099" spans="12:13" x14ac:dyDescent="0.25">
      <c r="L975099" s="472"/>
      <c r="M975099" s="472"/>
    </row>
    <row r="975100" spans="12:13" x14ac:dyDescent="0.25">
      <c r="L975100" s="472"/>
      <c r="M975100" s="472"/>
    </row>
    <row r="975101" spans="12:13" x14ac:dyDescent="0.25">
      <c r="L975101" s="472"/>
      <c r="M975101" s="472"/>
    </row>
    <row r="975173" spans="12:13" x14ac:dyDescent="0.25">
      <c r="L975173" s="472"/>
      <c r="M975173" s="472"/>
    </row>
    <row r="975174" spans="12:13" x14ac:dyDescent="0.25">
      <c r="L975174" s="472"/>
      <c r="M975174" s="472"/>
    </row>
    <row r="975175" spans="12:13" x14ac:dyDescent="0.25">
      <c r="L975175" s="472"/>
      <c r="M975175" s="472"/>
    </row>
    <row r="975247" spans="12:13" x14ac:dyDescent="0.25">
      <c r="L975247" s="472"/>
      <c r="M975247" s="472"/>
    </row>
    <row r="975248" spans="12:13" x14ac:dyDescent="0.25">
      <c r="L975248" s="472"/>
      <c r="M975248" s="472"/>
    </row>
    <row r="975249" spans="12:13" x14ac:dyDescent="0.25">
      <c r="L975249" s="472"/>
      <c r="M975249" s="472"/>
    </row>
    <row r="975321" spans="12:13" x14ac:dyDescent="0.25">
      <c r="L975321" s="472"/>
      <c r="M975321" s="472"/>
    </row>
    <row r="975322" spans="12:13" x14ac:dyDescent="0.25">
      <c r="L975322" s="472"/>
      <c r="M975322" s="472"/>
    </row>
    <row r="975323" spans="12:13" x14ac:dyDescent="0.25">
      <c r="L975323" s="472"/>
      <c r="M975323" s="472"/>
    </row>
    <row r="975395" spans="12:13" x14ac:dyDescent="0.25">
      <c r="L975395" s="472"/>
      <c r="M975395" s="472"/>
    </row>
    <row r="975396" spans="12:13" x14ac:dyDescent="0.25">
      <c r="L975396" s="472"/>
      <c r="M975396" s="472"/>
    </row>
    <row r="975397" spans="12:13" x14ac:dyDescent="0.25">
      <c r="L975397" s="472"/>
      <c r="M975397" s="472"/>
    </row>
    <row r="975469" spans="12:13" x14ac:dyDescent="0.25">
      <c r="L975469" s="472"/>
      <c r="M975469" s="472"/>
    </row>
    <row r="975470" spans="12:13" x14ac:dyDescent="0.25">
      <c r="L975470" s="472"/>
      <c r="M975470" s="472"/>
    </row>
    <row r="975471" spans="12:13" x14ac:dyDescent="0.25">
      <c r="L975471" s="472"/>
      <c r="M975471" s="472"/>
    </row>
    <row r="975543" spans="12:13" x14ac:dyDescent="0.25">
      <c r="L975543" s="472"/>
      <c r="M975543" s="472"/>
    </row>
    <row r="975544" spans="12:13" x14ac:dyDescent="0.25">
      <c r="L975544" s="472"/>
      <c r="M975544" s="472"/>
    </row>
    <row r="975545" spans="12:13" x14ac:dyDescent="0.25">
      <c r="L975545" s="472"/>
      <c r="M975545" s="472"/>
    </row>
    <row r="975617" spans="12:13" x14ac:dyDescent="0.25">
      <c r="L975617" s="472"/>
      <c r="M975617" s="472"/>
    </row>
    <row r="975618" spans="12:13" x14ac:dyDescent="0.25">
      <c r="L975618" s="472"/>
      <c r="M975618" s="472"/>
    </row>
    <row r="975619" spans="12:13" x14ac:dyDescent="0.25">
      <c r="L975619" s="472"/>
      <c r="M975619" s="472"/>
    </row>
    <row r="975691" spans="12:13" x14ac:dyDescent="0.25">
      <c r="L975691" s="472"/>
      <c r="M975691" s="472"/>
    </row>
    <row r="975692" spans="12:13" x14ac:dyDescent="0.25">
      <c r="L975692" s="472"/>
      <c r="M975692" s="472"/>
    </row>
    <row r="975693" spans="12:13" x14ac:dyDescent="0.25">
      <c r="L975693" s="472"/>
      <c r="M975693" s="472"/>
    </row>
    <row r="975765" spans="12:13" x14ac:dyDescent="0.25">
      <c r="L975765" s="472"/>
      <c r="M975765" s="472"/>
    </row>
    <row r="975766" spans="12:13" x14ac:dyDescent="0.25">
      <c r="L975766" s="472"/>
      <c r="M975766" s="472"/>
    </row>
    <row r="975767" spans="12:13" x14ac:dyDescent="0.25">
      <c r="L975767" s="472"/>
      <c r="M975767" s="472"/>
    </row>
    <row r="975839" spans="12:13" x14ac:dyDescent="0.25">
      <c r="L975839" s="472"/>
      <c r="M975839" s="472"/>
    </row>
    <row r="975840" spans="12:13" x14ac:dyDescent="0.25">
      <c r="L975840" s="472"/>
      <c r="M975840" s="472"/>
    </row>
    <row r="975841" spans="12:13" x14ac:dyDescent="0.25">
      <c r="L975841" s="472"/>
      <c r="M975841" s="472"/>
    </row>
    <row r="975913" spans="12:13" x14ac:dyDescent="0.25">
      <c r="L975913" s="472"/>
      <c r="M975913" s="472"/>
    </row>
    <row r="975914" spans="12:13" x14ac:dyDescent="0.25">
      <c r="L975914" s="472"/>
      <c r="M975914" s="472"/>
    </row>
    <row r="975915" spans="12:13" x14ac:dyDescent="0.25">
      <c r="L975915" s="472"/>
      <c r="M975915" s="472"/>
    </row>
    <row r="975987" spans="12:13" x14ac:dyDescent="0.25">
      <c r="L975987" s="472"/>
      <c r="M975987" s="472"/>
    </row>
    <row r="975988" spans="12:13" x14ac:dyDescent="0.25">
      <c r="L975988" s="472"/>
      <c r="M975988" s="472"/>
    </row>
    <row r="975989" spans="12:13" x14ac:dyDescent="0.25">
      <c r="L975989" s="472"/>
      <c r="M975989" s="472"/>
    </row>
    <row r="976061" spans="12:13" x14ac:dyDescent="0.25">
      <c r="L976061" s="472"/>
      <c r="M976061" s="472"/>
    </row>
    <row r="976062" spans="12:13" x14ac:dyDescent="0.25">
      <c r="L976062" s="472"/>
      <c r="M976062" s="472"/>
    </row>
    <row r="976063" spans="12:13" x14ac:dyDescent="0.25">
      <c r="L976063" s="472"/>
      <c r="M976063" s="472"/>
    </row>
    <row r="976135" spans="12:13" x14ac:dyDescent="0.25">
      <c r="L976135" s="472"/>
      <c r="M976135" s="472"/>
    </row>
    <row r="976136" spans="12:13" x14ac:dyDescent="0.25">
      <c r="L976136" s="472"/>
      <c r="M976136" s="472"/>
    </row>
    <row r="976137" spans="12:13" x14ac:dyDescent="0.25">
      <c r="L976137" s="472"/>
      <c r="M976137" s="472"/>
    </row>
    <row r="976209" spans="12:13" x14ac:dyDescent="0.25">
      <c r="L976209" s="472"/>
      <c r="M976209" s="472"/>
    </row>
    <row r="976210" spans="12:13" x14ac:dyDescent="0.25">
      <c r="L976210" s="472"/>
      <c r="M976210" s="472"/>
    </row>
    <row r="976211" spans="12:13" x14ac:dyDescent="0.25">
      <c r="L976211" s="472"/>
      <c r="M976211" s="472"/>
    </row>
    <row r="976283" spans="12:13" x14ac:dyDescent="0.25">
      <c r="L976283" s="472"/>
      <c r="M976283" s="472"/>
    </row>
    <row r="976284" spans="12:13" x14ac:dyDescent="0.25">
      <c r="L976284" s="472"/>
      <c r="M976284" s="472"/>
    </row>
    <row r="976285" spans="12:13" x14ac:dyDescent="0.25">
      <c r="L976285" s="472"/>
      <c r="M976285" s="472"/>
    </row>
    <row r="976357" spans="12:13" x14ac:dyDescent="0.25">
      <c r="L976357" s="472"/>
      <c r="M976357" s="472"/>
    </row>
    <row r="976358" spans="12:13" x14ac:dyDescent="0.25">
      <c r="L976358" s="472"/>
      <c r="M976358" s="472"/>
    </row>
    <row r="976359" spans="12:13" x14ac:dyDescent="0.25">
      <c r="L976359" s="472"/>
      <c r="M976359" s="472"/>
    </row>
    <row r="976431" spans="12:13" x14ac:dyDescent="0.25">
      <c r="L976431" s="472"/>
      <c r="M976431" s="472"/>
    </row>
    <row r="976432" spans="12:13" x14ac:dyDescent="0.25">
      <c r="L976432" s="472"/>
      <c r="M976432" s="472"/>
    </row>
    <row r="976433" spans="12:13" x14ac:dyDescent="0.25">
      <c r="L976433" s="472"/>
      <c r="M976433" s="472"/>
    </row>
    <row r="976505" spans="12:13" x14ac:dyDescent="0.25">
      <c r="L976505" s="472"/>
      <c r="M976505" s="472"/>
    </row>
    <row r="976506" spans="12:13" x14ac:dyDescent="0.25">
      <c r="L976506" s="472"/>
      <c r="M976506" s="472"/>
    </row>
    <row r="976507" spans="12:13" x14ac:dyDescent="0.25">
      <c r="L976507" s="472"/>
      <c r="M976507" s="472"/>
    </row>
    <row r="976579" spans="12:13" x14ac:dyDescent="0.25">
      <c r="L976579" s="472"/>
      <c r="M976579" s="472"/>
    </row>
    <row r="976580" spans="12:13" x14ac:dyDescent="0.25">
      <c r="L976580" s="472"/>
      <c r="M976580" s="472"/>
    </row>
    <row r="976581" spans="12:13" x14ac:dyDescent="0.25">
      <c r="L976581" s="472"/>
      <c r="M976581" s="472"/>
    </row>
    <row r="976653" spans="12:13" x14ac:dyDescent="0.25">
      <c r="L976653" s="472"/>
      <c r="M976653" s="472"/>
    </row>
    <row r="976654" spans="12:13" x14ac:dyDescent="0.25">
      <c r="L976654" s="472"/>
      <c r="M976654" s="472"/>
    </row>
    <row r="976655" spans="12:13" x14ac:dyDescent="0.25">
      <c r="L976655" s="472"/>
      <c r="M976655" s="472"/>
    </row>
    <row r="976727" spans="12:13" x14ac:dyDescent="0.25">
      <c r="L976727" s="472"/>
      <c r="M976727" s="472"/>
    </row>
    <row r="976728" spans="12:13" x14ac:dyDescent="0.25">
      <c r="L976728" s="472"/>
      <c r="M976728" s="472"/>
    </row>
    <row r="976729" spans="12:13" x14ac:dyDescent="0.25">
      <c r="L976729" s="472"/>
      <c r="M976729" s="472"/>
    </row>
    <row r="976801" spans="12:13" x14ac:dyDescent="0.25">
      <c r="L976801" s="472"/>
      <c r="M976801" s="472"/>
    </row>
    <row r="976802" spans="12:13" x14ac:dyDescent="0.25">
      <c r="L976802" s="472"/>
      <c r="M976802" s="472"/>
    </row>
    <row r="976803" spans="12:13" x14ac:dyDescent="0.25">
      <c r="L976803" s="472"/>
      <c r="M976803" s="472"/>
    </row>
    <row r="976875" spans="12:13" x14ac:dyDescent="0.25">
      <c r="L976875" s="472"/>
      <c r="M976875" s="472"/>
    </row>
    <row r="976876" spans="12:13" x14ac:dyDescent="0.25">
      <c r="L976876" s="472"/>
      <c r="M976876" s="472"/>
    </row>
    <row r="976877" spans="12:13" x14ac:dyDescent="0.25">
      <c r="L976877" s="472"/>
      <c r="M976877" s="472"/>
    </row>
    <row r="976949" spans="12:13" x14ac:dyDescent="0.25">
      <c r="L976949" s="472"/>
      <c r="M976949" s="472"/>
    </row>
    <row r="976950" spans="12:13" x14ac:dyDescent="0.25">
      <c r="L976950" s="472"/>
      <c r="M976950" s="472"/>
    </row>
    <row r="976951" spans="12:13" x14ac:dyDescent="0.25">
      <c r="L976951" s="472"/>
      <c r="M976951" s="472"/>
    </row>
    <row r="977023" spans="12:13" x14ac:dyDescent="0.25">
      <c r="L977023" s="472"/>
      <c r="M977023" s="472"/>
    </row>
    <row r="977024" spans="12:13" x14ac:dyDescent="0.25">
      <c r="L977024" s="472"/>
      <c r="M977024" s="472"/>
    </row>
    <row r="977025" spans="12:13" x14ac:dyDescent="0.25">
      <c r="L977025" s="472"/>
      <c r="M977025" s="472"/>
    </row>
    <row r="977097" spans="12:13" x14ac:dyDescent="0.25">
      <c r="L977097" s="472"/>
      <c r="M977097" s="472"/>
    </row>
    <row r="977098" spans="12:13" x14ac:dyDescent="0.25">
      <c r="L977098" s="472"/>
      <c r="M977098" s="472"/>
    </row>
    <row r="977099" spans="12:13" x14ac:dyDescent="0.25">
      <c r="L977099" s="472"/>
      <c r="M977099" s="472"/>
    </row>
    <row r="977171" spans="12:13" x14ac:dyDescent="0.25">
      <c r="L977171" s="472"/>
      <c r="M977171" s="472"/>
    </row>
    <row r="977172" spans="12:13" x14ac:dyDescent="0.25">
      <c r="L977172" s="472"/>
      <c r="M977172" s="472"/>
    </row>
    <row r="977173" spans="12:13" x14ac:dyDescent="0.25">
      <c r="L977173" s="472"/>
      <c r="M977173" s="472"/>
    </row>
    <row r="977245" spans="12:13" x14ac:dyDescent="0.25">
      <c r="L977245" s="472"/>
      <c r="M977245" s="472"/>
    </row>
    <row r="977246" spans="12:13" x14ac:dyDescent="0.25">
      <c r="L977246" s="472"/>
      <c r="M977246" s="472"/>
    </row>
    <row r="977247" spans="12:13" x14ac:dyDescent="0.25">
      <c r="L977247" s="472"/>
      <c r="M977247" s="472"/>
    </row>
    <row r="977319" spans="12:13" x14ac:dyDescent="0.25">
      <c r="L977319" s="472"/>
      <c r="M977319" s="472"/>
    </row>
    <row r="977320" spans="12:13" x14ac:dyDescent="0.25">
      <c r="L977320" s="472"/>
      <c r="M977320" s="472"/>
    </row>
    <row r="977321" spans="12:13" x14ac:dyDescent="0.25">
      <c r="L977321" s="472"/>
      <c r="M977321" s="472"/>
    </row>
    <row r="977393" spans="12:13" x14ac:dyDescent="0.25">
      <c r="L977393" s="472"/>
      <c r="M977393" s="472"/>
    </row>
    <row r="977394" spans="12:13" x14ac:dyDescent="0.25">
      <c r="L977394" s="472"/>
      <c r="M977394" s="472"/>
    </row>
    <row r="977395" spans="12:13" x14ac:dyDescent="0.25">
      <c r="L977395" s="472"/>
      <c r="M977395" s="472"/>
    </row>
    <row r="977467" spans="12:13" x14ac:dyDescent="0.25">
      <c r="L977467" s="472"/>
      <c r="M977467" s="472"/>
    </row>
    <row r="977468" spans="12:13" x14ac:dyDescent="0.25">
      <c r="L977468" s="472"/>
      <c r="M977468" s="472"/>
    </row>
    <row r="977469" spans="12:13" x14ac:dyDescent="0.25">
      <c r="L977469" s="472"/>
      <c r="M977469" s="472"/>
    </row>
    <row r="977541" spans="12:13" x14ac:dyDescent="0.25">
      <c r="L977541" s="472"/>
      <c r="M977541" s="472"/>
    </row>
    <row r="977542" spans="12:13" x14ac:dyDescent="0.25">
      <c r="L977542" s="472"/>
      <c r="M977542" s="472"/>
    </row>
    <row r="977543" spans="12:13" x14ac:dyDescent="0.25">
      <c r="L977543" s="472"/>
      <c r="M977543" s="472"/>
    </row>
    <row r="977615" spans="12:13" x14ac:dyDescent="0.25">
      <c r="L977615" s="472"/>
      <c r="M977615" s="472"/>
    </row>
    <row r="977616" spans="12:13" x14ac:dyDescent="0.25">
      <c r="L977616" s="472"/>
      <c r="M977616" s="472"/>
    </row>
    <row r="977617" spans="12:13" x14ac:dyDescent="0.25">
      <c r="L977617" s="472"/>
      <c r="M977617" s="472"/>
    </row>
    <row r="977689" spans="12:13" x14ac:dyDescent="0.25">
      <c r="L977689" s="472"/>
      <c r="M977689" s="472"/>
    </row>
    <row r="977690" spans="12:13" x14ac:dyDescent="0.25">
      <c r="L977690" s="472"/>
      <c r="M977690" s="472"/>
    </row>
    <row r="977691" spans="12:13" x14ac:dyDescent="0.25">
      <c r="L977691" s="472"/>
      <c r="M977691" s="472"/>
    </row>
    <row r="977763" spans="12:13" x14ac:dyDescent="0.25">
      <c r="L977763" s="472"/>
      <c r="M977763" s="472"/>
    </row>
    <row r="977764" spans="12:13" x14ac:dyDescent="0.25">
      <c r="L977764" s="472"/>
      <c r="M977764" s="472"/>
    </row>
    <row r="977765" spans="12:13" x14ac:dyDescent="0.25">
      <c r="L977765" s="472"/>
      <c r="M977765" s="472"/>
    </row>
    <row r="977837" spans="12:13" x14ac:dyDescent="0.25">
      <c r="L977837" s="472"/>
      <c r="M977837" s="472"/>
    </row>
    <row r="977838" spans="12:13" x14ac:dyDescent="0.25">
      <c r="L977838" s="472"/>
      <c r="M977838" s="472"/>
    </row>
    <row r="977839" spans="12:13" x14ac:dyDescent="0.25">
      <c r="L977839" s="472"/>
      <c r="M977839" s="472"/>
    </row>
    <row r="977911" spans="12:13" x14ac:dyDescent="0.25">
      <c r="L977911" s="472"/>
      <c r="M977911" s="472"/>
    </row>
    <row r="977912" spans="12:13" x14ac:dyDescent="0.25">
      <c r="L977912" s="472"/>
      <c r="M977912" s="472"/>
    </row>
    <row r="977913" spans="12:13" x14ac:dyDescent="0.25">
      <c r="L977913" s="472"/>
      <c r="M977913" s="472"/>
    </row>
    <row r="977985" spans="12:13" x14ac:dyDescent="0.25">
      <c r="L977985" s="472"/>
      <c r="M977985" s="472"/>
    </row>
    <row r="977986" spans="12:13" x14ac:dyDescent="0.25">
      <c r="L977986" s="472"/>
      <c r="M977986" s="472"/>
    </row>
    <row r="977987" spans="12:13" x14ac:dyDescent="0.25">
      <c r="L977987" s="472"/>
      <c r="M977987" s="472"/>
    </row>
    <row r="978059" spans="12:13" x14ac:dyDescent="0.25">
      <c r="L978059" s="472"/>
      <c r="M978059" s="472"/>
    </row>
    <row r="978060" spans="12:13" x14ac:dyDescent="0.25">
      <c r="L978060" s="472"/>
      <c r="M978060" s="472"/>
    </row>
    <row r="978061" spans="12:13" x14ac:dyDescent="0.25">
      <c r="L978061" s="472"/>
      <c r="M978061" s="472"/>
    </row>
    <row r="978133" spans="12:13" x14ac:dyDescent="0.25">
      <c r="L978133" s="472"/>
      <c r="M978133" s="472"/>
    </row>
    <row r="978134" spans="12:13" x14ac:dyDescent="0.25">
      <c r="L978134" s="472"/>
      <c r="M978134" s="472"/>
    </row>
    <row r="978135" spans="12:13" x14ac:dyDescent="0.25">
      <c r="L978135" s="472"/>
      <c r="M978135" s="472"/>
    </row>
    <row r="978207" spans="12:13" x14ac:dyDescent="0.25">
      <c r="L978207" s="472"/>
      <c r="M978207" s="472"/>
    </row>
    <row r="978208" spans="12:13" x14ac:dyDescent="0.25">
      <c r="L978208" s="472"/>
      <c r="M978208" s="472"/>
    </row>
    <row r="978209" spans="12:13" x14ac:dyDescent="0.25">
      <c r="L978209" s="472"/>
      <c r="M978209" s="472"/>
    </row>
    <row r="978281" spans="12:13" x14ac:dyDescent="0.25">
      <c r="L978281" s="472"/>
      <c r="M978281" s="472"/>
    </row>
    <row r="978282" spans="12:13" x14ac:dyDescent="0.25">
      <c r="L978282" s="472"/>
      <c r="M978282" s="472"/>
    </row>
    <row r="978283" spans="12:13" x14ac:dyDescent="0.25">
      <c r="L978283" s="472"/>
      <c r="M978283" s="472"/>
    </row>
    <row r="978355" spans="12:13" x14ac:dyDescent="0.25">
      <c r="L978355" s="472"/>
      <c r="M978355" s="472"/>
    </row>
    <row r="978356" spans="12:13" x14ac:dyDescent="0.25">
      <c r="L978356" s="472"/>
      <c r="M978356" s="472"/>
    </row>
    <row r="978357" spans="12:13" x14ac:dyDescent="0.25">
      <c r="L978357" s="472"/>
      <c r="M978357" s="472"/>
    </row>
    <row r="978429" spans="12:13" x14ac:dyDescent="0.25">
      <c r="L978429" s="472"/>
      <c r="M978429" s="472"/>
    </row>
    <row r="978430" spans="12:13" x14ac:dyDescent="0.25">
      <c r="L978430" s="472"/>
      <c r="M978430" s="472"/>
    </row>
    <row r="978431" spans="12:13" x14ac:dyDescent="0.25">
      <c r="L978431" s="472"/>
      <c r="M978431" s="472"/>
    </row>
    <row r="978503" spans="12:13" x14ac:dyDescent="0.25">
      <c r="L978503" s="472"/>
      <c r="M978503" s="472"/>
    </row>
    <row r="978504" spans="12:13" x14ac:dyDescent="0.25">
      <c r="L978504" s="472"/>
      <c r="M978504" s="472"/>
    </row>
    <row r="978505" spans="12:13" x14ac:dyDescent="0.25">
      <c r="L978505" s="472"/>
      <c r="M978505" s="472"/>
    </row>
    <row r="978577" spans="12:13" x14ac:dyDescent="0.25">
      <c r="L978577" s="472"/>
      <c r="M978577" s="472"/>
    </row>
    <row r="978578" spans="12:13" x14ac:dyDescent="0.25">
      <c r="L978578" s="472"/>
      <c r="M978578" s="472"/>
    </row>
    <row r="978579" spans="12:13" x14ac:dyDescent="0.25">
      <c r="L978579" s="472"/>
      <c r="M978579" s="472"/>
    </row>
    <row r="978651" spans="12:13" x14ac:dyDescent="0.25">
      <c r="L978651" s="472"/>
      <c r="M978651" s="472"/>
    </row>
    <row r="978652" spans="12:13" x14ac:dyDescent="0.25">
      <c r="L978652" s="472"/>
      <c r="M978652" s="472"/>
    </row>
    <row r="978653" spans="12:13" x14ac:dyDescent="0.25">
      <c r="L978653" s="472"/>
      <c r="M978653" s="472"/>
    </row>
    <row r="978725" spans="12:13" x14ac:dyDescent="0.25">
      <c r="L978725" s="472"/>
      <c r="M978725" s="472"/>
    </row>
    <row r="978726" spans="12:13" x14ac:dyDescent="0.25">
      <c r="L978726" s="472"/>
      <c r="M978726" s="472"/>
    </row>
    <row r="978727" spans="12:13" x14ac:dyDescent="0.25">
      <c r="L978727" s="472"/>
      <c r="M978727" s="472"/>
    </row>
    <row r="978799" spans="12:13" x14ac:dyDescent="0.25">
      <c r="L978799" s="472"/>
      <c r="M978799" s="472"/>
    </row>
    <row r="978800" spans="12:13" x14ac:dyDescent="0.25">
      <c r="L978800" s="472"/>
      <c r="M978800" s="472"/>
    </row>
    <row r="978801" spans="12:13" x14ac:dyDescent="0.25">
      <c r="L978801" s="472"/>
      <c r="M978801" s="472"/>
    </row>
    <row r="978873" spans="12:13" x14ac:dyDescent="0.25">
      <c r="L978873" s="472"/>
      <c r="M978873" s="472"/>
    </row>
    <row r="978874" spans="12:13" x14ac:dyDescent="0.25">
      <c r="L978874" s="472"/>
      <c r="M978874" s="472"/>
    </row>
    <row r="978875" spans="12:13" x14ac:dyDescent="0.25">
      <c r="L978875" s="472"/>
      <c r="M978875" s="472"/>
    </row>
    <row r="978947" spans="12:13" x14ac:dyDescent="0.25">
      <c r="L978947" s="472"/>
      <c r="M978947" s="472"/>
    </row>
    <row r="978948" spans="12:13" x14ac:dyDescent="0.25">
      <c r="L978948" s="472"/>
      <c r="M978948" s="472"/>
    </row>
    <row r="978949" spans="12:13" x14ac:dyDescent="0.25">
      <c r="L978949" s="472"/>
      <c r="M978949" s="472"/>
    </row>
    <row r="979021" spans="12:13" x14ac:dyDescent="0.25">
      <c r="L979021" s="472"/>
      <c r="M979021" s="472"/>
    </row>
    <row r="979022" spans="12:13" x14ac:dyDescent="0.25">
      <c r="L979022" s="472"/>
      <c r="M979022" s="472"/>
    </row>
    <row r="979023" spans="12:13" x14ac:dyDescent="0.25">
      <c r="L979023" s="472"/>
      <c r="M979023" s="472"/>
    </row>
    <row r="979095" spans="12:13" x14ac:dyDescent="0.25">
      <c r="L979095" s="472"/>
      <c r="M979095" s="472"/>
    </row>
    <row r="979096" spans="12:13" x14ac:dyDescent="0.25">
      <c r="L979096" s="472"/>
      <c r="M979096" s="472"/>
    </row>
    <row r="979097" spans="12:13" x14ac:dyDescent="0.25">
      <c r="L979097" s="472"/>
      <c r="M979097" s="472"/>
    </row>
    <row r="979169" spans="12:13" x14ac:dyDescent="0.25">
      <c r="L979169" s="472"/>
      <c r="M979169" s="472"/>
    </row>
    <row r="979170" spans="12:13" x14ac:dyDescent="0.25">
      <c r="L979170" s="472"/>
      <c r="M979170" s="472"/>
    </row>
    <row r="979171" spans="12:13" x14ac:dyDescent="0.25">
      <c r="L979171" s="472"/>
      <c r="M979171" s="472"/>
    </row>
    <row r="979243" spans="12:13" x14ac:dyDescent="0.25">
      <c r="L979243" s="472"/>
      <c r="M979243" s="472"/>
    </row>
    <row r="979244" spans="12:13" x14ac:dyDescent="0.25">
      <c r="L979244" s="472"/>
      <c r="M979244" s="472"/>
    </row>
    <row r="979245" spans="12:13" x14ac:dyDescent="0.25">
      <c r="L979245" s="472"/>
      <c r="M979245" s="472"/>
    </row>
    <row r="979317" spans="12:13" x14ac:dyDescent="0.25">
      <c r="L979317" s="472"/>
      <c r="M979317" s="472"/>
    </row>
    <row r="979318" spans="12:13" x14ac:dyDescent="0.25">
      <c r="L979318" s="472"/>
      <c r="M979318" s="472"/>
    </row>
    <row r="979319" spans="12:13" x14ac:dyDescent="0.25">
      <c r="L979319" s="472"/>
      <c r="M979319" s="472"/>
    </row>
    <row r="979391" spans="12:13" x14ac:dyDescent="0.25">
      <c r="L979391" s="472"/>
      <c r="M979391" s="472"/>
    </row>
    <row r="979392" spans="12:13" x14ac:dyDescent="0.25">
      <c r="L979392" s="472"/>
      <c r="M979392" s="472"/>
    </row>
    <row r="979393" spans="12:13" x14ac:dyDescent="0.25">
      <c r="L979393" s="472"/>
      <c r="M979393" s="472"/>
    </row>
    <row r="979465" spans="12:13" x14ac:dyDescent="0.25">
      <c r="L979465" s="472"/>
      <c r="M979465" s="472"/>
    </row>
    <row r="979466" spans="12:13" x14ac:dyDescent="0.25">
      <c r="L979466" s="472"/>
      <c r="M979466" s="472"/>
    </row>
    <row r="979467" spans="12:13" x14ac:dyDescent="0.25">
      <c r="L979467" s="472"/>
      <c r="M979467" s="472"/>
    </row>
    <row r="979539" spans="12:13" x14ac:dyDescent="0.25">
      <c r="L979539" s="472"/>
      <c r="M979539" s="472"/>
    </row>
    <row r="979540" spans="12:13" x14ac:dyDescent="0.25">
      <c r="L979540" s="472"/>
      <c r="M979540" s="472"/>
    </row>
    <row r="979541" spans="12:13" x14ac:dyDescent="0.25">
      <c r="L979541" s="472"/>
      <c r="M979541" s="472"/>
    </row>
    <row r="979613" spans="12:13" x14ac:dyDescent="0.25">
      <c r="L979613" s="472"/>
      <c r="M979613" s="472"/>
    </row>
    <row r="979614" spans="12:13" x14ac:dyDescent="0.25">
      <c r="L979614" s="472"/>
      <c r="M979614" s="472"/>
    </row>
    <row r="979615" spans="12:13" x14ac:dyDescent="0.25">
      <c r="L979615" s="472"/>
      <c r="M979615" s="472"/>
    </row>
    <row r="979687" spans="12:13" x14ac:dyDescent="0.25">
      <c r="L979687" s="472"/>
      <c r="M979687" s="472"/>
    </row>
    <row r="979688" spans="12:13" x14ac:dyDescent="0.25">
      <c r="L979688" s="472"/>
      <c r="M979688" s="472"/>
    </row>
    <row r="979689" spans="12:13" x14ac:dyDescent="0.25">
      <c r="L979689" s="472"/>
      <c r="M979689" s="472"/>
    </row>
    <row r="979761" spans="12:13" x14ac:dyDescent="0.25">
      <c r="L979761" s="472"/>
      <c r="M979761" s="472"/>
    </row>
    <row r="979762" spans="12:13" x14ac:dyDescent="0.25">
      <c r="L979762" s="472"/>
      <c r="M979762" s="472"/>
    </row>
    <row r="979763" spans="12:13" x14ac:dyDescent="0.25">
      <c r="L979763" s="472"/>
      <c r="M979763" s="472"/>
    </row>
    <row r="979835" spans="12:13" x14ac:dyDescent="0.25">
      <c r="L979835" s="472"/>
      <c r="M979835" s="472"/>
    </row>
    <row r="979836" spans="12:13" x14ac:dyDescent="0.25">
      <c r="L979836" s="472"/>
      <c r="M979836" s="472"/>
    </row>
    <row r="979837" spans="12:13" x14ac:dyDescent="0.25">
      <c r="L979837" s="472"/>
      <c r="M979837" s="472"/>
    </row>
    <row r="979909" spans="12:13" x14ac:dyDescent="0.25">
      <c r="L979909" s="472"/>
      <c r="M979909" s="472"/>
    </row>
    <row r="979910" spans="12:13" x14ac:dyDescent="0.25">
      <c r="L979910" s="472"/>
      <c r="M979910" s="472"/>
    </row>
    <row r="979911" spans="12:13" x14ac:dyDescent="0.25">
      <c r="L979911" s="472"/>
      <c r="M979911" s="472"/>
    </row>
    <row r="979983" spans="12:13" x14ac:dyDescent="0.25">
      <c r="L979983" s="472"/>
      <c r="M979983" s="472"/>
    </row>
    <row r="979984" spans="12:13" x14ac:dyDescent="0.25">
      <c r="L979984" s="472"/>
      <c r="M979984" s="472"/>
    </row>
    <row r="979985" spans="12:13" x14ac:dyDescent="0.25">
      <c r="L979985" s="472"/>
      <c r="M979985" s="472"/>
    </row>
    <row r="980057" spans="12:13" x14ac:dyDescent="0.25">
      <c r="L980057" s="472"/>
      <c r="M980057" s="472"/>
    </row>
    <row r="980058" spans="12:13" x14ac:dyDescent="0.25">
      <c r="L980058" s="472"/>
      <c r="M980058" s="472"/>
    </row>
    <row r="980059" spans="12:13" x14ac:dyDescent="0.25">
      <c r="L980059" s="472"/>
      <c r="M980059" s="472"/>
    </row>
    <row r="980131" spans="12:13" x14ac:dyDescent="0.25">
      <c r="L980131" s="472"/>
      <c r="M980131" s="472"/>
    </row>
    <row r="980132" spans="12:13" x14ac:dyDescent="0.25">
      <c r="L980132" s="472"/>
      <c r="M980132" s="472"/>
    </row>
    <row r="980133" spans="12:13" x14ac:dyDescent="0.25">
      <c r="L980133" s="472"/>
      <c r="M980133" s="472"/>
    </row>
    <row r="980205" spans="12:13" x14ac:dyDescent="0.25">
      <c r="L980205" s="472"/>
      <c r="M980205" s="472"/>
    </row>
    <row r="980206" spans="12:13" x14ac:dyDescent="0.25">
      <c r="L980206" s="472"/>
      <c r="M980206" s="472"/>
    </row>
    <row r="980207" spans="12:13" x14ac:dyDescent="0.25">
      <c r="L980207" s="472"/>
      <c r="M980207" s="472"/>
    </row>
    <row r="980279" spans="12:13" x14ac:dyDescent="0.25">
      <c r="L980279" s="472"/>
      <c r="M980279" s="472"/>
    </row>
    <row r="980280" spans="12:13" x14ac:dyDescent="0.25">
      <c r="L980280" s="472"/>
      <c r="M980280" s="472"/>
    </row>
    <row r="980281" spans="12:13" x14ac:dyDescent="0.25">
      <c r="L980281" s="472"/>
      <c r="M980281" s="472"/>
    </row>
    <row r="980353" spans="12:13" x14ac:dyDescent="0.25">
      <c r="L980353" s="472"/>
      <c r="M980353" s="472"/>
    </row>
    <row r="980354" spans="12:13" x14ac:dyDescent="0.25">
      <c r="L980354" s="472"/>
      <c r="M980354" s="472"/>
    </row>
    <row r="980355" spans="12:13" x14ac:dyDescent="0.25">
      <c r="L980355" s="472"/>
      <c r="M980355" s="472"/>
    </row>
    <row r="980427" spans="12:13" x14ac:dyDescent="0.25">
      <c r="L980427" s="472"/>
      <c r="M980427" s="472"/>
    </row>
    <row r="980428" spans="12:13" x14ac:dyDescent="0.25">
      <c r="L980428" s="472"/>
      <c r="M980428" s="472"/>
    </row>
    <row r="980429" spans="12:13" x14ac:dyDescent="0.25">
      <c r="L980429" s="472"/>
      <c r="M980429" s="472"/>
    </row>
    <row r="980501" spans="12:13" x14ac:dyDescent="0.25">
      <c r="L980501" s="472"/>
      <c r="M980501" s="472"/>
    </row>
    <row r="980502" spans="12:13" x14ac:dyDescent="0.25">
      <c r="L980502" s="472"/>
      <c r="M980502" s="472"/>
    </row>
    <row r="980503" spans="12:13" x14ac:dyDescent="0.25">
      <c r="L980503" s="472"/>
      <c r="M980503" s="472"/>
    </row>
    <row r="980575" spans="12:13" x14ac:dyDescent="0.25">
      <c r="L980575" s="472"/>
      <c r="M980575" s="472"/>
    </row>
    <row r="980576" spans="12:13" x14ac:dyDescent="0.25">
      <c r="L980576" s="472"/>
      <c r="M980576" s="472"/>
    </row>
    <row r="980577" spans="12:13" x14ac:dyDescent="0.25">
      <c r="L980577" s="472"/>
      <c r="M980577" s="472"/>
    </row>
    <row r="980649" spans="12:13" x14ac:dyDescent="0.25">
      <c r="L980649" s="472"/>
      <c r="M980649" s="472"/>
    </row>
    <row r="980650" spans="12:13" x14ac:dyDescent="0.25">
      <c r="L980650" s="472"/>
      <c r="M980650" s="472"/>
    </row>
    <row r="980651" spans="12:13" x14ac:dyDescent="0.25">
      <c r="L980651" s="472"/>
      <c r="M980651" s="472"/>
    </row>
    <row r="980723" spans="12:13" x14ac:dyDescent="0.25">
      <c r="L980723" s="472"/>
      <c r="M980723" s="472"/>
    </row>
    <row r="980724" spans="12:13" x14ac:dyDescent="0.25">
      <c r="L980724" s="472"/>
      <c r="M980724" s="472"/>
    </row>
    <row r="980725" spans="12:13" x14ac:dyDescent="0.25">
      <c r="L980725" s="472"/>
      <c r="M980725" s="472"/>
    </row>
    <row r="980797" spans="12:13" x14ac:dyDescent="0.25">
      <c r="L980797" s="472"/>
      <c r="M980797" s="472"/>
    </row>
    <row r="980798" spans="12:13" x14ac:dyDescent="0.25">
      <c r="L980798" s="472"/>
      <c r="M980798" s="472"/>
    </row>
    <row r="980799" spans="12:13" x14ac:dyDescent="0.25">
      <c r="L980799" s="472"/>
      <c r="M980799" s="472"/>
    </row>
    <row r="980871" spans="12:13" x14ac:dyDescent="0.25">
      <c r="L980871" s="472"/>
      <c r="M980871" s="472"/>
    </row>
    <row r="980872" spans="12:13" x14ac:dyDescent="0.25">
      <c r="L980872" s="472"/>
      <c r="M980872" s="472"/>
    </row>
    <row r="980873" spans="12:13" x14ac:dyDescent="0.25">
      <c r="L980873" s="472"/>
      <c r="M980873" s="472"/>
    </row>
    <row r="980945" spans="12:13" x14ac:dyDescent="0.25">
      <c r="L980945" s="472"/>
      <c r="M980945" s="472"/>
    </row>
    <row r="980946" spans="12:13" x14ac:dyDescent="0.25">
      <c r="L980946" s="472"/>
      <c r="M980946" s="472"/>
    </row>
    <row r="980947" spans="12:13" x14ac:dyDescent="0.25">
      <c r="L980947" s="472"/>
      <c r="M980947" s="472"/>
    </row>
    <row r="981019" spans="12:13" x14ac:dyDescent="0.25">
      <c r="L981019" s="472"/>
      <c r="M981019" s="472"/>
    </row>
    <row r="981020" spans="12:13" x14ac:dyDescent="0.25">
      <c r="L981020" s="472"/>
      <c r="M981020" s="472"/>
    </row>
    <row r="981021" spans="12:13" x14ac:dyDescent="0.25">
      <c r="L981021" s="472"/>
      <c r="M981021" s="472"/>
    </row>
    <row r="981093" spans="12:13" x14ac:dyDescent="0.25">
      <c r="L981093" s="472"/>
      <c r="M981093" s="472"/>
    </row>
    <row r="981094" spans="12:13" x14ac:dyDescent="0.25">
      <c r="L981094" s="472"/>
      <c r="M981094" s="472"/>
    </row>
    <row r="981095" spans="12:13" x14ac:dyDescent="0.25">
      <c r="L981095" s="472"/>
      <c r="M981095" s="472"/>
    </row>
    <row r="981167" spans="12:13" x14ac:dyDescent="0.25">
      <c r="L981167" s="472"/>
      <c r="M981167" s="472"/>
    </row>
    <row r="981168" spans="12:13" x14ac:dyDescent="0.25">
      <c r="L981168" s="472"/>
      <c r="M981168" s="472"/>
    </row>
    <row r="981169" spans="12:13" x14ac:dyDescent="0.25">
      <c r="L981169" s="472"/>
      <c r="M981169" s="472"/>
    </row>
    <row r="981241" spans="12:13" x14ac:dyDescent="0.25">
      <c r="L981241" s="472"/>
      <c r="M981241" s="472"/>
    </row>
    <row r="981242" spans="12:13" x14ac:dyDescent="0.25">
      <c r="L981242" s="472"/>
      <c r="M981242" s="472"/>
    </row>
    <row r="981243" spans="12:13" x14ac:dyDescent="0.25">
      <c r="L981243" s="472"/>
      <c r="M981243" s="472"/>
    </row>
    <row r="981315" spans="12:13" x14ac:dyDescent="0.25">
      <c r="L981315" s="472"/>
      <c r="M981315" s="472"/>
    </row>
    <row r="981316" spans="12:13" x14ac:dyDescent="0.25">
      <c r="L981316" s="472"/>
      <c r="M981316" s="472"/>
    </row>
    <row r="981317" spans="12:13" x14ac:dyDescent="0.25">
      <c r="L981317" s="472"/>
      <c r="M981317" s="472"/>
    </row>
    <row r="981389" spans="12:13" x14ac:dyDescent="0.25">
      <c r="L981389" s="472"/>
      <c r="M981389" s="472"/>
    </row>
    <row r="981390" spans="12:13" x14ac:dyDescent="0.25">
      <c r="L981390" s="472"/>
      <c r="M981390" s="472"/>
    </row>
    <row r="981391" spans="12:13" x14ac:dyDescent="0.25">
      <c r="L981391" s="472"/>
      <c r="M981391" s="472"/>
    </row>
    <row r="981463" spans="12:13" x14ac:dyDescent="0.25">
      <c r="L981463" s="472"/>
      <c r="M981463" s="472"/>
    </row>
    <row r="981464" spans="12:13" x14ac:dyDescent="0.25">
      <c r="L981464" s="472"/>
      <c r="M981464" s="472"/>
    </row>
    <row r="981465" spans="12:13" x14ac:dyDescent="0.25">
      <c r="L981465" s="472"/>
      <c r="M981465" s="472"/>
    </row>
    <row r="981537" spans="12:13" x14ac:dyDescent="0.25">
      <c r="L981537" s="472"/>
      <c r="M981537" s="472"/>
    </row>
    <row r="981538" spans="12:13" x14ac:dyDescent="0.25">
      <c r="L981538" s="472"/>
      <c r="M981538" s="472"/>
    </row>
    <row r="981539" spans="12:13" x14ac:dyDescent="0.25">
      <c r="L981539" s="472"/>
      <c r="M981539" s="472"/>
    </row>
    <row r="981611" spans="12:13" x14ac:dyDescent="0.25">
      <c r="L981611" s="472"/>
      <c r="M981611" s="472"/>
    </row>
    <row r="981612" spans="12:13" x14ac:dyDescent="0.25">
      <c r="L981612" s="472"/>
      <c r="M981612" s="472"/>
    </row>
    <row r="981613" spans="12:13" x14ac:dyDescent="0.25">
      <c r="L981613" s="472"/>
      <c r="M981613" s="472"/>
    </row>
    <row r="981685" spans="12:13" x14ac:dyDescent="0.25">
      <c r="L981685" s="472"/>
      <c r="M981685" s="472"/>
    </row>
    <row r="981686" spans="12:13" x14ac:dyDescent="0.25">
      <c r="L981686" s="472"/>
      <c r="M981686" s="472"/>
    </row>
    <row r="981687" spans="12:13" x14ac:dyDescent="0.25">
      <c r="L981687" s="472"/>
      <c r="M981687" s="472"/>
    </row>
    <row r="981759" spans="12:13" x14ac:dyDescent="0.25">
      <c r="L981759" s="472"/>
      <c r="M981759" s="472"/>
    </row>
    <row r="981760" spans="12:13" x14ac:dyDescent="0.25">
      <c r="L981760" s="472"/>
      <c r="M981760" s="472"/>
    </row>
    <row r="981761" spans="12:13" x14ac:dyDescent="0.25">
      <c r="L981761" s="472"/>
      <c r="M981761" s="472"/>
    </row>
    <row r="981833" spans="12:13" x14ac:dyDescent="0.25">
      <c r="L981833" s="472"/>
      <c r="M981833" s="472"/>
    </row>
    <row r="981834" spans="12:13" x14ac:dyDescent="0.25">
      <c r="L981834" s="472"/>
      <c r="M981834" s="472"/>
    </row>
    <row r="981835" spans="12:13" x14ac:dyDescent="0.25">
      <c r="L981835" s="472"/>
      <c r="M981835" s="472"/>
    </row>
    <row r="981907" spans="12:13" x14ac:dyDescent="0.25">
      <c r="L981907" s="472"/>
      <c r="M981907" s="472"/>
    </row>
    <row r="981908" spans="12:13" x14ac:dyDescent="0.25">
      <c r="L981908" s="472"/>
      <c r="M981908" s="472"/>
    </row>
    <row r="981909" spans="12:13" x14ac:dyDescent="0.25">
      <c r="L981909" s="472"/>
      <c r="M981909" s="472"/>
    </row>
    <row r="981981" spans="12:13" x14ac:dyDescent="0.25">
      <c r="L981981" s="472"/>
      <c r="M981981" s="472"/>
    </row>
    <row r="981982" spans="12:13" x14ac:dyDescent="0.25">
      <c r="L981982" s="472"/>
      <c r="M981982" s="472"/>
    </row>
    <row r="981983" spans="12:13" x14ac:dyDescent="0.25">
      <c r="L981983" s="472"/>
      <c r="M981983" s="472"/>
    </row>
    <row r="982055" spans="12:13" x14ac:dyDescent="0.25">
      <c r="L982055" s="472"/>
      <c r="M982055" s="472"/>
    </row>
    <row r="982056" spans="12:13" x14ac:dyDescent="0.25">
      <c r="L982056" s="472"/>
      <c r="M982056" s="472"/>
    </row>
    <row r="982057" spans="12:13" x14ac:dyDescent="0.25">
      <c r="L982057" s="472"/>
      <c r="M982057" s="472"/>
    </row>
    <row r="982129" spans="12:13" x14ac:dyDescent="0.25">
      <c r="L982129" s="472"/>
      <c r="M982129" s="472"/>
    </row>
    <row r="982130" spans="12:13" x14ac:dyDescent="0.25">
      <c r="L982130" s="472"/>
      <c r="M982130" s="472"/>
    </row>
    <row r="982131" spans="12:13" x14ac:dyDescent="0.25">
      <c r="L982131" s="472"/>
      <c r="M982131" s="472"/>
    </row>
    <row r="982203" spans="12:13" x14ac:dyDescent="0.25">
      <c r="L982203" s="472"/>
      <c r="M982203" s="472"/>
    </row>
    <row r="982204" spans="12:13" x14ac:dyDescent="0.25">
      <c r="L982204" s="472"/>
      <c r="M982204" s="472"/>
    </row>
    <row r="982205" spans="12:13" x14ac:dyDescent="0.25">
      <c r="L982205" s="472"/>
      <c r="M982205" s="472"/>
    </row>
    <row r="982277" spans="12:13" x14ac:dyDescent="0.25">
      <c r="L982277" s="472"/>
      <c r="M982277" s="472"/>
    </row>
    <row r="982278" spans="12:13" x14ac:dyDescent="0.25">
      <c r="L982278" s="472"/>
      <c r="M982278" s="472"/>
    </row>
    <row r="982279" spans="12:13" x14ac:dyDescent="0.25">
      <c r="L982279" s="472"/>
      <c r="M982279" s="472"/>
    </row>
    <row r="982351" spans="12:13" x14ac:dyDescent="0.25">
      <c r="L982351" s="472"/>
      <c r="M982351" s="472"/>
    </row>
    <row r="982352" spans="12:13" x14ac:dyDescent="0.25">
      <c r="L982352" s="472"/>
      <c r="M982352" s="472"/>
    </row>
    <row r="982353" spans="12:13" x14ac:dyDescent="0.25">
      <c r="L982353" s="472"/>
      <c r="M982353" s="472"/>
    </row>
    <row r="982425" spans="12:13" x14ac:dyDescent="0.25">
      <c r="L982425" s="472"/>
      <c r="M982425" s="472"/>
    </row>
    <row r="982426" spans="12:13" x14ac:dyDescent="0.25">
      <c r="L982426" s="472"/>
      <c r="M982426" s="472"/>
    </row>
    <row r="982427" spans="12:13" x14ac:dyDescent="0.25">
      <c r="L982427" s="472"/>
      <c r="M982427" s="472"/>
    </row>
    <row r="982499" spans="12:13" x14ac:dyDescent="0.25">
      <c r="L982499" s="472"/>
      <c r="M982499" s="472"/>
    </row>
    <row r="982500" spans="12:13" x14ac:dyDescent="0.25">
      <c r="L982500" s="472"/>
      <c r="M982500" s="472"/>
    </row>
    <row r="982501" spans="12:13" x14ac:dyDescent="0.25">
      <c r="L982501" s="472"/>
      <c r="M982501" s="472"/>
    </row>
    <row r="982573" spans="12:13" x14ac:dyDescent="0.25">
      <c r="L982573" s="472"/>
      <c r="M982573" s="472"/>
    </row>
    <row r="982574" spans="12:13" x14ac:dyDescent="0.25">
      <c r="L982574" s="472"/>
      <c r="M982574" s="472"/>
    </row>
    <row r="982575" spans="12:13" x14ac:dyDescent="0.25">
      <c r="L982575" s="472"/>
      <c r="M982575" s="472"/>
    </row>
    <row r="982647" spans="12:13" x14ac:dyDescent="0.25">
      <c r="L982647" s="472"/>
      <c r="M982647" s="472"/>
    </row>
    <row r="982648" spans="12:13" x14ac:dyDescent="0.25">
      <c r="L982648" s="472"/>
      <c r="M982648" s="472"/>
    </row>
    <row r="982649" spans="12:13" x14ac:dyDescent="0.25">
      <c r="L982649" s="472"/>
      <c r="M982649" s="472"/>
    </row>
    <row r="982721" spans="12:13" x14ac:dyDescent="0.25">
      <c r="L982721" s="472"/>
      <c r="M982721" s="472"/>
    </row>
    <row r="982722" spans="12:13" x14ac:dyDescent="0.25">
      <c r="L982722" s="472"/>
      <c r="M982722" s="472"/>
    </row>
    <row r="982723" spans="12:13" x14ac:dyDescent="0.25">
      <c r="L982723" s="472"/>
      <c r="M982723" s="472"/>
    </row>
    <row r="982795" spans="12:13" x14ac:dyDescent="0.25">
      <c r="L982795" s="472"/>
      <c r="M982795" s="472"/>
    </row>
    <row r="982796" spans="12:13" x14ac:dyDescent="0.25">
      <c r="L982796" s="472"/>
      <c r="M982796" s="472"/>
    </row>
    <row r="982797" spans="12:13" x14ac:dyDescent="0.25">
      <c r="L982797" s="472"/>
      <c r="M982797" s="472"/>
    </row>
    <row r="982869" spans="12:13" x14ac:dyDescent="0.25">
      <c r="L982869" s="472"/>
      <c r="M982869" s="472"/>
    </row>
    <row r="982870" spans="12:13" x14ac:dyDescent="0.25">
      <c r="L982870" s="472"/>
      <c r="M982870" s="472"/>
    </row>
    <row r="982871" spans="12:13" x14ac:dyDescent="0.25">
      <c r="L982871" s="472"/>
      <c r="M982871" s="472"/>
    </row>
    <row r="982943" spans="12:13" x14ac:dyDescent="0.25">
      <c r="L982943" s="472"/>
      <c r="M982943" s="472"/>
    </row>
    <row r="982944" spans="12:13" x14ac:dyDescent="0.25">
      <c r="L982944" s="472"/>
      <c r="M982944" s="472"/>
    </row>
    <row r="982945" spans="12:13" x14ac:dyDescent="0.25">
      <c r="L982945" s="472"/>
      <c r="M982945" s="472"/>
    </row>
    <row r="983017" spans="12:13" x14ac:dyDescent="0.25">
      <c r="L983017" s="472"/>
      <c r="M983017" s="472"/>
    </row>
    <row r="983018" spans="12:13" x14ac:dyDescent="0.25">
      <c r="L983018" s="472"/>
      <c r="M983018" s="472"/>
    </row>
    <row r="983019" spans="12:13" x14ac:dyDescent="0.25">
      <c r="L983019" s="472"/>
      <c r="M983019" s="472"/>
    </row>
    <row r="983091" spans="12:13" x14ac:dyDescent="0.25">
      <c r="L983091" s="472"/>
      <c r="M983091" s="472"/>
    </row>
    <row r="983092" spans="12:13" x14ac:dyDescent="0.25">
      <c r="L983092" s="472"/>
      <c r="M983092" s="472"/>
    </row>
    <row r="983093" spans="12:13" x14ac:dyDescent="0.25">
      <c r="L983093" s="472"/>
      <c r="M983093" s="472"/>
    </row>
    <row r="983165" spans="12:13" x14ac:dyDescent="0.25">
      <c r="L983165" s="472"/>
      <c r="M983165" s="472"/>
    </row>
    <row r="983166" spans="12:13" x14ac:dyDescent="0.25">
      <c r="L983166" s="472"/>
      <c r="M983166" s="472"/>
    </row>
    <row r="983167" spans="12:13" x14ac:dyDescent="0.25">
      <c r="L983167" s="472"/>
      <c r="M983167" s="472"/>
    </row>
    <row r="983239" spans="12:13" x14ac:dyDescent="0.25">
      <c r="L983239" s="472"/>
      <c r="M983239" s="472"/>
    </row>
    <row r="983240" spans="12:13" x14ac:dyDescent="0.25">
      <c r="L983240" s="472"/>
      <c r="M983240" s="472"/>
    </row>
    <row r="983241" spans="12:13" x14ac:dyDescent="0.25">
      <c r="L983241" s="472"/>
      <c r="M983241" s="472"/>
    </row>
    <row r="983313" spans="12:13" x14ac:dyDescent="0.25">
      <c r="L983313" s="472"/>
      <c r="M983313" s="472"/>
    </row>
    <row r="983314" spans="12:13" x14ac:dyDescent="0.25">
      <c r="L983314" s="472"/>
      <c r="M983314" s="472"/>
    </row>
    <row r="983315" spans="12:13" x14ac:dyDescent="0.25">
      <c r="L983315" s="472"/>
      <c r="M983315" s="472"/>
    </row>
    <row r="983387" spans="12:13" x14ac:dyDescent="0.25">
      <c r="L983387" s="472"/>
      <c r="M983387" s="472"/>
    </row>
    <row r="983388" spans="12:13" x14ac:dyDescent="0.25">
      <c r="L983388" s="472"/>
      <c r="M983388" s="472"/>
    </row>
    <row r="983389" spans="12:13" x14ac:dyDescent="0.25">
      <c r="L983389" s="472"/>
      <c r="M983389" s="472"/>
    </row>
    <row r="983461" spans="12:13" x14ac:dyDescent="0.25">
      <c r="L983461" s="472"/>
      <c r="M983461" s="472"/>
    </row>
    <row r="983462" spans="12:13" x14ac:dyDescent="0.25">
      <c r="L983462" s="472"/>
      <c r="M983462" s="472"/>
    </row>
    <row r="983463" spans="12:13" x14ac:dyDescent="0.25">
      <c r="L983463" s="472"/>
      <c r="M983463" s="472"/>
    </row>
    <row r="983535" spans="12:13" x14ac:dyDescent="0.25">
      <c r="L983535" s="472"/>
      <c r="M983535" s="472"/>
    </row>
    <row r="983536" spans="12:13" x14ac:dyDescent="0.25">
      <c r="L983536" s="472"/>
      <c r="M983536" s="472"/>
    </row>
    <row r="983537" spans="12:13" x14ac:dyDescent="0.25">
      <c r="L983537" s="472"/>
      <c r="M983537" s="472"/>
    </row>
    <row r="983609" spans="12:13" x14ac:dyDescent="0.25">
      <c r="L983609" s="472"/>
      <c r="M983609" s="472"/>
    </row>
    <row r="983610" spans="12:13" x14ac:dyDescent="0.25">
      <c r="L983610" s="472"/>
      <c r="M983610" s="472"/>
    </row>
    <row r="983611" spans="12:13" x14ac:dyDescent="0.25">
      <c r="L983611" s="472"/>
      <c r="M983611" s="472"/>
    </row>
    <row r="983683" spans="12:13" x14ac:dyDescent="0.25">
      <c r="L983683" s="472"/>
      <c r="M983683" s="472"/>
    </row>
    <row r="983684" spans="12:13" x14ac:dyDescent="0.25">
      <c r="L983684" s="472"/>
      <c r="M983684" s="472"/>
    </row>
    <row r="983685" spans="12:13" x14ac:dyDescent="0.25">
      <c r="L983685" s="472"/>
      <c r="M983685" s="472"/>
    </row>
    <row r="983757" spans="12:13" x14ac:dyDescent="0.25">
      <c r="L983757" s="472"/>
      <c r="M983757" s="472"/>
    </row>
    <row r="983758" spans="12:13" x14ac:dyDescent="0.25">
      <c r="L983758" s="472"/>
      <c r="M983758" s="472"/>
    </row>
    <row r="983759" spans="12:13" x14ac:dyDescent="0.25">
      <c r="L983759" s="472"/>
      <c r="M983759" s="472"/>
    </row>
    <row r="983831" spans="12:13" x14ac:dyDescent="0.25">
      <c r="L983831" s="472"/>
      <c r="M983831" s="472"/>
    </row>
    <row r="983832" spans="12:13" x14ac:dyDescent="0.25">
      <c r="L983832" s="472"/>
      <c r="M983832" s="472"/>
    </row>
    <row r="983833" spans="12:13" x14ac:dyDescent="0.25">
      <c r="L983833" s="472"/>
      <c r="M983833" s="472"/>
    </row>
    <row r="983905" spans="12:13" x14ac:dyDescent="0.25">
      <c r="L983905" s="472"/>
      <c r="M983905" s="472"/>
    </row>
    <row r="983906" spans="12:13" x14ac:dyDescent="0.25">
      <c r="L983906" s="472"/>
      <c r="M983906" s="472"/>
    </row>
    <row r="983907" spans="12:13" x14ac:dyDescent="0.25">
      <c r="L983907" s="472"/>
      <c r="M983907" s="472"/>
    </row>
    <row r="983979" spans="12:13" x14ac:dyDescent="0.25">
      <c r="L983979" s="472"/>
      <c r="M983979" s="472"/>
    </row>
    <row r="983980" spans="12:13" x14ac:dyDescent="0.25">
      <c r="L983980" s="472"/>
      <c r="M983980" s="472"/>
    </row>
    <row r="983981" spans="12:13" x14ac:dyDescent="0.25">
      <c r="L983981" s="472"/>
      <c r="M983981" s="472"/>
    </row>
    <row r="984053" spans="12:13" x14ac:dyDescent="0.25">
      <c r="L984053" s="472"/>
      <c r="M984053" s="472"/>
    </row>
    <row r="984054" spans="12:13" x14ac:dyDescent="0.25">
      <c r="L984054" s="472"/>
      <c r="M984054" s="472"/>
    </row>
    <row r="984055" spans="12:13" x14ac:dyDescent="0.25">
      <c r="L984055" s="472"/>
      <c r="M984055" s="472"/>
    </row>
    <row r="984127" spans="12:13" x14ac:dyDescent="0.25">
      <c r="L984127" s="472"/>
      <c r="M984127" s="472"/>
    </row>
    <row r="984128" spans="12:13" x14ac:dyDescent="0.25">
      <c r="L984128" s="472"/>
      <c r="M984128" s="472"/>
    </row>
    <row r="984129" spans="12:13" x14ac:dyDescent="0.25">
      <c r="L984129" s="472"/>
      <c r="M984129" s="472"/>
    </row>
    <row r="984201" spans="12:13" x14ac:dyDescent="0.25">
      <c r="L984201" s="472"/>
      <c r="M984201" s="472"/>
    </row>
    <row r="984202" spans="12:13" x14ac:dyDescent="0.25">
      <c r="L984202" s="472"/>
      <c r="M984202" s="472"/>
    </row>
    <row r="984203" spans="12:13" x14ac:dyDescent="0.25">
      <c r="L984203" s="472"/>
      <c r="M984203" s="472"/>
    </row>
    <row r="984275" spans="12:13" x14ac:dyDescent="0.25">
      <c r="L984275" s="472"/>
      <c r="M984275" s="472"/>
    </row>
    <row r="984276" spans="12:13" x14ac:dyDescent="0.25">
      <c r="L984276" s="472"/>
      <c r="M984276" s="472"/>
    </row>
    <row r="984277" spans="12:13" x14ac:dyDescent="0.25">
      <c r="L984277" s="472"/>
      <c r="M984277" s="472"/>
    </row>
    <row r="984349" spans="12:13" x14ac:dyDescent="0.25">
      <c r="L984349" s="472"/>
      <c r="M984349" s="472"/>
    </row>
    <row r="984350" spans="12:13" x14ac:dyDescent="0.25">
      <c r="L984350" s="472"/>
      <c r="M984350" s="472"/>
    </row>
    <row r="984351" spans="12:13" x14ac:dyDescent="0.25">
      <c r="L984351" s="472"/>
      <c r="M984351" s="472"/>
    </row>
    <row r="984423" spans="12:13" x14ac:dyDescent="0.25">
      <c r="L984423" s="472"/>
      <c r="M984423" s="472"/>
    </row>
    <row r="984424" spans="12:13" x14ac:dyDescent="0.25">
      <c r="L984424" s="472"/>
      <c r="M984424" s="472"/>
    </row>
    <row r="984425" spans="12:13" x14ac:dyDescent="0.25">
      <c r="L984425" s="472"/>
      <c r="M984425" s="472"/>
    </row>
    <row r="984497" spans="12:13" x14ac:dyDescent="0.25">
      <c r="L984497" s="472"/>
      <c r="M984497" s="472"/>
    </row>
    <row r="984498" spans="12:13" x14ac:dyDescent="0.25">
      <c r="L984498" s="472"/>
      <c r="M984498" s="472"/>
    </row>
    <row r="984499" spans="12:13" x14ac:dyDescent="0.25">
      <c r="L984499" s="472"/>
      <c r="M984499" s="472"/>
    </row>
    <row r="984571" spans="12:13" x14ac:dyDescent="0.25">
      <c r="L984571" s="472"/>
      <c r="M984571" s="472"/>
    </row>
    <row r="984572" spans="12:13" x14ac:dyDescent="0.25">
      <c r="L984572" s="472"/>
      <c r="M984572" s="472"/>
    </row>
    <row r="984573" spans="12:13" x14ac:dyDescent="0.25">
      <c r="L984573" s="472"/>
      <c r="M984573" s="472"/>
    </row>
    <row r="984645" spans="12:13" x14ac:dyDescent="0.25">
      <c r="L984645" s="472"/>
      <c r="M984645" s="472"/>
    </row>
    <row r="984646" spans="12:13" x14ac:dyDescent="0.25">
      <c r="L984646" s="472"/>
      <c r="M984646" s="472"/>
    </row>
    <row r="984647" spans="12:13" x14ac:dyDescent="0.25">
      <c r="L984647" s="472"/>
      <c r="M984647" s="472"/>
    </row>
    <row r="984719" spans="12:13" x14ac:dyDescent="0.25">
      <c r="L984719" s="472"/>
      <c r="M984719" s="472"/>
    </row>
    <row r="984720" spans="12:13" x14ac:dyDescent="0.25">
      <c r="L984720" s="472"/>
      <c r="M984720" s="472"/>
    </row>
    <row r="984721" spans="12:13" x14ac:dyDescent="0.25">
      <c r="L984721" s="472"/>
      <c r="M984721" s="472"/>
    </row>
    <row r="984793" spans="12:13" x14ac:dyDescent="0.25">
      <c r="L984793" s="472"/>
      <c r="M984793" s="472"/>
    </row>
    <row r="984794" spans="12:13" x14ac:dyDescent="0.25">
      <c r="L984794" s="472"/>
      <c r="M984794" s="472"/>
    </row>
    <row r="984795" spans="12:13" x14ac:dyDescent="0.25">
      <c r="L984795" s="472"/>
      <c r="M984795" s="472"/>
    </row>
    <row r="984867" spans="12:13" x14ac:dyDescent="0.25">
      <c r="L984867" s="472"/>
      <c r="M984867" s="472"/>
    </row>
    <row r="984868" spans="12:13" x14ac:dyDescent="0.25">
      <c r="L984868" s="472"/>
      <c r="M984868" s="472"/>
    </row>
    <row r="984869" spans="12:13" x14ac:dyDescent="0.25">
      <c r="L984869" s="472"/>
      <c r="M984869" s="472"/>
    </row>
    <row r="984941" spans="12:13" x14ac:dyDescent="0.25">
      <c r="L984941" s="472"/>
      <c r="M984941" s="472"/>
    </row>
    <row r="984942" spans="12:13" x14ac:dyDescent="0.25">
      <c r="L984942" s="472"/>
      <c r="M984942" s="472"/>
    </row>
    <row r="984943" spans="12:13" x14ac:dyDescent="0.25">
      <c r="L984943" s="472"/>
      <c r="M984943" s="472"/>
    </row>
    <row r="985015" spans="12:13" x14ac:dyDescent="0.25">
      <c r="L985015" s="472"/>
      <c r="M985015" s="472"/>
    </row>
    <row r="985016" spans="12:13" x14ac:dyDescent="0.25">
      <c r="L985016" s="472"/>
      <c r="M985016" s="472"/>
    </row>
    <row r="985017" spans="12:13" x14ac:dyDescent="0.25">
      <c r="L985017" s="472"/>
      <c r="M985017" s="472"/>
    </row>
    <row r="985089" spans="12:13" x14ac:dyDescent="0.25">
      <c r="L985089" s="472"/>
      <c r="M985089" s="472"/>
    </row>
    <row r="985090" spans="12:13" x14ac:dyDescent="0.25">
      <c r="L985090" s="472"/>
      <c r="M985090" s="472"/>
    </row>
    <row r="985091" spans="12:13" x14ac:dyDescent="0.25">
      <c r="L985091" s="472"/>
      <c r="M985091" s="472"/>
    </row>
    <row r="985163" spans="12:13" x14ac:dyDescent="0.25">
      <c r="L985163" s="472"/>
      <c r="M985163" s="472"/>
    </row>
    <row r="985164" spans="12:13" x14ac:dyDescent="0.25">
      <c r="L985164" s="472"/>
      <c r="M985164" s="472"/>
    </row>
    <row r="985165" spans="12:13" x14ac:dyDescent="0.25">
      <c r="L985165" s="472"/>
      <c r="M985165" s="472"/>
    </row>
    <row r="985237" spans="12:13" x14ac:dyDescent="0.25">
      <c r="L985237" s="472"/>
      <c r="M985237" s="472"/>
    </row>
    <row r="985238" spans="12:13" x14ac:dyDescent="0.25">
      <c r="L985238" s="472"/>
      <c r="M985238" s="472"/>
    </row>
    <row r="985239" spans="12:13" x14ac:dyDescent="0.25">
      <c r="L985239" s="472"/>
      <c r="M985239" s="472"/>
    </row>
    <row r="985311" spans="12:13" x14ac:dyDescent="0.25">
      <c r="L985311" s="472"/>
      <c r="M985311" s="472"/>
    </row>
    <row r="985312" spans="12:13" x14ac:dyDescent="0.25">
      <c r="L985312" s="472"/>
      <c r="M985312" s="472"/>
    </row>
    <row r="985313" spans="12:13" x14ac:dyDescent="0.25">
      <c r="L985313" s="472"/>
      <c r="M985313" s="472"/>
    </row>
    <row r="985385" spans="12:13" x14ac:dyDescent="0.25">
      <c r="L985385" s="472"/>
      <c r="M985385" s="472"/>
    </row>
    <row r="985386" spans="12:13" x14ac:dyDescent="0.25">
      <c r="L985386" s="472"/>
      <c r="M985386" s="472"/>
    </row>
    <row r="985387" spans="12:13" x14ac:dyDescent="0.25">
      <c r="L985387" s="472"/>
      <c r="M985387" s="472"/>
    </row>
    <row r="985459" spans="12:13" x14ac:dyDescent="0.25">
      <c r="L985459" s="472"/>
      <c r="M985459" s="472"/>
    </row>
    <row r="985460" spans="12:13" x14ac:dyDescent="0.25">
      <c r="L985460" s="472"/>
      <c r="M985460" s="472"/>
    </row>
    <row r="985461" spans="12:13" x14ac:dyDescent="0.25">
      <c r="L985461" s="472"/>
      <c r="M985461" s="472"/>
    </row>
    <row r="985533" spans="12:13" x14ac:dyDescent="0.25">
      <c r="L985533" s="472"/>
      <c r="M985533" s="472"/>
    </row>
    <row r="985534" spans="12:13" x14ac:dyDescent="0.25">
      <c r="L985534" s="472"/>
      <c r="M985534" s="472"/>
    </row>
    <row r="985535" spans="12:13" x14ac:dyDescent="0.25">
      <c r="L985535" s="472"/>
      <c r="M985535" s="472"/>
    </row>
    <row r="985607" spans="12:13" x14ac:dyDescent="0.25">
      <c r="L985607" s="472"/>
      <c r="M985607" s="472"/>
    </row>
    <row r="985608" spans="12:13" x14ac:dyDescent="0.25">
      <c r="L985608" s="472"/>
      <c r="M985608" s="472"/>
    </row>
    <row r="985609" spans="12:13" x14ac:dyDescent="0.25">
      <c r="L985609" s="472"/>
      <c r="M985609" s="472"/>
    </row>
    <row r="985681" spans="12:13" x14ac:dyDescent="0.25">
      <c r="L985681" s="472"/>
      <c r="M985681" s="472"/>
    </row>
    <row r="985682" spans="12:13" x14ac:dyDescent="0.25">
      <c r="L985682" s="472"/>
      <c r="M985682" s="472"/>
    </row>
    <row r="985683" spans="12:13" x14ac:dyDescent="0.25">
      <c r="L985683" s="472"/>
      <c r="M985683" s="472"/>
    </row>
    <row r="985755" spans="12:13" x14ac:dyDescent="0.25">
      <c r="L985755" s="472"/>
      <c r="M985755" s="472"/>
    </row>
    <row r="985756" spans="12:13" x14ac:dyDescent="0.25">
      <c r="L985756" s="472"/>
      <c r="M985756" s="472"/>
    </row>
    <row r="985757" spans="12:13" x14ac:dyDescent="0.25">
      <c r="L985757" s="472"/>
      <c r="M985757" s="472"/>
    </row>
    <row r="985829" spans="12:13" x14ac:dyDescent="0.25">
      <c r="L985829" s="472"/>
      <c r="M985829" s="472"/>
    </row>
    <row r="985830" spans="12:13" x14ac:dyDescent="0.25">
      <c r="L985830" s="472"/>
      <c r="M985830" s="472"/>
    </row>
    <row r="985831" spans="12:13" x14ac:dyDescent="0.25">
      <c r="L985831" s="472"/>
      <c r="M985831" s="472"/>
    </row>
    <row r="985903" spans="12:13" x14ac:dyDescent="0.25">
      <c r="L985903" s="472"/>
      <c r="M985903" s="472"/>
    </row>
    <row r="985904" spans="12:13" x14ac:dyDescent="0.25">
      <c r="L985904" s="472"/>
      <c r="M985904" s="472"/>
    </row>
    <row r="985905" spans="12:13" x14ac:dyDescent="0.25">
      <c r="L985905" s="472"/>
      <c r="M985905" s="472"/>
    </row>
    <row r="985977" spans="12:13" x14ac:dyDescent="0.25">
      <c r="L985977" s="472"/>
      <c r="M985977" s="472"/>
    </row>
    <row r="985978" spans="12:13" x14ac:dyDescent="0.25">
      <c r="L985978" s="472"/>
      <c r="M985978" s="472"/>
    </row>
    <row r="985979" spans="12:13" x14ac:dyDescent="0.25">
      <c r="L985979" s="472"/>
      <c r="M985979" s="472"/>
    </row>
    <row r="986051" spans="12:13" x14ac:dyDescent="0.25">
      <c r="L986051" s="472"/>
      <c r="M986051" s="472"/>
    </row>
    <row r="986052" spans="12:13" x14ac:dyDescent="0.25">
      <c r="L986052" s="472"/>
      <c r="M986052" s="472"/>
    </row>
    <row r="986053" spans="12:13" x14ac:dyDescent="0.25">
      <c r="L986053" s="472"/>
      <c r="M986053" s="472"/>
    </row>
    <row r="986125" spans="12:13" x14ac:dyDescent="0.25">
      <c r="L986125" s="472"/>
      <c r="M986125" s="472"/>
    </row>
    <row r="986126" spans="12:13" x14ac:dyDescent="0.25">
      <c r="L986126" s="472"/>
      <c r="M986126" s="472"/>
    </row>
    <row r="986127" spans="12:13" x14ac:dyDescent="0.25">
      <c r="L986127" s="472"/>
      <c r="M986127" s="472"/>
    </row>
    <row r="986199" spans="12:13" x14ac:dyDescent="0.25">
      <c r="L986199" s="472"/>
      <c r="M986199" s="472"/>
    </row>
    <row r="986200" spans="12:13" x14ac:dyDescent="0.25">
      <c r="L986200" s="472"/>
      <c r="M986200" s="472"/>
    </row>
    <row r="986201" spans="12:13" x14ac:dyDescent="0.25">
      <c r="L986201" s="472"/>
      <c r="M986201" s="472"/>
    </row>
    <row r="986273" spans="12:13" x14ac:dyDescent="0.25">
      <c r="L986273" s="472"/>
      <c r="M986273" s="472"/>
    </row>
    <row r="986274" spans="12:13" x14ac:dyDescent="0.25">
      <c r="L986274" s="472"/>
      <c r="M986274" s="472"/>
    </row>
    <row r="986275" spans="12:13" x14ac:dyDescent="0.25">
      <c r="L986275" s="472"/>
      <c r="M986275" s="472"/>
    </row>
    <row r="986347" spans="12:13" x14ac:dyDescent="0.25">
      <c r="L986347" s="472"/>
      <c r="M986347" s="472"/>
    </row>
    <row r="986348" spans="12:13" x14ac:dyDescent="0.25">
      <c r="L986348" s="472"/>
      <c r="M986348" s="472"/>
    </row>
    <row r="986349" spans="12:13" x14ac:dyDescent="0.25">
      <c r="L986349" s="472"/>
      <c r="M986349" s="472"/>
    </row>
    <row r="986421" spans="12:13" x14ac:dyDescent="0.25">
      <c r="L986421" s="472"/>
      <c r="M986421" s="472"/>
    </row>
    <row r="986422" spans="12:13" x14ac:dyDescent="0.25">
      <c r="L986422" s="472"/>
      <c r="M986422" s="472"/>
    </row>
    <row r="986423" spans="12:13" x14ac:dyDescent="0.25">
      <c r="L986423" s="472"/>
      <c r="M986423" s="472"/>
    </row>
    <row r="986495" spans="12:13" x14ac:dyDescent="0.25">
      <c r="L986495" s="472"/>
      <c r="M986495" s="472"/>
    </row>
    <row r="986496" spans="12:13" x14ac:dyDescent="0.25">
      <c r="L986496" s="472"/>
      <c r="M986496" s="472"/>
    </row>
    <row r="986497" spans="12:13" x14ac:dyDescent="0.25">
      <c r="L986497" s="472"/>
      <c r="M986497" s="472"/>
    </row>
    <row r="986569" spans="12:13" x14ac:dyDescent="0.25">
      <c r="L986569" s="472"/>
      <c r="M986569" s="472"/>
    </row>
    <row r="986570" spans="12:13" x14ac:dyDescent="0.25">
      <c r="L986570" s="472"/>
      <c r="M986570" s="472"/>
    </row>
    <row r="986571" spans="12:13" x14ac:dyDescent="0.25">
      <c r="L986571" s="472"/>
      <c r="M986571" s="472"/>
    </row>
    <row r="986643" spans="12:13" x14ac:dyDescent="0.25">
      <c r="L986643" s="472"/>
      <c r="M986643" s="472"/>
    </row>
    <row r="986644" spans="12:13" x14ac:dyDescent="0.25">
      <c r="L986644" s="472"/>
      <c r="M986644" s="472"/>
    </row>
    <row r="986645" spans="12:13" x14ac:dyDescent="0.25">
      <c r="L986645" s="472"/>
      <c r="M986645" s="472"/>
    </row>
    <row r="986717" spans="12:13" x14ac:dyDescent="0.25">
      <c r="L986717" s="472"/>
      <c r="M986717" s="472"/>
    </row>
    <row r="986718" spans="12:13" x14ac:dyDescent="0.25">
      <c r="L986718" s="472"/>
      <c r="M986718" s="472"/>
    </row>
    <row r="986719" spans="12:13" x14ac:dyDescent="0.25">
      <c r="L986719" s="472"/>
      <c r="M986719" s="472"/>
    </row>
    <row r="986791" spans="12:13" x14ac:dyDescent="0.25">
      <c r="L986791" s="472"/>
      <c r="M986791" s="472"/>
    </row>
    <row r="986792" spans="12:13" x14ac:dyDescent="0.25">
      <c r="L986792" s="472"/>
      <c r="M986792" s="472"/>
    </row>
    <row r="986793" spans="12:13" x14ac:dyDescent="0.25">
      <c r="L986793" s="472"/>
      <c r="M986793" s="472"/>
    </row>
    <row r="986865" spans="12:13" x14ac:dyDescent="0.25">
      <c r="L986865" s="472"/>
      <c r="M986865" s="472"/>
    </row>
    <row r="986866" spans="12:13" x14ac:dyDescent="0.25">
      <c r="L986866" s="472"/>
      <c r="M986866" s="472"/>
    </row>
    <row r="986867" spans="12:13" x14ac:dyDescent="0.25">
      <c r="L986867" s="472"/>
      <c r="M986867" s="472"/>
    </row>
    <row r="986939" spans="12:13" x14ac:dyDescent="0.25">
      <c r="L986939" s="472"/>
      <c r="M986939" s="472"/>
    </row>
    <row r="986940" spans="12:13" x14ac:dyDescent="0.25">
      <c r="L986940" s="472"/>
      <c r="M986940" s="472"/>
    </row>
    <row r="986941" spans="12:13" x14ac:dyDescent="0.25">
      <c r="L986941" s="472"/>
      <c r="M986941" s="472"/>
    </row>
    <row r="987013" spans="12:13" x14ac:dyDescent="0.25">
      <c r="L987013" s="472"/>
      <c r="M987013" s="472"/>
    </row>
    <row r="987014" spans="12:13" x14ac:dyDescent="0.25">
      <c r="L987014" s="472"/>
      <c r="M987014" s="472"/>
    </row>
    <row r="987015" spans="12:13" x14ac:dyDescent="0.25">
      <c r="L987015" s="472"/>
      <c r="M987015" s="472"/>
    </row>
    <row r="987087" spans="12:13" x14ac:dyDescent="0.25">
      <c r="L987087" s="472"/>
      <c r="M987087" s="472"/>
    </row>
    <row r="987088" spans="12:13" x14ac:dyDescent="0.25">
      <c r="L987088" s="472"/>
      <c r="M987088" s="472"/>
    </row>
    <row r="987089" spans="12:13" x14ac:dyDescent="0.25">
      <c r="L987089" s="472"/>
      <c r="M987089" s="472"/>
    </row>
    <row r="987161" spans="12:13" x14ac:dyDescent="0.25">
      <c r="L987161" s="472"/>
      <c r="M987161" s="472"/>
    </row>
    <row r="987162" spans="12:13" x14ac:dyDescent="0.25">
      <c r="L987162" s="472"/>
      <c r="M987162" s="472"/>
    </row>
    <row r="987163" spans="12:13" x14ac:dyDescent="0.25">
      <c r="L987163" s="472"/>
      <c r="M987163" s="472"/>
    </row>
    <row r="987235" spans="12:13" x14ac:dyDescent="0.25">
      <c r="L987235" s="472"/>
      <c r="M987235" s="472"/>
    </row>
    <row r="987236" spans="12:13" x14ac:dyDescent="0.25">
      <c r="L987236" s="472"/>
      <c r="M987236" s="472"/>
    </row>
    <row r="987237" spans="12:13" x14ac:dyDescent="0.25">
      <c r="L987237" s="472"/>
      <c r="M987237" s="472"/>
    </row>
    <row r="987309" spans="12:13" x14ac:dyDescent="0.25">
      <c r="L987309" s="472"/>
      <c r="M987309" s="472"/>
    </row>
    <row r="987310" spans="12:13" x14ac:dyDescent="0.25">
      <c r="L987310" s="472"/>
      <c r="M987310" s="472"/>
    </row>
    <row r="987311" spans="12:13" x14ac:dyDescent="0.25">
      <c r="L987311" s="472"/>
      <c r="M987311" s="472"/>
    </row>
    <row r="987383" spans="12:13" x14ac:dyDescent="0.25">
      <c r="L987383" s="472"/>
      <c r="M987383" s="472"/>
    </row>
    <row r="987384" spans="12:13" x14ac:dyDescent="0.25">
      <c r="L987384" s="472"/>
      <c r="M987384" s="472"/>
    </row>
    <row r="987385" spans="12:13" x14ac:dyDescent="0.25">
      <c r="L987385" s="472"/>
      <c r="M987385" s="472"/>
    </row>
    <row r="987457" spans="12:13" x14ac:dyDescent="0.25">
      <c r="L987457" s="472"/>
      <c r="M987457" s="472"/>
    </row>
    <row r="987458" spans="12:13" x14ac:dyDescent="0.25">
      <c r="L987458" s="472"/>
      <c r="M987458" s="472"/>
    </row>
    <row r="987459" spans="12:13" x14ac:dyDescent="0.25">
      <c r="L987459" s="472"/>
      <c r="M987459" s="472"/>
    </row>
    <row r="987531" spans="12:13" x14ac:dyDescent="0.25">
      <c r="L987531" s="472"/>
      <c r="M987531" s="472"/>
    </row>
    <row r="987532" spans="12:13" x14ac:dyDescent="0.25">
      <c r="L987532" s="472"/>
      <c r="M987532" s="472"/>
    </row>
    <row r="987533" spans="12:13" x14ac:dyDescent="0.25">
      <c r="L987533" s="472"/>
      <c r="M987533" s="472"/>
    </row>
    <row r="987605" spans="12:13" x14ac:dyDescent="0.25">
      <c r="L987605" s="472"/>
      <c r="M987605" s="472"/>
    </row>
    <row r="987606" spans="12:13" x14ac:dyDescent="0.25">
      <c r="L987606" s="472"/>
      <c r="M987606" s="472"/>
    </row>
    <row r="987607" spans="12:13" x14ac:dyDescent="0.25">
      <c r="L987607" s="472"/>
      <c r="M987607" s="472"/>
    </row>
    <row r="987679" spans="12:13" x14ac:dyDescent="0.25">
      <c r="L987679" s="472"/>
      <c r="M987679" s="472"/>
    </row>
    <row r="987680" spans="12:13" x14ac:dyDescent="0.25">
      <c r="L987680" s="472"/>
      <c r="M987680" s="472"/>
    </row>
    <row r="987681" spans="12:13" x14ac:dyDescent="0.25">
      <c r="L987681" s="472"/>
      <c r="M987681" s="472"/>
    </row>
    <row r="987753" spans="12:13" x14ac:dyDescent="0.25">
      <c r="L987753" s="472"/>
      <c r="M987753" s="472"/>
    </row>
    <row r="987754" spans="12:13" x14ac:dyDescent="0.25">
      <c r="L987754" s="472"/>
      <c r="M987754" s="472"/>
    </row>
    <row r="987755" spans="12:13" x14ac:dyDescent="0.25">
      <c r="L987755" s="472"/>
      <c r="M987755" s="472"/>
    </row>
    <row r="987827" spans="12:13" x14ac:dyDescent="0.25">
      <c r="L987827" s="472"/>
      <c r="M987827" s="472"/>
    </row>
    <row r="987828" spans="12:13" x14ac:dyDescent="0.25">
      <c r="L987828" s="472"/>
      <c r="M987828" s="472"/>
    </row>
    <row r="987829" spans="12:13" x14ac:dyDescent="0.25">
      <c r="L987829" s="472"/>
      <c r="M987829" s="472"/>
    </row>
    <row r="987901" spans="12:13" x14ac:dyDescent="0.25">
      <c r="L987901" s="472"/>
      <c r="M987901" s="472"/>
    </row>
    <row r="987902" spans="12:13" x14ac:dyDescent="0.25">
      <c r="L987902" s="472"/>
      <c r="M987902" s="472"/>
    </row>
    <row r="987903" spans="12:13" x14ac:dyDescent="0.25">
      <c r="L987903" s="472"/>
      <c r="M987903" s="472"/>
    </row>
    <row r="987975" spans="12:13" x14ac:dyDescent="0.25">
      <c r="L987975" s="472"/>
      <c r="M987975" s="472"/>
    </row>
    <row r="987976" spans="12:13" x14ac:dyDescent="0.25">
      <c r="L987976" s="472"/>
      <c r="M987976" s="472"/>
    </row>
    <row r="987977" spans="12:13" x14ac:dyDescent="0.25">
      <c r="L987977" s="472"/>
      <c r="M987977" s="472"/>
    </row>
    <row r="988049" spans="12:13" x14ac:dyDescent="0.25">
      <c r="L988049" s="472"/>
      <c r="M988049" s="472"/>
    </row>
    <row r="988050" spans="12:13" x14ac:dyDescent="0.25">
      <c r="L988050" s="472"/>
      <c r="M988050" s="472"/>
    </row>
    <row r="988051" spans="12:13" x14ac:dyDescent="0.25">
      <c r="L988051" s="472"/>
      <c r="M988051" s="472"/>
    </row>
    <row r="988123" spans="12:13" x14ac:dyDescent="0.25">
      <c r="L988123" s="472"/>
      <c r="M988123" s="472"/>
    </row>
    <row r="988124" spans="12:13" x14ac:dyDescent="0.25">
      <c r="L988124" s="472"/>
      <c r="M988124" s="472"/>
    </row>
    <row r="988125" spans="12:13" x14ac:dyDescent="0.25">
      <c r="L988125" s="472"/>
      <c r="M988125" s="472"/>
    </row>
    <row r="988197" spans="12:13" x14ac:dyDescent="0.25">
      <c r="L988197" s="472"/>
      <c r="M988197" s="472"/>
    </row>
    <row r="988198" spans="12:13" x14ac:dyDescent="0.25">
      <c r="L988198" s="472"/>
      <c r="M988198" s="472"/>
    </row>
    <row r="988199" spans="12:13" x14ac:dyDescent="0.25">
      <c r="L988199" s="472"/>
      <c r="M988199" s="472"/>
    </row>
    <row r="988271" spans="12:13" x14ac:dyDescent="0.25">
      <c r="L988271" s="472"/>
      <c r="M988271" s="472"/>
    </row>
    <row r="988272" spans="12:13" x14ac:dyDescent="0.25">
      <c r="L988272" s="472"/>
      <c r="M988272" s="472"/>
    </row>
    <row r="988273" spans="12:13" x14ac:dyDescent="0.25">
      <c r="L988273" s="472"/>
      <c r="M988273" s="472"/>
    </row>
    <row r="988345" spans="12:13" x14ac:dyDescent="0.25">
      <c r="L988345" s="472"/>
      <c r="M988345" s="472"/>
    </row>
    <row r="988346" spans="12:13" x14ac:dyDescent="0.25">
      <c r="L988346" s="472"/>
      <c r="M988346" s="472"/>
    </row>
    <row r="988347" spans="12:13" x14ac:dyDescent="0.25">
      <c r="L988347" s="472"/>
      <c r="M988347" s="472"/>
    </row>
    <row r="988419" spans="12:13" x14ac:dyDescent="0.25">
      <c r="L988419" s="472"/>
      <c r="M988419" s="472"/>
    </row>
    <row r="988420" spans="12:13" x14ac:dyDescent="0.25">
      <c r="L988420" s="472"/>
      <c r="M988420" s="472"/>
    </row>
    <row r="988421" spans="12:13" x14ac:dyDescent="0.25">
      <c r="L988421" s="472"/>
      <c r="M988421" s="472"/>
    </row>
    <row r="988493" spans="12:13" x14ac:dyDescent="0.25">
      <c r="L988493" s="472"/>
      <c r="M988493" s="472"/>
    </row>
    <row r="988494" spans="12:13" x14ac:dyDescent="0.25">
      <c r="L988494" s="472"/>
      <c r="M988494" s="472"/>
    </row>
    <row r="988495" spans="12:13" x14ac:dyDescent="0.25">
      <c r="L988495" s="472"/>
      <c r="M988495" s="472"/>
    </row>
    <row r="988567" spans="12:13" x14ac:dyDescent="0.25">
      <c r="L988567" s="472"/>
      <c r="M988567" s="472"/>
    </row>
    <row r="988568" spans="12:13" x14ac:dyDescent="0.25">
      <c r="L988568" s="472"/>
      <c r="M988568" s="472"/>
    </row>
    <row r="988569" spans="12:13" x14ac:dyDescent="0.25">
      <c r="L988569" s="472"/>
      <c r="M988569" s="472"/>
    </row>
    <row r="988641" spans="12:13" x14ac:dyDescent="0.25">
      <c r="L988641" s="472"/>
      <c r="M988641" s="472"/>
    </row>
    <row r="988642" spans="12:13" x14ac:dyDescent="0.25">
      <c r="L988642" s="472"/>
      <c r="M988642" s="472"/>
    </row>
    <row r="988643" spans="12:13" x14ac:dyDescent="0.25">
      <c r="L988643" s="472"/>
      <c r="M988643" s="472"/>
    </row>
    <row r="988715" spans="12:13" x14ac:dyDescent="0.25">
      <c r="L988715" s="472"/>
      <c r="M988715" s="472"/>
    </row>
    <row r="988716" spans="12:13" x14ac:dyDescent="0.25">
      <c r="L988716" s="472"/>
      <c r="M988716" s="472"/>
    </row>
    <row r="988717" spans="12:13" x14ac:dyDescent="0.25">
      <c r="L988717" s="472"/>
      <c r="M988717" s="472"/>
    </row>
    <row r="988789" spans="12:13" x14ac:dyDescent="0.25">
      <c r="L988789" s="472"/>
      <c r="M988789" s="472"/>
    </row>
    <row r="988790" spans="12:13" x14ac:dyDescent="0.25">
      <c r="L988790" s="472"/>
      <c r="M988790" s="472"/>
    </row>
    <row r="988791" spans="12:13" x14ac:dyDescent="0.25">
      <c r="L988791" s="472"/>
      <c r="M988791" s="472"/>
    </row>
    <row r="988863" spans="12:13" x14ac:dyDescent="0.25">
      <c r="L988863" s="472"/>
      <c r="M988863" s="472"/>
    </row>
    <row r="988864" spans="12:13" x14ac:dyDescent="0.25">
      <c r="L988864" s="472"/>
      <c r="M988864" s="472"/>
    </row>
    <row r="988865" spans="12:13" x14ac:dyDescent="0.25">
      <c r="L988865" s="472"/>
      <c r="M988865" s="472"/>
    </row>
    <row r="988937" spans="12:13" x14ac:dyDescent="0.25">
      <c r="L988937" s="472"/>
      <c r="M988937" s="472"/>
    </row>
    <row r="988938" spans="12:13" x14ac:dyDescent="0.25">
      <c r="L988938" s="472"/>
      <c r="M988938" s="472"/>
    </row>
    <row r="988939" spans="12:13" x14ac:dyDescent="0.25">
      <c r="L988939" s="472"/>
      <c r="M988939" s="472"/>
    </row>
    <row r="989011" spans="12:13" x14ac:dyDescent="0.25">
      <c r="L989011" s="472"/>
      <c r="M989011" s="472"/>
    </row>
    <row r="989012" spans="12:13" x14ac:dyDescent="0.25">
      <c r="L989012" s="472"/>
      <c r="M989012" s="472"/>
    </row>
    <row r="989013" spans="12:13" x14ac:dyDescent="0.25">
      <c r="L989013" s="472"/>
      <c r="M989013" s="472"/>
    </row>
    <row r="989085" spans="12:13" x14ac:dyDescent="0.25">
      <c r="L989085" s="472"/>
      <c r="M989085" s="472"/>
    </row>
    <row r="989086" spans="12:13" x14ac:dyDescent="0.25">
      <c r="L989086" s="472"/>
      <c r="M989086" s="472"/>
    </row>
    <row r="989087" spans="12:13" x14ac:dyDescent="0.25">
      <c r="L989087" s="472"/>
      <c r="M989087" s="472"/>
    </row>
    <row r="989159" spans="12:13" x14ac:dyDescent="0.25">
      <c r="L989159" s="472"/>
      <c r="M989159" s="472"/>
    </row>
    <row r="989160" spans="12:13" x14ac:dyDescent="0.25">
      <c r="L989160" s="472"/>
      <c r="M989160" s="472"/>
    </row>
    <row r="989161" spans="12:13" x14ac:dyDescent="0.25">
      <c r="L989161" s="472"/>
      <c r="M989161" s="472"/>
    </row>
    <row r="989233" spans="12:13" x14ac:dyDescent="0.25">
      <c r="L989233" s="472"/>
      <c r="M989233" s="472"/>
    </row>
    <row r="989234" spans="12:13" x14ac:dyDescent="0.25">
      <c r="L989234" s="472"/>
      <c r="M989234" s="472"/>
    </row>
    <row r="989235" spans="12:13" x14ac:dyDescent="0.25">
      <c r="L989235" s="472"/>
      <c r="M989235" s="472"/>
    </row>
    <row r="989307" spans="12:13" x14ac:dyDescent="0.25">
      <c r="L989307" s="472"/>
      <c r="M989307" s="472"/>
    </row>
    <row r="989308" spans="12:13" x14ac:dyDescent="0.25">
      <c r="L989308" s="472"/>
      <c r="M989308" s="472"/>
    </row>
    <row r="989309" spans="12:13" x14ac:dyDescent="0.25">
      <c r="L989309" s="472"/>
      <c r="M989309" s="472"/>
    </row>
    <row r="989381" spans="12:13" x14ac:dyDescent="0.25">
      <c r="L989381" s="472"/>
      <c r="M989381" s="472"/>
    </row>
    <row r="989382" spans="12:13" x14ac:dyDescent="0.25">
      <c r="L989382" s="472"/>
      <c r="M989382" s="472"/>
    </row>
    <row r="989383" spans="12:13" x14ac:dyDescent="0.25">
      <c r="L989383" s="472"/>
      <c r="M989383" s="472"/>
    </row>
    <row r="989455" spans="12:13" x14ac:dyDescent="0.25">
      <c r="L989455" s="472"/>
      <c r="M989455" s="472"/>
    </row>
    <row r="989456" spans="12:13" x14ac:dyDescent="0.25">
      <c r="L989456" s="472"/>
      <c r="M989456" s="472"/>
    </row>
    <row r="989457" spans="12:13" x14ac:dyDescent="0.25">
      <c r="L989457" s="472"/>
      <c r="M989457" s="472"/>
    </row>
    <row r="989529" spans="12:13" x14ac:dyDescent="0.25">
      <c r="L989529" s="472"/>
      <c r="M989529" s="472"/>
    </row>
    <row r="989530" spans="12:13" x14ac:dyDescent="0.25">
      <c r="L989530" s="472"/>
      <c r="M989530" s="472"/>
    </row>
    <row r="989531" spans="12:13" x14ac:dyDescent="0.25">
      <c r="L989531" s="472"/>
      <c r="M989531" s="472"/>
    </row>
    <row r="989603" spans="12:13" x14ac:dyDescent="0.25">
      <c r="L989603" s="472"/>
      <c r="M989603" s="472"/>
    </row>
    <row r="989604" spans="12:13" x14ac:dyDescent="0.25">
      <c r="L989604" s="472"/>
      <c r="M989604" s="472"/>
    </row>
    <row r="989605" spans="12:13" x14ac:dyDescent="0.25">
      <c r="L989605" s="472"/>
      <c r="M989605" s="472"/>
    </row>
    <row r="989677" spans="12:13" x14ac:dyDescent="0.25">
      <c r="L989677" s="472"/>
      <c r="M989677" s="472"/>
    </row>
    <row r="989678" spans="12:13" x14ac:dyDescent="0.25">
      <c r="L989678" s="472"/>
      <c r="M989678" s="472"/>
    </row>
    <row r="989679" spans="12:13" x14ac:dyDescent="0.25">
      <c r="L989679" s="472"/>
      <c r="M989679" s="472"/>
    </row>
    <row r="989751" spans="12:13" x14ac:dyDescent="0.25">
      <c r="L989751" s="472"/>
      <c r="M989751" s="472"/>
    </row>
    <row r="989752" spans="12:13" x14ac:dyDescent="0.25">
      <c r="L989752" s="472"/>
      <c r="M989752" s="472"/>
    </row>
    <row r="989753" spans="12:13" x14ac:dyDescent="0.25">
      <c r="L989753" s="472"/>
      <c r="M989753" s="472"/>
    </row>
    <row r="989825" spans="12:13" x14ac:dyDescent="0.25">
      <c r="L989825" s="472"/>
      <c r="M989825" s="472"/>
    </row>
    <row r="989826" spans="12:13" x14ac:dyDescent="0.25">
      <c r="L989826" s="472"/>
      <c r="M989826" s="472"/>
    </row>
    <row r="989827" spans="12:13" x14ac:dyDescent="0.25">
      <c r="L989827" s="472"/>
      <c r="M989827" s="472"/>
    </row>
    <row r="989899" spans="12:13" x14ac:dyDescent="0.25">
      <c r="L989899" s="472"/>
      <c r="M989899" s="472"/>
    </row>
    <row r="989900" spans="12:13" x14ac:dyDescent="0.25">
      <c r="L989900" s="472"/>
      <c r="M989900" s="472"/>
    </row>
    <row r="989901" spans="12:13" x14ac:dyDescent="0.25">
      <c r="L989901" s="472"/>
      <c r="M989901" s="472"/>
    </row>
    <row r="989973" spans="12:13" x14ac:dyDescent="0.25">
      <c r="L989973" s="472"/>
      <c r="M989973" s="472"/>
    </row>
    <row r="989974" spans="12:13" x14ac:dyDescent="0.25">
      <c r="L989974" s="472"/>
      <c r="M989974" s="472"/>
    </row>
    <row r="989975" spans="12:13" x14ac:dyDescent="0.25">
      <c r="L989975" s="472"/>
      <c r="M989975" s="472"/>
    </row>
    <row r="990047" spans="12:13" x14ac:dyDescent="0.25">
      <c r="L990047" s="472"/>
      <c r="M990047" s="472"/>
    </row>
    <row r="990048" spans="12:13" x14ac:dyDescent="0.25">
      <c r="L990048" s="472"/>
      <c r="M990048" s="472"/>
    </row>
    <row r="990049" spans="12:13" x14ac:dyDescent="0.25">
      <c r="L990049" s="472"/>
      <c r="M990049" s="472"/>
    </row>
    <row r="990121" spans="12:13" x14ac:dyDescent="0.25">
      <c r="L990121" s="472"/>
      <c r="M990121" s="472"/>
    </row>
    <row r="990122" spans="12:13" x14ac:dyDescent="0.25">
      <c r="L990122" s="472"/>
      <c r="M990122" s="472"/>
    </row>
    <row r="990123" spans="12:13" x14ac:dyDescent="0.25">
      <c r="L990123" s="472"/>
      <c r="M990123" s="472"/>
    </row>
    <row r="990195" spans="12:13" x14ac:dyDescent="0.25">
      <c r="L990195" s="472"/>
      <c r="M990195" s="472"/>
    </row>
    <row r="990196" spans="12:13" x14ac:dyDescent="0.25">
      <c r="L990196" s="472"/>
      <c r="M990196" s="472"/>
    </row>
    <row r="990197" spans="12:13" x14ac:dyDescent="0.25">
      <c r="L990197" s="472"/>
      <c r="M990197" s="472"/>
    </row>
    <row r="990269" spans="12:13" x14ac:dyDescent="0.25">
      <c r="L990269" s="472"/>
      <c r="M990269" s="472"/>
    </row>
    <row r="990270" spans="12:13" x14ac:dyDescent="0.25">
      <c r="L990270" s="472"/>
      <c r="M990270" s="472"/>
    </row>
    <row r="990271" spans="12:13" x14ac:dyDescent="0.25">
      <c r="L990271" s="472"/>
      <c r="M990271" s="472"/>
    </row>
    <row r="990343" spans="12:13" x14ac:dyDescent="0.25">
      <c r="L990343" s="472"/>
      <c r="M990343" s="472"/>
    </row>
    <row r="990344" spans="12:13" x14ac:dyDescent="0.25">
      <c r="L990344" s="472"/>
      <c r="M990344" s="472"/>
    </row>
    <row r="990345" spans="12:13" x14ac:dyDescent="0.25">
      <c r="L990345" s="472"/>
      <c r="M990345" s="472"/>
    </row>
    <row r="990417" spans="12:13" x14ac:dyDescent="0.25">
      <c r="L990417" s="472"/>
      <c r="M990417" s="472"/>
    </row>
    <row r="990418" spans="12:13" x14ac:dyDescent="0.25">
      <c r="L990418" s="472"/>
      <c r="M990418" s="472"/>
    </row>
    <row r="990419" spans="12:13" x14ac:dyDescent="0.25">
      <c r="L990419" s="472"/>
      <c r="M990419" s="472"/>
    </row>
    <row r="990491" spans="12:13" x14ac:dyDescent="0.25">
      <c r="L990491" s="472"/>
      <c r="M990491" s="472"/>
    </row>
    <row r="990492" spans="12:13" x14ac:dyDescent="0.25">
      <c r="L990492" s="472"/>
      <c r="M990492" s="472"/>
    </row>
    <row r="990493" spans="12:13" x14ac:dyDescent="0.25">
      <c r="L990493" s="472"/>
      <c r="M990493" s="472"/>
    </row>
    <row r="990565" spans="12:13" x14ac:dyDescent="0.25">
      <c r="L990565" s="472"/>
      <c r="M990565" s="472"/>
    </row>
    <row r="990566" spans="12:13" x14ac:dyDescent="0.25">
      <c r="L990566" s="472"/>
      <c r="M990566" s="472"/>
    </row>
    <row r="990567" spans="12:13" x14ac:dyDescent="0.25">
      <c r="L990567" s="472"/>
      <c r="M990567" s="472"/>
    </row>
    <row r="990639" spans="12:13" x14ac:dyDescent="0.25">
      <c r="L990639" s="472"/>
      <c r="M990639" s="472"/>
    </row>
    <row r="990640" spans="12:13" x14ac:dyDescent="0.25">
      <c r="L990640" s="472"/>
      <c r="M990640" s="472"/>
    </row>
    <row r="990641" spans="12:13" x14ac:dyDescent="0.25">
      <c r="L990641" s="472"/>
      <c r="M990641" s="472"/>
    </row>
    <row r="990713" spans="12:13" x14ac:dyDescent="0.25">
      <c r="L990713" s="472"/>
      <c r="M990713" s="472"/>
    </row>
    <row r="990714" spans="12:13" x14ac:dyDescent="0.25">
      <c r="L990714" s="472"/>
      <c r="M990714" s="472"/>
    </row>
    <row r="990715" spans="12:13" x14ac:dyDescent="0.25">
      <c r="L990715" s="472"/>
      <c r="M990715" s="472"/>
    </row>
    <row r="990787" spans="12:13" x14ac:dyDescent="0.25">
      <c r="L990787" s="472"/>
      <c r="M990787" s="472"/>
    </row>
    <row r="990788" spans="12:13" x14ac:dyDescent="0.25">
      <c r="L990788" s="472"/>
      <c r="M990788" s="472"/>
    </row>
    <row r="990789" spans="12:13" x14ac:dyDescent="0.25">
      <c r="L990789" s="472"/>
      <c r="M990789" s="472"/>
    </row>
    <row r="990861" spans="12:13" x14ac:dyDescent="0.25">
      <c r="L990861" s="472"/>
      <c r="M990861" s="472"/>
    </row>
    <row r="990862" spans="12:13" x14ac:dyDescent="0.25">
      <c r="L990862" s="472"/>
      <c r="M990862" s="472"/>
    </row>
    <row r="990863" spans="12:13" x14ac:dyDescent="0.25">
      <c r="L990863" s="472"/>
      <c r="M990863" s="472"/>
    </row>
    <row r="990935" spans="12:13" x14ac:dyDescent="0.25">
      <c r="L990935" s="472"/>
      <c r="M990935" s="472"/>
    </row>
    <row r="990936" spans="12:13" x14ac:dyDescent="0.25">
      <c r="L990936" s="472"/>
      <c r="M990936" s="472"/>
    </row>
    <row r="990937" spans="12:13" x14ac:dyDescent="0.25">
      <c r="L990937" s="472"/>
      <c r="M990937" s="472"/>
    </row>
    <row r="991009" spans="12:13" x14ac:dyDescent="0.25">
      <c r="L991009" s="472"/>
      <c r="M991009" s="472"/>
    </row>
    <row r="991010" spans="12:13" x14ac:dyDescent="0.25">
      <c r="L991010" s="472"/>
      <c r="M991010" s="472"/>
    </row>
    <row r="991011" spans="12:13" x14ac:dyDescent="0.25">
      <c r="L991011" s="472"/>
      <c r="M991011" s="472"/>
    </row>
    <row r="991083" spans="12:13" x14ac:dyDescent="0.25">
      <c r="L991083" s="472"/>
      <c r="M991083" s="472"/>
    </row>
    <row r="991084" spans="12:13" x14ac:dyDescent="0.25">
      <c r="L991084" s="472"/>
      <c r="M991084" s="472"/>
    </row>
    <row r="991085" spans="12:13" x14ac:dyDescent="0.25">
      <c r="L991085" s="472"/>
      <c r="M991085" s="472"/>
    </row>
    <row r="991157" spans="12:13" x14ac:dyDescent="0.25">
      <c r="L991157" s="472"/>
      <c r="M991157" s="472"/>
    </row>
    <row r="991158" spans="12:13" x14ac:dyDescent="0.25">
      <c r="L991158" s="472"/>
      <c r="M991158" s="472"/>
    </row>
    <row r="991159" spans="12:13" x14ac:dyDescent="0.25">
      <c r="L991159" s="472"/>
      <c r="M991159" s="472"/>
    </row>
    <row r="991231" spans="12:13" x14ac:dyDescent="0.25">
      <c r="L991231" s="472"/>
      <c r="M991231" s="472"/>
    </row>
    <row r="991232" spans="12:13" x14ac:dyDescent="0.25">
      <c r="L991232" s="472"/>
      <c r="M991232" s="472"/>
    </row>
    <row r="991233" spans="12:13" x14ac:dyDescent="0.25">
      <c r="L991233" s="472"/>
      <c r="M991233" s="472"/>
    </row>
    <row r="991305" spans="12:13" x14ac:dyDescent="0.25">
      <c r="L991305" s="472"/>
      <c r="M991305" s="472"/>
    </row>
    <row r="991306" spans="12:13" x14ac:dyDescent="0.25">
      <c r="L991306" s="472"/>
      <c r="M991306" s="472"/>
    </row>
    <row r="991307" spans="12:13" x14ac:dyDescent="0.25">
      <c r="L991307" s="472"/>
      <c r="M991307" s="472"/>
    </row>
    <row r="991379" spans="12:13" x14ac:dyDescent="0.25">
      <c r="L991379" s="472"/>
      <c r="M991379" s="472"/>
    </row>
    <row r="991380" spans="12:13" x14ac:dyDescent="0.25">
      <c r="L991380" s="472"/>
      <c r="M991380" s="472"/>
    </row>
    <row r="991381" spans="12:13" x14ac:dyDescent="0.25">
      <c r="L991381" s="472"/>
      <c r="M991381" s="472"/>
    </row>
    <row r="991453" spans="12:13" x14ac:dyDescent="0.25">
      <c r="L991453" s="472"/>
      <c r="M991453" s="472"/>
    </row>
    <row r="991454" spans="12:13" x14ac:dyDescent="0.25">
      <c r="L991454" s="472"/>
      <c r="M991454" s="472"/>
    </row>
    <row r="991455" spans="12:13" x14ac:dyDescent="0.25">
      <c r="L991455" s="472"/>
      <c r="M991455" s="472"/>
    </row>
    <row r="991527" spans="12:13" x14ac:dyDescent="0.25">
      <c r="L991527" s="472"/>
      <c r="M991527" s="472"/>
    </row>
    <row r="991528" spans="12:13" x14ac:dyDescent="0.25">
      <c r="L991528" s="472"/>
      <c r="M991528" s="472"/>
    </row>
    <row r="991529" spans="12:13" x14ac:dyDescent="0.25">
      <c r="L991529" s="472"/>
      <c r="M991529" s="472"/>
    </row>
    <row r="991601" spans="12:13" x14ac:dyDescent="0.25">
      <c r="L991601" s="472"/>
      <c r="M991601" s="472"/>
    </row>
    <row r="991602" spans="12:13" x14ac:dyDescent="0.25">
      <c r="L991602" s="472"/>
      <c r="M991602" s="472"/>
    </row>
    <row r="991603" spans="12:13" x14ac:dyDescent="0.25">
      <c r="L991603" s="472"/>
      <c r="M991603" s="472"/>
    </row>
    <row r="991675" spans="12:13" x14ac:dyDescent="0.25">
      <c r="L991675" s="472"/>
      <c r="M991675" s="472"/>
    </row>
    <row r="991676" spans="12:13" x14ac:dyDescent="0.25">
      <c r="L991676" s="472"/>
      <c r="M991676" s="472"/>
    </row>
    <row r="991677" spans="12:13" x14ac:dyDescent="0.25">
      <c r="L991677" s="472"/>
      <c r="M991677" s="472"/>
    </row>
    <row r="991749" spans="12:13" x14ac:dyDescent="0.25">
      <c r="L991749" s="472"/>
      <c r="M991749" s="472"/>
    </row>
    <row r="991750" spans="12:13" x14ac:dyDescent="0.25">
      <c r="L991750" s="472"/>
      <c r="M991750" s="472"/>
    </row>
    <row r="991751" spans="12:13" x14ac:dyDescent="0.25">
      <c r="L991751" s="472"/>
      <c r="M991751" s="472"/>
    </row>
    <row r="991823" spans="12:13" x14ac:dyDescent="0.25">
      <c r="L991823" s="472"/>
      <c r="M991823" s="472"/>
    </row>
    <row r="991824" spans="12:13" x14ac:dyDescent="0.25">
      <c r="L991824" s="472"/>
      <c r="M991824" s="472"/>
    </row>
    <row r="991825" spans="12:13" x14ac:dyDescent="0.25">
      <c r="L991825" s="472"/>
      <c r="M991825" s="472"/>
    </row>
    <row r="991897" spans="12:13" x14ac:dyDescent="0.25">
      <c r="L991897" s="472"/>
      <c r="M991897" s="472"/>
    </row>
    <row r="991898" spans="12:13" x14ac:dyDescent="0.25">
      <c r="L991898" s="472"/>
      <c r="M991898" s="472"/>
    </row>
    <row r="991899" spans="12:13" x14ac:dyDescent="0.25">
      <c r="L991899" s="472"/>
      <c r="M991899" s="472"/>
    </row>
    <row r="991971" spans="12:13" x14ac:dyDescent="0.25">
      <c r="L991971" s="472"/>
      <c r="M991971" s="472"/>
    </row>
    <row r="991972" spans="12:13" x14ac:dyDescent="0.25">
      <c r="L991972" s="472"/>
      <c r="M991972" s="472"/>
    </row>
    <row r="991973" spans="12:13" x14ac:dyDescent="0.25">
      <c r="L991973" s="472"/>
      <c r="M991973" s="472"/>
    </row>
    <row r="992045" spans="12:13" x14ac:dyDescent="0.25">
      <c r="L992045" s="472"/>
      <c r="M992045" s="472"/>
    </row>
    <row r="992046" spans="12:13" x14ac:dyDescent="0.25">
      <c r="L992046" s="472"/>
      <c r="M992046" s="472"/>
    </row>
    <row r="992047" spans="12:13" x14ac:dyDescent="0.25">
      <c r="L992047" s="472"/>
      <c r="M992047" s="472"/>
    </row>
    <row r="992119" spans="12:13" x14ac:dyDescent="0.25">
      <c r="L992119" s="472"/>
      <c r="M992119" s="472"/>
    </row>
    <row r="992120" spans="12:13" x14ac:dyDescent="0.25">
      <c r="L992120" s="472"/>
      <c r="M992120" s="472"/>
    </row>
    <row r="992121" spans="12:13" x14ac:dyDescent="0.25">
      <c r="L992121" s="472"/>
      <c r="M992121" s="472"/>
    </row>
    <row r="992193" spans="12:13" x14ac:dyDescent="0.25">
      <c r="L992193" s="472"/>
      <c r="M992193" s="472"/>
    </row>
    <row r="992194" spans="12:13" x14ac:dyDescent="0.25">
      <c r="L992194" s="472"/>
      <c r="M992194" s="472"/>
    </row>
    <row r="992195" spans="12:13" x14ac:dyDescent="0.25">
      <c r="L992195" s="472"/>
      <c r="M992195" s="472"/>
    </row>
    <row r="992267" spans="12:13" x14ac:dyDescent="0.25">
      <c r="L992267" s="472"/>
      <c r="M992267" s="472"/>
    </row>
    <row r="992268" spans="12:13" x14ac:dyDescent="0.25">
      <c r="L992268" s="472"/>
      <c r="M992268" s="472"/>
    </row>
    <row r="992269" spans="12:13" x14ac:dyDescent="0.25">
      <c r="L992269" s="472"/>
      <c r="M992269" s="472"/>
    </row>
    <row r="992341" spans="12:13" x14ac:dyDescent="0.25">
      <c r="L992341" s="472"/>
      <c r="M992341" s="472"/>
    </row>
    <row r="992342" spans="12:13" x14ac:dyDescent="0.25">
      <c r="L992342" s="472"/>
      <c r="M992342" s="472"/>
    </row>
    <row r="992343" spans="12:13" x14ac:dyDescent="0.25">
      <c r="L992343" s="472"/>
      <c r="M992343" s="472"/>
    </row>
    <row r="992415" spans="12:13" x14ac:dyDescent="0.25">
      <c r="L992415" s="472"/>
      <c r="M992415" s="472"/>
    </row>
    <row r="992416" spans="12:13" x14ac:dyDescent="0.25">
      <c r="L992416" s="472"/>
      <c r="M992416" s="472"/>
    </row>
    <row r="992417" spans="12:13" x14ac:dyDescent="0.25">
      <c r="L992417" s="472"/>
      <c r="M992417" s="472"/>
    </row>
    <row r="992489" spans="12:13" x14ac:dyDescent="0.25">
      <c r="L992489" s="472"/>
      <c r="M992489" s="472"/>
    </row>
    <row r="992490" spans="12:13" x14ac:dyDescent="0.25">
      <c r="L992490" s="472"/>
      <c r="M992490" s="472"/>
    </row>
    <row r="992491" spans="12:13" x14ac:dyDescent="0.25">
      <c r="L992491" s="472"/>
      <c r="M992491" s="472"/>
    </row>
    <row r="992563" spans="12:13" x14ac:dyDescent="0.25">
      <c r="L992563" s="472"/>
      <c r="M992563" s="472"/>
    </row>
    <row r="992564" spans="12:13" x14ac:dyDescent="0.25">
      <c r="L992564" s="472"/>
      <c r="M992564" s="472"/>
    </row>
    <row r="992565" spans="12:13" x14ac:dyDescent="0.25">
      <c r="L992565" s="472"/>
      <c r="M992565" s="472"/>
    </row>
    <row r="992637" spans="12:13" x14ac:dyDescent="0.25">
      <c r="L992637" s="472"/>
      <c r="M992637" s="472"/>
    </row>
    <row r="992638" spans="12:13" x14ac:dyDescent="0.25">
      <c r="L992638" s="472"/>
      <c r="M992638" s="472"/>
    </row>
    <row r="992639" spans="12:13" x14ac:dyDescent="0.25">
      <c r="L992639" s="472"/>
      <c r="M992639" s="472"/>
    </row>
    <row r="992711" spans="12:13" x14ac:dyDescent="0.25">
      <c r="L992711" s="472"/>
      <c r="M992711" s="472"/>
    </row>
    <row r="992712" spans="12:13" x14ac:dyDescent="0.25">
      <c r="L992712" s="472"/>
      <c r="M992712" s="472"/>
    </row>
    <row r="992713" spans="12:13" x14ac:dyDescent="0.25">
      <c r="L992713" s="472"/>
      <c r="M992713" s="472"/>
    </row>
    <row r="992785" spans="12:13" x14ac:dyDescent="0.25">
      <c r="L992785" s="472"/>
      <c r="M992785" s="472"/>
    </row>
    <row r="992786" spans="12:13" x14ac:dyDescent="0.25">
      <c r="L992786" s="472"/>
      <c r="M992786" s="472"/>
    </row>
    <row r="992787" spans="12:13" x14ac:dyDescent="0.25">
      <c r="L992787" s="472"/>
      <c r="M992787" s="472"/>
    </row>
    <row r="992859" spans="12:13" x14ac:dyDescent="0.25">
      <c r="L992859" s="472"/>
      <c r="M992859" s="472"/>
    </row>
    <row r="992860" spans="12:13" x14ac:dyDescent="0.25">
      <c r="L992860" s="472"/>
      <c r="M992860" s="472"/>
    </row>
    <row r="992861" spans="12:13" x14ac:dyDescent="0.25">
      <c r="L992861" s="472"/>
      <c r="M992861" s="472"/>
    </row>
    <row r="992933" spans="12:13" x14ac:dyDescent="0.25">
      <c r="L992933" s="472"/>
      <c r="M992933" s="472"/>
    </row>
    <row r="992934" spans="12:13" x14ac:dyDescent="0.25">
      <c r="L992934" s="472"/>
      <c r="M992934" s="472"/>
    </row>
    <row r="992935" spans="12:13" x14ac:dyDescent="0.25">
      <c r="L992935" s="472"/>
      <c r="M992935" s="472"/>
    </row>
    <row r="993007" spans="12:13" x14ac:dyDescent="0.25">
      <c r="L993007" s="472"/>
      <c r="M993007" s="472"/>
    </row>
    <row r="993008" spans="12:13" x14ac:dyDescent="0.25">
      <c r="L993008" s="472"/>
      <c r="M993008" s="472"/>
    </row>
    <row r="993009" spans="12:13" x14ac:dyDescent="0.25">
      <c r="L993009" s="472"/>
      <c r="M993009" s="472"/>
    </row>
    <row r="993081" spans="12:13" x14ac:dyDescent="0.25">
      <c r="L993081" s="472"/>
      <c r="M993081" s="472"/>
    </row>
    <row r="993082" spans="12:13" x14ac:dyDescent="0.25">
      <c r="L993082" s="472"/>
      <c r="M993082" s="472"/>
    </row>
    <row r="993083" spans="12:13" x14ac:dyDescent="0.25">
      <c r="L993083" s="472"/>
      <c r="M993083" s="472"/>
    </row>
    <row r="993155" spans="12:13" x14ac:dyDescent="0.25">
      <c r="L993155" s="472"/>
      <c r="M993155" s="472"/>
    </row>
    <row r="993156" spans="12:13" x14ac:dyDescent="0.25">
      <c r="L993156" s="472"/>
      <c r="M993156" s="472"/>
    </row>
    <row r="993157" spans="12:13" x14ac:dyDescent="0.25">
      <c r="L993157" s="472"/>
      <c r="M993157" s="472"/>
    </row>
    <row r="993229" spans="12:13" x14ac:dyDescent="0.25">
      <c r="L993229" s="472"/>
      <c r="M993229" s="472"/>
    </row>
    <row r="993230" spans="12:13" x14ac:dyDescent="0.25">
      <c r="L993230" s="472"/>
      <c r="M993230" s="472"/>
    </row>
    <row r="993231" spans="12:13" x14ac:dyDescent="0.25">
      <c r="L993231" s="472"/>
      <c r="M993231" s="472"/>
    </row>
    <row r="993303" spans="12:13" x14ac:dyDescent="0.25">
      <c r="L993303" s="472"/>
      <c r="M993303" s="472"/>
    </row>
    <row r="993304" spans="12:13" x14ac:dyDescent="0.25">
      <c r="L993304" s="472"/>
      <c r="M993304" s="472"/>
    </row>
    <row r="993305" spans="12:13" x14ac:dyDescent="0.25">
      <c r="L993305" s="472"/>
      <c r="M993305" s="472"/>
    </row>
    <row r="993377" spans="12:13" x14ac:dyDescent="0.25">
      <c r="L993377" s="472"/>
      <c r="M993377" s="472"/>
    </row>
    <row r="993378" spans="12:13" x14ac:dyDescent="0.25">
      <c r="L993378" s="472"/>
      <c r="M993378" s="472"/>
    </row>
    <row r="993379" spans="12:13" x14ac:dyDescent="0.25">
      <c r="L993379" s="472"/>
      <c r="M993379" s="472"/>
    </row>
    <row r="993451" spans="12:13" x14ac:dyDescent="0.25">
      <c r="L993451" s="472"/>
      <c r="M993451" s="472"/>
    </row>
    <row r="993452" spans="12:13" x14ac:dyDescent="0.25">
      <c r="L993452" s="472"/>
      <c r="M993452" s="472"/>
    </row>
    <row r="993453" spans="12:13" x14ac:dyDescent="0.25">
      <c r="L993453" s="472"/>
      <c r="M993453" s="472"/>
    </row>
    <row r="993525" spans="12:13" x14ac:dyDescent="0.25">
      <c r="L993525" s="472"/>
      <c r="M993525" s="472"/>
    </row>
    <row r="993526" spans="12:13" x14ac:dyDescent="0.25">
      <c r="L993526" s="472"/>
      <c r="M993526" s="472"/>
    </row>
    <row r="993527" spans="12:13" x14ac:dyDescent="0.25">
      <c r="L993527" s="472"/>
      <c r="M993527" s="472"/>
    </row>
    <row r="993599" spans="12:13" x14ac:dyDescent="0.25">
      <c r="L993599" s="472"/>
      <c r="M993599" s="472"/>
    </row>
    <row r="993600" spans="12:13" x14ac:dyDescent="0.25">
      <c r="L993600" s="472"/>
      <c r="M993600" s="472"/>
    </row>
    <row r="993601" spans="12:13" x14ac:dyDescent="0.25">
      <c r="L993601" s="472"/>
      <c r="M993601" s="472"/>
    </row>
    <row r="993673" spans="12:13" x14ac:dyDescent="0.25">
      <c r="L993673" s="472"/>
      <c r="M993673" s="472"/>
    </row>
    <row r="993674" spans="12:13" x14ac:dyDescent="0.25">
      <c r="L993674" s="472"/>
      <c r="M993674" s="472"/>
    </row>
    <row r="993675" spans="12:13" x14ac:dyDescent="0.25">
      <c r="L993675" s="472"/>
      <c r="M993675" s="472"/>
    </row>
    <row r="993747" spans="12:13" x14ac:dyDescent="0.25">
      <c r="L993747" s="472"/>
      <c r="M993747" s="472"/>
    </row>
    <row r="993748" spans="12:13" x14ac:dyDescent="0.25">
      <c r="L993748" s="472"/>
      <c r="M993748" s="472"/>
    </row>
    <row r="993749" spans="12:13" x14ac:dyDescent="0.25">
      <c r="L993749" s="472"/>
      <c r="M993749" s="472"/>
    </row>
    <row r="993821" spans="12:13" x14ac:dyDescent="0.25">
      <c r="L993821" s="472"/>
      <c r="M993821" s="472"/>
    </row>
    <row r="993822" spans="12:13" x14ac:dyDescent="0.25">
      <c r="L993822" s="472"/>
      <c r="M993822" s="472"/>
    </row>
    <row r="993823" spans="12:13" x14ac:dyDescent="0.25">
      <c r="L993823" s="472"/>
      <c r="M993823" s="472"/>
    </row>
    <row r="993895" spans="12:13" x14ac:dyDescent="0.25">
      <c r="L993895" s="472"/>
      <c r="M993895" s="472"/>
    </row>
    <row r="993896" spans="12:13" x14ac:dyDescent="0.25">
      <c r="L993896" s="472"/>
      <c r="M993896" s="472"/>
    </row>
    <row r="993897" spans="12:13" x14ac:dyDescent="0.25">
      <c r="L993897" s="472"/>
      <c r="M993897" s="472"/>
    </row>
    <row r="993969" spans="12:13" x14ac:dyDescent="0.25">
      <c r="L993969" s="472"/>
      <c r="M993969" s="472"/>
    </row>
    <row r="993970" spans="12:13" x14ac:dyDescent="0.25">
      <c r="L993970" s="472"/>
      <c r="M993970" s="472"/>
    </row>
    <row r="993971" spans="12:13" x14ac:dyDescent="0.25">
      <c r="L993971" s="472"/>
      <c r="M993971" s="472"/>
    </row>
    <row r="994043" spans="12:13" x14ac:dyDescent="0.25">
      <c r="L994043" s="472"/>
      <c r="M994043" s="472"/>
    </row>
    <row r="994044" spans="12:13" x14ac:dyDescent="0.25">
      <c r="L994044" s="472"/>
      <c r="M994044" s="472"/>
    </row>
    <row r="994045" spans="12:13" x14ac:dyDescent="0.25">
      <c r="L994045" s="472"/>
      <c r="M994045" s="472"/>
    </row>
    <row r="994117" spans="12:13" x14ac:dyDescent="0.25">
      <c r="L994117" s="472"/>
      <c r="M994117" s="472"/>
    </row>
    <row r="994118" spans="12:13" x14ac:dyDescent="0.25">
      <c r="L994118" s="472"/>
      <c r="M994118" s="472"/>
    </row>
    <row r="994119" spans="12:13" x14ac:dyDescent="0.25">
      <c r="L994119" s="472"/>
      <c r="M994119" s="472"/>
    </row>
    <row r="994191" spans="12:13" x14ac:dyDescent="0.25">
      <c r="L994191" s="472"/>
      <c r="M994191" s="472"/>
    </row>
    <row r="994192" spans="12:13" x14ac:dyDescent="0.25">
      <c r="L994192" s="472"/>
      <c r="M994192" s="472"/>
    </row>
    <row r="994193" spans="12:13" x14ac:dyDescent="0.25">
      <c r="L994193" s="472"/>
      <c r="M994193" s="472"/>
    </row>
    <row r="994265" spans="12:13" x14ac:dyDescent="0.25">
      <c r="L994265" s="472"/>
      <c r="M994265" s="472"/>
    </row>
    <row r="994266" spans="12:13" x14ac:dyDescent="0.25">
      <c r="L994266" s="472"/>
      <c r="M994266" s="472"/>
    </row>
    <row r="994267" spans="12:13" x14ac:dyDescent="0.25">
      <c r="L994267" s="472"/>
      <c r="M994267" s="472"/>
    </row>
    <row r="994339" spans="12:13" x14ac:dyDescent="0.25">
      <c r="L994339" s="472"/>
      <c r="M994339" s="472"/>
    </row>
    <row r="994340" spans="12:13" x14ac:dyDescent="0.25">
      <c r="L994340" s="472"/>
      <c r="M994340" s="472"/>
    </row>
    <row r="994341" spans="12:13" x14ac:dyDescent="0.25">
      <c r="L994341" s="472"/>
      <c r="M994341" s="472"/>
    </row>
    <row r="994413" spans="12:13" x14ac:dyDescent="0.25">
      <c r="L994413" s="472"/>
      <c r="M994413" s="472"/>
    </row>
    <row r="994414" spans="12:13" x14ac:dyDescent="0.25">
      <c r="L994414" s="472"/>
      <c r="M994414" s="472"/>
    </row>
    <row r="994415" spans="12:13" x14ac:dyDescent="0.25">
      <c r="L994415" s="472"/>
      <c r="M994415" s="472"/>
    </row>
    <row r="994487" spans="12:13" x14ac:dyDescent="0.25">
      <c r="L994487" s="472"/>
      <c r="M994487" s="472"/>
    </row>
    <row r="994488" spans="12:13" x14ac:dyDescent="0.25">
      <c r="L994488" s="472"/>
      <c r="M994488" s="472"/>
    </row>
    <row r="994489" spans="12:13" x14ac:dyDescent="0.25">
      <c r="L994489" s="472"/>
      <c r="M994489" s="472"/>
    </row>
    <row r="994561" spans="12:13" x14ac:dyDescent="0.25">
      <c r="L994561" s="472"/>
      <c r="M994561" s="472"/>
    </row>
    <row r="994562" spans="12:13" x14ac:dyDescent="0.25">
      <c r="L994562" s="472"/>
      <c r="M994562" s="472"/>
    </row>
    <row r="994563" spans="12:13" x14ac:dyDescent="0.25">
      <c r="L994563" s="472"/>
      <c r="M994563" s="472"/>
    </row>
    <row r="994635" spans="12:13" x14ac:dyDescent="0.25">
      <c r="L994635" s="472"/>
      <c r="M994635" s="472"/>
    </row>
    <row r="994636" spans="12:13" x14ac:dyDescent="0.25">
      <c r="L994636" s="472"/>
      <c r="M994636" s="472"/>
    </row>
    <row r="994637" spans="12:13" x14ac:dyDescent="0.25">
      <c r="L994637" s="472"/>
      <c r="M994637" s="472"/>
    </row>
    <row r="994709" spans="12:13" x14ac:dyDescent="0.25">
      <c r="L994709" s="472"/>
      <c r="M994709" s="472"/>
    </row>
    <row r="994710" spans="12:13" x14ac:dyDescent="0.25">
      <c r="L994710" s="472"/>
      <c r="M994710" s="472"/>
    </row>
    <row r="994711" spans="12:13" x14ac:dyDescent="0.25">
      <c r="L994711" s="472"/>
      <c r="M994711" s="472"/>
    </row>
    <row r="994783" spans="12:13" x14ac:dyDescent="0.25">
      <c r="L994783" s="472"/>
      <c r="M994783" s="472"/>
    </row>
    <row r="994784" spans="12:13" x14ac:dyDescent="0.25">
      <c r="L994784" s="472"/>
      <c r="M994784" s="472"/>
    </row>
    <row r="994785" spans="12:13" x14ac:dyDescent="0.25">
      <c r="L994785" s="472"/>
      <c r="M994785" s="472"/>
    </row>
    <row r="994857" spans="12:13" x14ac:dyDescent="0.25">
      <c r="L994857" s="472"/>
      <c r="M994857" s="472"/>
    </row>
    <row r="994858" spans="12:13" x14ac:dyDescent="0.25">
      <c r="L994858" s="472"/>
      <c r="M994858" s="472"/>
    </row>
    <row r="994859" spans="12:13" x14ac:dyDescent="0.25">
      <c r="L994859" s="472"/>
      <c r="M994859" s="472"/>
    </row>
    <row r="994931" spans="12:13" x14ac:dyDescent="0.25">
      <c r="L994931" s="472"/>
      <c r="M994931" s="472"/>
    </row>
    <row r="994932" spans="12:13" x14ac:dyDescent="0.25">
      <c r="L994932" s="472"/>
      <c r="M994932" s="472"/>
    </row>
    <row r="994933" spans="12:13" x14ac:dyDescent="0.25">
      <c r="L994933" s="472"/>
      <c r="M994933" s="472"/>
    </row>
    <row r="995005" spans="12:13" x14ac:dyDescent="0.25">
      <c r="L995005" s="472"/>
      <c r="M995005" s="472"/>
    </row>
    <row r="995006" spans="12:13" x14ac:dyDescent="0.25">
      <c r="L995006" s="472"/>
      <c r="M995006" s="472"/>
    </row>
    <row r="995007" spans="12:13" x14ac:dyDescent="0.25">
      <c r="L995007" s="472"/>
      <c r="M995007" s="472"/>
    </row>
    <row r="995079" spans="12:13" x14ac:dyDescent="0.25">
      <c r="L995079" s="472"/>
      <c r="M995079" s="472"/>
    </row>
    <row r="995080" spans="12:13" x14ac:dyDescent="0.25">
      <c r="L995080" s="472"/>
      <c r="M995080" s="472"/>
    </row>
    <row r="995081" spans="12:13" x14ac:dyDescent="0.25">
      <c r="L995081" s="472"/>
      <c r="M995081" s="472"/>
    </row>
    <row r="995153" spans="12:13" x14ac:dyDescent="0.25">
      <c r="L995153" s="472"/>
      <c r="M995153" s="472"/>
    </row>
    <row r="995154" spans="12:13" x14ac:dyDescent="0.25">
      <c r="L995154" s="472"/>
      <c r="M995154" s="472"/>
    </row>
    <row r="995155" spans="12:13" x14ac:dyDescent="0.25">
      <c r="L995155" s="472"/>
      <c r="M995155" s="472"/>
    </row>
    <row r="995227" spans="12:13" x14ac:dyDescent="0.25">
      <c r="L995227" s="472"/>
      <c r="M995227" s="472"/>
    </row>
    <row r="995228" spans="12:13" x14ac:dyDescent="0.25">
      <c r="L995228" s="472"/>
      <c r="M995228" s="472"/>
    </row>
    <row r="995229" spans="12:13" x14ac:dyDescent="0.25">
      <c r="L995229" s="472"/>
      <c r="M995229" s="472"/>
    </row>
    <row r="995301" spans="12:13" x14ac:dyDescent="0.25">
      <c r="L995301" s="472"/>
      <c r="M995301" s="472"/>
    </row>
    <row r="995302" spans="12:13" x14ac:dyDescent="0.25">
      <c r="L995302" s="472"/>
      <c r="M995302" s="472"/>
    </row>
    <row r="995303" spans="12:13" x14ac:dyDescent="0.25">
      <c r="L995303" s="472"/>
      <c r="M995303" s="472"/>
    </row>
    <row r="995375" spans="12:13" x14ac:dyDescent="0.25">
      <c r="L995375" s="472"/>
      <c r="M995375" s="472"/>
    </row>
    <row r="995376" spans="12:13" x14ac:dyDescent="0.25">
      <c r="L995376" s="472"/>
      <c r="M995376" s="472"/>
    </row>
    <row r="995377" spans="12:13" x14ac:dyDescent="0.25">
      <c r="L995377" s="472"/>
      <c r="M995377" s="472"/>
    </row>
    <row r="995449" spans="12:13" x14ac:dyDescent="0.25">
      <c r="L995449" s="472"/>
      <c r="M995449" s="472"/>
    </row>
    <row r="995450" spans="12:13" x14ac:dyDescent="0.25">
      <c r="L995450" s="472"/>
      <c r="M995450" s="472"/>
    </row>
    <row r="995451" spans="12:13" x14ac:dyDescent="0.25">
      <c r="L995451" s="472"/>
      <c r="M995451" s="472"/>
    </row>
    <row r="995523" spans="12:13" x14ac:dyDescent="0.25">
      <c r="L995523" s="472"/>
      <c r="M995523" s="472"/>
    </row>
    <row r="995524" spans="12:13" x14ac:dyDescent="0.25">
      <c r="L995524" s="472"/>
      <c r="M995524" s="472"/>
    </row>
    <row r="995525" spans="12:13" x14ac:dyDescent="0.25">
      <c r="L995525" s="472"/>
      <c r="M995525" s="472"/>
    </row>
    <row r="995597" spans="12:13" x14ac:dyDescent="0.25">
      <c r="L995597" s="472"/>
      <c r="M995597" s="472"/>
    </row>
    <row r="995598" spans="12:13" x14ac:dyDescent="0.25">
      <c r="L995598" s="472"/>
      <c r="M995598" s="472"/>
    </row>
    <row r="995599" spans="12:13" x14ac:dyDescent="0.25">
      <c r="L995599" s="472"/>
      <c r="M995599" s="472"/>
    </row>
    <row r="995671" spans="12:13" x14ac:dyDescent="0.25">
      <c r="L995671" s="472"/>
      <c r="M995671" s="472"/>
    </row>
    <row r="995672" spans="12:13" x14ac:dyDescent="0.25">
      <c r="L995672" s="472"/>
      <c r="M995672" s="472"/>
    </row>
    <row r="995673" spans="12:13" x14ac:dyDescent="0.25">
      <c r="L995673" s="472"/>
      <c r="M995673" s="472"/>
    </row>
    <row r="995745" spans="12:13" x14ac:dyDescent="0.25">
      <c r="L995745" s="472"/>
      <c r="M995745" s="472"/>
    </row>
    <row r="995746" spans="12:13" x14ac:dyDescent="0.25">
      <c r="L995746" s="472"/>
      <c r="M995746" s="472"/>
    </row>
    <row r="995747" spans="12:13" x14ac:dyDescent="0.25">
      <c r="L995747" s="472"/>
      <c r="M995747" s="472"/>
    </row>
    <row r="995819" spans="12:13" x14ac:dyDescent="0.25">
      <c r="L995819" s="472"/>
      <c r="M995819" s="472"/>
    </row>
    <row r="995820" spans="12:13" x14ac:dyDescent="0.25">
      <c r="L995820" s="472"/>
      <c r="M995820" s="472"/>
    </row>
    <row r="995821" spans="12:13" x14ac:dyDescent="0.25">
      <c r="L995821" s="472"/>
      <c r="M995821" s="472"/>
    </row>
    <row r="995893" spans="12:13" x14ac:dyDescent="0.25">
      <c r="L995893" s="472"/>
      <c r="M995893" s="472"/>
    </row>
    <row r="995894" spans="12:13" x14ac:dyDescent="0.25">
      <c r="L995894" s="472"/>
      <c r="M995894" s="472"/>
    </row>
    <row r="995895" spans="12:13" x14ac:dyDescent="0.25">
      <c r="L995895" s="472"/>
      <c r="M995895" s="472"/>
    </row>
    <row r="995967" spans="12:13" x14ac:dyDescent="0.25">
      <c r="L995967" s="472"/>
      <c r="M995967" s="472"/>
    </row>
    <row r="995968" spans="12:13" x14ac:dyDescent="0.25">
      <c r="L995968" s="472"/>
      <c r="M995968" s="472"/>
    </row>
    <row r="995969" spans="12:13" x14ac:dyDescent="0.25">
      <c r="L995969" s="472"/>
      <c r="M995969" s="472"/>
    </row>
    <row r="996041" spans="12:13" x14ac:dyDescent="0.25">
      <c r="L996041" s="472"/>
      <c r="M996041" s="472"/>
    </row>
    <row r="996042" spans="12:13" x14ac:dyDescent="0.25">
      <c r="L996042" s="472"/>
      <c r="M996042" s="472"/>
    </row>
    <row r="996043" spans="12:13" x14ac:dyDescent="0.25">
      <c r="L996043" s="472"/>
      <c r="M996043" s="472"/>
    </row>
    <row r="996115" spans="12:13" x14ac:dyDescent="0.25">
      <c r="L996115" s="472"/>
      <c r="M996115" s="472"/>
    </row>
    <row r="996116" spans="12:13" x14ac:dyDescent="0.25">
      <c r="L996116" s="472"/>
      <c r="M996116" s="472"/>
    </row>
    <row r="996117" spans="12:13" x14ac:dyDescent="0.25">
      <c r="L996117" s="472"/>
      <c r="M996117" s="472"/>
    </row>
    <row r="996189" spans="12:13" x14ac:dyDescent="0.25">
      <c r="L996189" s="472"/>
      <c r="M996189" s="472"/>
    </row>
    <row r="996190" spans="12:13" x14ac:dyDescent="0.25">
      <c r="L996190" s="472"/>
      <c r="M996190" s="472"/>
    </row>
    <row r="996191" spans="12:13" x14ac:dyDescent="0.25">
      <c r="L996191" s="472"/>
      <c r="M996191" s="472"/>
    </row>
    <row r="996263" spans="12:13" x14ac:dyDescent="0.25">
      <c r="L996263" s="472"/>
      <c r="M996263" s="472"/>
    </row>
    <row r="996264" spans="12:13" x14ac:dyDescent="0.25">
      <c r="L996264" s="472"/>
      <c r="M996264" s="472"/>
    </row>
    <row r="996265" spans="12:13" x14ac:dyDescent="0.25">
      <c r="L996265" s="472"/>
      <c r="M996265" s="472"/>
    </row>
    <row r="996337" spans="12:13" x14ac:dyDescent="0.25">
      <c r="L996337" s="472"/>
      <c r="M996337" s="472"/>
    </row>
    <row r="996338" spans="12:13" x14ac:dyDescent="0.25">
      <c r="L996338" s="472"/>
      <c r="M996338" s="472"/>
    </row>
    <row r="996339" spans="12:13" x14ac:dyDescent="0.25">
      <c r="L996339" s="472"/>
      <c r="M996339" s="472"/>
    </row>
    <row r="996411" spans="12:13" x14ac:dyDescent="0.25">
      <c r="L996411" s="472"/>
      <c r="M996411" s="472"/>
    </row>
    <row r="996412" spans="12:13" x14ac:dyDescent="0.25">
      <c r="L996412" s="472"/>
      <c r="M996412" s="472"/>
    </row>
    <row r="996413" spans="12:13" x14ac:dyDescent="0.25">
      <c r="L996413" s="472"/>
      <c r="M996413" s="472"/>
    </row>
    <row r="996485" spans="12:13" x14ac:dyDescent="0.25">
      <c r="L996485" s="472"/>
      <c r="M996485" s="472"/>
    </row>
    <row r="996486" spans="12:13" x14ac:dyDescent="0.25">
      <c r="L996486" s="472"/>
      <c r="M996486" s="472"/>
    </row>
    <row r="996487" spans="12:13" x14ac:dyDescent="0.25">
      <c r="L996487" s="472"/>
      <c r="M996487" s="472"/>
    </row>
    <row r="996559" spans="12:13" x14ac:dyDescent="0.25">
      <c r="L996559" s="472"/>
      <c r="M996559" s="472"/>
    </row>
    <row r="996560" spans="12:13" x14ac:dyDescent="0.25">
      <c r="L996560" s="472"/>
      <c r="M996560" s="472"/>
    </row>
    <row r="996561" spans="12:13" x14ac:dyDescent="0.25">
      <c r="L996561" s="472"/>
      <c r="M996561" s="472"/>
    </row>
    <row r="996633" spans="12:13" x14ac:dyDescent="0.25">
      <c r="L996633" s="472"/>
      <c r="M996633" s="472"/>
    </row>
    <row r="996634" spans="12:13" x14ac:dyDescent="0.25">
      <c r="L996634" s="472"/>
      <c r="M996634" s="472"/>
    </row>
    <row r="996635" spans="12:13" x14ac:dyDescent="0.25">
      <c r="L996635" s="472"/>
      <c r="M996635" s="472"/>
    </row>
    <row r="996707" spans="12:13" x14ac:dyDescent="0.25">
      <c r="L996707" s="472"/>
      <c r="M996707" s="472"/>
    </row>
    <row r="996708" spans="12:13" x14ac:dyDescent="0.25">
      <c r="L996708" s="472"/>
      <c r="M996708" s="472"/>
    </row>
    <row r="996709" spans="12:13" x14ac:dyDescent="0.25">
      <c r="L996709" s="472"/>
      <c r="M996709" s="472"/>
    </row>
    <row r="996781" spans="12:13" x14ac:dyDescent="0.25">
      <c r="L996781" s="472"/>
      <c r="M996781" s="472"/>
    </row>
    <row r="996782" spans="12:13" x14ac:dyDescent="0.25">
      <c r="L996782" s="472"/>
      <c r="M996782" s="472"/>
    </row>
    <row r="996783" spans="12:13" x14ac:dyDescent="0.25">
      <c r="L996783" s="472"/>
      <c r="M996783" s="472"/>
    </row>
    <row r="996855" spans="12:13" x14ac:dyDescent="0.25">
      <c r="L996855" s="472"/>
      <c r="M996855" s="472"/>
    </row>
    <row r="996856" spans="12:13" x14ac:dyDescent="0.25">
      <c r="L996856" s="472"/>
      <c r="M996856" s="472"/>
    </row>
    <row r="996857" spans="12:13" x14ac:dyDescent="0.25">
      <c r="L996857" s="472"/>
      <c r="M996857" s="472"/>
    </row>
    <row r="996929" spans="12:13" x14ac:dyDescent="0.25">
      <c r="L996929" s="472"/>
      <c r="M996929" s="472"/>
    </row>
    <row r="996930" spans="12:13" x14ac:dyDescent="0.25">
      <c r="L996930" s="472"/>
      <c r="M996930" s="472"/>
    </row>
    <row r="996931" spans="12:13" x14ac:dyDescent="0.25">
      <c r="L996931" s="472"/>
      <c r="M996931" s="472"/>
    </row>
    <row r="997003" spans="12:13" x14ac:dyDescent="0.25">
      <c r="L997003" s="472"/>
      <c r="M997003" s="472"/>
    </row>
    <row r="997004" spans="12:13" x14ac:dyDescent="0.25">
      <c r="L997004" s="472"/>
      <c r="M997004" s="472"/>
    </row>
    <row r="997005" spans="12:13" x14ac:dyDescent="0.25">
      <c r="L997005" s="472"/>
      <c r="M997005" s="472"/>
    </row>
    <row r="997077" spans="12:13" x14ac:dyDescent="0.25">
      <c r="L997077" s="472"/>
      <c r="M997077" s="472"/>
    </row>
    <row r="997078" spans="12:13" x14ac:dyDescent="0.25">
      <c r="L997078" s="472"/>
      <c r="M997078" s="472"/>
    </row>
    <row r="997079" spans="12:13" x14ac:dyDescent="0.25">
      <c r="L997079" s="472"/>
      <c r="M997079" s="472"/>
    </row>
    <row r="997151" spans="12:13" x14ac:dyDescent="0.25">
      <c r="L997151" s="472"/>
      <c r="M997151" s="472"/>
    </row>
    <row r="997152" spans="12:13" x14ac:dyDescent="0.25">
      <c r="L997152" s="472"/>
      <c r="M997152" s="472"/>
    </row>
    <row r="997153" spans="12:13" x14ac:dyDescent="0.25">
      <c r="L997153" s="472"/>
      <c r="M997153" s="472"/>
    </row>
    <row r="997225" spans="12:13" x14ac:dyDescent="0.25">
      <c r="L997225" s="472"/>
      <c r="M997225" s="472"/>
    </row>
    <row r="997226" spans="12:13" x14ac:dyDescent="0.25">
      <c r="L997226" s="472"/>
      <c r="M997226" s="472"/>
    </row>
    <row r="997227" spans="12:13" x14ac:dyDescent="0.25">
      <c r="L997227" s="472"/>
      <c r="M997227" s="472"/>
    </row>
    <row r="997299" spans="12:13" x14ac:dyDescent="0.25">
      <c r="L997299" s="472"/>
      <c r="M997299" s="472"/>
    </row>
    <row r="997300" spans="12:13" x14ac:dyDescent="0.25">
      <c r="L997300" s="472"/>
      <c r="M997300" s="472"/>
    </row>
    <row r="997301" spans="12:13" x14ac:dyDescent="0.25">
      <c r="L997301" s="472"/>
      <c r="M997301" s="472"/>
    </row>
    <row r="997373" spans="12:13" x14ac:dyDescent="0.25">
      <c r="L997373" s="472"/>
      <c r="M997373" s="472"/>
    </row>
    <row r="997374" spans="12:13" x14ac:dyDescent="0.25">
      <c r="L997374" s="472"/>
      <c r="M997374" s="472"/>
    </row>
    <row r="997375" spans="12:13" x14ac:dyDescent="0.25">
      <c r="L997375" s="472"/>
      <c r="M997375" s="472"/>
    </row>
    <row r="997447" spans="12:13" x14ac:dyDescent="0.25">
      <c r="L997447" s="472"/>
      <c r="M997447" s="472"/>
    </row>
    <row r="997448" spans="12:13" x14ac:dyDescent="0.25">
      <c r="L997448" s="472"/>
      <c r="M997448" s="472"/>
    </row>
    <row r="997449" spans="12:13" x14ac:dyDescent="0.25">
      <c r="L997449" s="472"/>
      <c r="M997449" s="472"/>
    </row>
    <row r="997521" spans="12:13" x14ac:dyDescent="0.25">
      <c r="L997521" s="472"/>
      <c r="M997521" s="472"/>
    </row>
    <row r="997522" spans="12:13" x14ac:dyDescent="0.25">
      <c r="L997522" s="472"/>
      <c r="M997522" s="472"/>
    </row>
    <row r="997523" spans="12:13" x14ac:dyDescent="0.25">
      <c r="L997523" s="472"/>
      <c r="M997523" s="472"/>
    </row>
    <row r="997595" spans="12:13" x14ac:dyDescent="0.25">
      <c r="L997595" s="472"/>
      <c r="M997595" s="472"/>
    </row>
    <row r="997596" spans="12:13" x14ac:dyDescent="0.25">
      <c r="L997596" s="472"/>
      <c r="M997596" s="472"/>
    </row>
    <row r="997597" spans="12:13" x14ac:dyDescent="0.25">
      <c r="L997597" s="472"/>
      <c r="M997597" s="472"/>
    </row>
    <row r="997669" spans="12:13" x14ac:dyDescent="0.25">
      <c r="L997669" s="472"/>
      <c r="M997669" s="472"/>
    </row>
    <row r="997670" spans="12:13" x14ac:dyDescent="0.25">
      <c r="L997670" s="472"/>
      <c r="M997670" s="472"/>
    </row>
    <row r="997671" spans="12:13" x14ac:dyDescent="0.25">
      <c r="L997671" s="472"/>
      <c r="M997671" s="472"/>
    </row>
    <row r="997743" spans="12:13" x14ac:dyDescent="0.25">
      <c r="L997743" s="472"/>
      <c r="M997743" s="472"/>
    </row>
    <row r="997744" spans="12:13" x14ac:dyDescent="0.25">
      <c r="L997744" s="472"/>
      <c r="M997744" s="472"/>
    </row>
    <row r="997745" spans="12:13" x14ac:dyDescent="0.25">
      <c r="L997745" s="472"/>
      <c r="M997745" s="472"/>
    </row>
    <row r="997817" spans="12:13" x14ac:dyDescent="0.25">
      <c r="L997817" s="472"/>
      <c r="M997817" s="472"/>
    </row>
    <row r="997818" spans="12:13" x14ac:dyDescent="0.25">
      <c r="L997818" s="472"/>
      <c r="M997818" s="472"/>
    </row>
    <row r="997819" spans="12:13" x14ac:dyDescent="0.25">
      <c r="L997819" s="472"/>
      <c r="M997819" s="472"/>
    </row>
    <row r="997891" spans="12:13" x14ac:dyDescent="0.25">
      <c r="L997891" s="472"/>
      <c r="M997891" s="472"/>
    </row>
    <row r="997892" spans="12:13" x14ac:dyDescent="0.25">
      <c r="L997892" s="472"/>
      <c r="M997892" s="472"/>
    </row>
    <row r="997893" spans="12:13" x14ac:dyDescent="0.25">
      <c r="L997893" s="472"/>
      <c r="M997893" s="472"/>
    </row>
    <row r="997965" spans="12:13" x14ac:dyDescent="0.25">
      <c r="L997965" s="472"/>
      <c r="M997965" s="472"/>
    </row>
    <row r="997966" spans="12:13" x14ac:dyDescent="0.25">
      <c r="L997966" s="472"/>
      <c r="M997966" s="472"/>
    </row>
    <row r="997967" spans="12:13" x14ac:dyDescent="0.25">
      <c r="L997967" s="472"/>
      <c r="M997967" s="472"/>
    </row>
    <row r="998039" spans="12:13" x14ac:dyDescent="0.25">
      <c r="L998039" s="472"/>
      <c r="M998039" s="472"/>
    </row>
    <row r="998040" spans="12:13" x14ac:dyDescent="0.25">
      <c r="L998040" s="472"/>
      <c r="M998040" s="472"/>
    </row>
    <row r="998041" spans="12:13" x14ac:dyDescent="0.25">
      <c r="L998041" s="472"/>
      <c r="M998041" s="472"/>
    </row>
    <row r="998113" spans="12:13" x14ac:dyDescent="0.25">
      <c r="L998113" s="472"/>
      <c r="M998113" s="472"/>
    </row>
    <row r="998114" spans="12:13" x14ac:dyDescent="0.25">
      <c r="L998114" s="472"/>
      <c r="M998114" s="472"/>
    </row>
    <row r="998115" spans="12:13" x14ac:dyDescent="0.25">
      <c r="L998115" s="472"/>
      <c r="M998115" s="472"/>
    </row>
    <row r="998187" spans="12:13" x14ac:dyDescent="0.25">
      <c r="L998187" s="472"/>
      <c r="M998187" s="472"/>
    </row>
    <row r="998188" spans="12:13" x14ac:dyDescent="0.25">
      <c r="L998188" s="472"/>
      <c r="M998188" s="472"/>
    </row>
    <row r="998189" spans="12:13" x14ac:dyDescent="0.25">
      <c r="L998189" s="472"/>
      <c r="M998189" s="472"/>
    </row>
    <row r="998261" spans="12:13" x14ac:dyDescent="0.25">
      <c r="L998261" s="472"/>
      <c r="M998261" s="472"/>
    </row>
    <row r="998262" spans="12:13" x14ac:dyDescent="0.25">
      <c r="L998262" s="472"/>
      <c r="M998262" s="472"/>
    </row>
    <row r="998263" spans="12:13" x14ac:dyDescent="0.25">
      <c r="L998263" s="472"/>
      <c r="M998263" s="472"/>
    </row>
    <row r="998335" spans="12:13" x14ac:dyDescent="0.25">
      <c r="L998335" s="472"/>
      <c r="M998335" s="472"/>
    </row>
    <row r="998336" spans="12:13" x14ac:dyDescent="0.25">
      <c r="L998336" s="472"/>
      <c r="M998336" s="472"/>
    </row>
    <row r="998337" spans="12:13" x14ac:dyDescent="0.25">
      <c r="L998337" s="472"/>
      <c r="M998337" s="472"/>
    </row>
    <row r="998409" spans="12:13" x14ac:dyDescent="0.25">
      <c r="L998409" s="472"/>
      <c r="M998409" s="472"/>
    </row>
    <row r="998410" spans="12:13" x14ac:dyDescent="0.25">
      <c r="L998410" s="472"/>
      <c r="M998410" s="472"/>
    </row>
    <row r="998411" spans="12:13" x14ac:dyDescent="0.25">
      <c r="L998411" s="472"/>
      <c r="M998411" s="472"/>
    </row>
    <row r="998483" spans="12:13" x14ac:dyDescent="0.25">
      <c r="L998483" s="472"/>
      <c r="M998483" s="472"/>
    </row>
    <row r="998484" spans="12:13" x14ac:dyDescent="0.25">
      <c r="L998484" s="472"/>
      <c r="M998484" s="472"/>
    </row>
    <row r="998485" spans="12:13" x14ac:dyDescent="0.25">
      <c r="L998485" s="472"/>
      <c r="M998485" s="472"/>
    </row>
    <row r="998557" spans="12:13" x14ac:dyDescent="0.25">
      <c r="L998557" s="472"/>
      <c r="M998557" s="472"/>
    </row>
    <row r="998558" spans="12:13" x14ac:dyDescent="0.25">
      <c r="L998558" s="472"/>
      <c r="M998558" s="472"/>
    </row>
    <row r="998559" spans="12:13" x14ac:dyDescent="0.25">
      <c r="L998559" s="472"/>
      <c r="M998559" s="472"/>
    </row>
    <row r="998631" spans="12:13" x14ac:dyDescent="0.25">
      <c r="L998631" s="472"/>
      <c r="M998631" s="472"/>
    </row>
    <row r="998632" spans="12:13" x14ac:dyDescent="0.25">
      <c r="L998632" s="472"/>
      <c r="M998632" s="472"/>
    </row>
    <row r="998633" spans="12:13" x14ac:dyDescent="0.25">
      <c r="L998633" s="472"/>
      <c r="M998633" s="472"/>
    </row>
    <row r="998705" spans="12:13" x14ac:dyDescent="0.25">
      <c r="L998705" s="472"/>
      <c r="M998705" s="472"/>
    </row>
    <row r="998706" spans="12:13" x14ac:dyDescent="0.25">
      <c r="L998706" s="472"/>
      <c r="M998706" s="472"/>
    </row>
    <row r="998707" spans="12:13" x14ac:dyDescent="0.25">
      <c r="L998707" s="472"/>
      <c r="M998707" s="472"/>
    </row>
    <row r="998779" spans="12:13" x14ac:dyDescent="0.25">
      <c r="L998779" s="472"/>
      <c r="M998779" s="472"/>
    </row>
    <row r="998780" spans="12:13" x14ac:dyDescent="0.25">
      <c r="L998780" s="472"/>
      <c r="M998780" s="472"/>
    </row>
    <row r="998781" spans="12:13" x14ac:dyDescent="0.25">
      <c r="L998781" s="472"/>
      <c r="M998781" s="472"/>
    </row>
    <row r="998853" spans="12:13" x14ac:dyDescent="0.25">
      <c r="L998853" s="472"/>
      <c r="M998853" s="472"/>
    </row>
    <row r="998854" spans="12:13" x14ac:dyDescent="0.25">
      <c r="L998854" s="472"/>
      <c r="M998854" s="472"/>
    </row>
    <row r="998855" spans="12:13" x14ac:dyDescent="0.25">
      <c r="L998855" s="472"/>
      <c r="M998855" s="472"/>
    </row>
    <row r="998927" spans="12:13" x14ac:dyDescent="0.25">
      <c r="L998927" s="472"/>
      <c r="M998927" s="472"/>
    </row>
    <row r="998928" spans="12:13" x14ac:dyDescent="0.25">
      <c r="L998928" s="472"/>
      <c r="M998928" s="472"/>
    </row>
    <row r="998929" spans="12:13" x14ac:dyDescent="0.25">
      <c r="L998929" s="472"/>
      <c r="M998929" s="472"/>
    </row>
    <row r="999001" spans="12:13" x14ac:dyDescent="0.25">
      <c r="L999001" s="472"/>
      <c r="M999001" s="472"/>
    </row>
    <row r="999002" spans="12:13" x14ac:dyDescent="0.25">
      <c r="L999002" s="472"/>
      <c r="M999002" s="472"/>
    </row>
    <row r="999003" spans="12:13" x14ac:dyDescent="0.25">
      <c r="L999003" s="472"/>
      <c r="M999003" s="472"/>
    </row>
    <row r="999075" spans="12:13" x14ac:dyDescent="0.25">
      <c r="L999075" s="472"/>
      <c r="M999075" s="472"/>
    </row>
    <row r="999076" spans="12:13" x14ac:dyDescent="0.25">
      <c r="L999076" s="472"/>
      <c r="M999076" s="472"/>
    </row>
    <row r="999077" spans="12:13" x14ac:dyDescent="0.25">
      <c r="L999077" s="472"/>
      <c r="M999077" s="472"/>
    </row>
    <row r="999149" spans="12:13" x14ac:dyDescent="0.25">
      <c r="L999149" s="472"/>
      <c r="M999149" s="472"/>
    </row>
    <row r="999150" spans="12:13" x14ac:dyDescent="0.25">
      <c r="L999150" s="472"/>
      <c r="M999150" s="472"/>
    </row>
    <row r="999151" spans="12:13" x14ac:dyDescent="0.25">
      <c r="L999151" s="472"/>
      <c r="M999151" s="472"/>
    </row>
    <row r="999223" spans="12:13" x14ac:dyDescent="0.25">
      <c r="L999223" s="472"/>
      <c r="M999223" s="472"/>
    </row>
    <row r="999224" spans="12:13" x14ac:dyDescent="0.25">
      <c r="L999224" s="472"/>
      <c r="M999224" s="472"/>
    </row>
    <row r="999225" spans="12:13" x14ac:dyDescent="0.25">
      <c r="L999225" s="472"/>
      <c r="M999225" s="472"/>
    </row>
    <row r="999297" spans="12:13" x14ac:dyDescent="0.25">
      <c r="L999297" s="472"/>
      <c r="M999297" s="472"/>
    </row>
    <row r="999298" spans="12:13" x14ac:dyDescent="0.25">
      <c r="L999298" s="472"/>
      <c r="M999298" s="472"/>
    </row>
    <row r="999299" spans="12:13" x14ac:dyDescent="0.25">
      <c r="L999299" s="472"/>
      <c r="M999299" s="472"/>
    </row>
    <row r="999371" spans="12:13" x14ac:dyDescent="0.25">
      <c r="L999371" s="472"/>
      <c r="M999371" s="472"/>
    </row>
    <row r="999372" spans="12:13" x14ac:dyDescent="0.25">
      <c r="L999372" s="472"/>
      <c r="M999372" s="472"/>
    </row>
    <row r="999373" spans="12:13" x14ac:dyDescent="0.25">
      <c r="L999373" s="472"/>
      <c r="M999373" s="472"/>
    </row>
    <row r="999445" spans="12:13" x14ac:dyDescent="0.25">
      <c r="L999445" s="472"/>
      <c r="M999445" s="472"/>
    </row>
    <row r="999446" spans="12:13" x14ac:dyDescent="0.25">
      <c r="L999446" s="472"/>
      <c r="M999446" s="472"/>
    </row>
    <row r="999447" spans="12:13" x14ac:dyDescent="0.25">
      <c r="L999447" s="472"/>
      <c r="M999447" s="472"/>
    </row>
    <row r="999519" spans="12:13" x14ac:dyDescent="0.25">
      <c r="L999519" s="472"/>
      <c r="M999519" s="472"/>
    </row>
    <row r="999520" spans="12:13" x14ac:dyDescent="0.25">
      <c r="L999520" s="472"/>
      <c r="M999520" s="472"/>
    </row>
    <row r="999521" spans="12:13" x14ac:dyDescent="0.25">
      <c r="L999521" s="472"/>
      <c r="M999521" s="472"/>
    </row>
    <row r="999593" spans="12:13" x14ac:dyDescent="0.25">
      <c r="L999593" s="472"/>
      <c r="M999593" s="472"/>
    </row>
    <row r="999594" spans="12:13" x14ac:dyDescent="0.25">
      <c r="L999594" s="472"/>
      <c r="M999594" s="472"/>
    </row>
    <row r="999595" spans="12:13" x14ac:dyDescent="0.25">
      <c r="L999595" s="472"/>
      <c r="M999595" s="472"/>
    </row>
    <row r="999667" spans="12:13" x14ac:dyDescent="0.25">
      <c r="L999667" s="472"/>
      <c r="M999667" s="472"/>
    </row>
    <row r="999668" spans="12:13" x14ac:dyDescent="0.25">
      <c r="L999668" s="472"/>
      <c r="M999668" s="472"/>
    </row>
    <row r="999669" spans="12:13" x14ac:dyDescent="0.25">
      <c r="L999669" s="472"/>
      <c r="M999669" s="472"/>
    </row>
    <row r="999741" spans="12:13" x14ac:dyDescent="0.25">
      <c r="L999741" s="472"/>
      <c r="M999741" s="472"/>
    </row>
    <row r="999742" spans="12:13" x14ac:dyDescent="0.25">
      <c r="L999742" s="472"/>
      <c r="M999742" s="472"/>
    </row>
    <row r="999743" spans="12:13" x14ac:dyDescent="0.25">
      <c r="L999743" s="472"/>
      <c r="M999743" s="472"/>
    </row>
    <row r="999815" spans="12:13" x14ac:dyDescent="0.25">
      <c r="L999815" s="472"/>
      <c r="M999815" s="472"/>
    </row>
    <row r="999816" spans="12:13" x14ac:dyDescent="0.25">
      <c r="L999816" s="472"/>
      <c r="M999816" s="472"/>
    </row>
    <row r="999817" spans="12:13" x14ac:dyDescent="0.25">
      <c r="L999817" s="472"/>
      <c r="M999817" s="472"/>
    </row>
    <row r="999889" spans="12:13" x14ac:dyDescent="0.25">
      <c r="L999889" s="472"/>
      <c r="M999889" s="472"/>
    </row>
    <row r="999890" spans="12:13" x14ac:dyDescent="0.25">
      <c r="L999890" s="472"/>
      <c r="M999890" s="472"/>
    </row>
    <row r="999891" spans="12:13" x14ac:dyDescent="0.25">
      <c r="L999891" s="472"/>
      <c r="M999891" s="472"/>
    </row>
    <row r="999963" spans="12:13" x14ac:dyDescent="0.25">
      <c r="L999963" s="472"/>
      <c r="M999963" s="472"/>
    </row>
    <row r="999964" spans="12:13" x14ac:dyDescent="0.25">
      <c r="L999964" s="472"/>
      <c r="M999964" s="472"/>
    </row>
    <row r="999965" spans="12:13" x14ac:dyDescent="0.25">
      <c r="L999965" s="472"/>
      <c r="M999965" s="472"/>
    </row>
    <row r="1000037" spans="12:13" x14ac:dyDescent="0.25">
      <c r="L1000037" s="472"/>
      <c r="M1000037" s="472"/>
    </row>
    <row r="1000038" spans="12:13" x14ac:dyDescent="0.25">
      <c r="L1000038" s="472"/>
      <c r="M1000038" s="472"/>
    </row>
    <row r="1000039" spans="12:13" x14ac:dyDescent="0.25">
      <c r="L1000039" s="472"/>
      <c r="M1000039" s="472"/>
    </row>
    <row r="1000111" spans="12:13" x14ac:dyDescent="0.25">
      <c r="L1000111" s="472"/>
      <c r="M1000111" s="472"/>
    </row>
    <row r="1000112" spans="12:13" x14ac:dyDescent="0.25">
      <c r="L1000112" s="472"/>
      <c r="M1000112" s="472"/>
    </row>
    <row r="1000113" spans="12:13" x14ac:dyDescent="0.25">
      <c r="L1000113" s="472"/>
      <c r="M1000113" s="472"/>
    </row>
    <row r="1000185" spans="12:13" x14ac:dyDescent="0.25">
      <c r="L1000185" s="472"/>
      <c r="M1000185" s="472"/>
    </row>
    <row r="1000186" spans="12:13" x14ac:dyDescent="0.25">
      <c r="L1000186" s="472"/>
      <c r="M1000186" s="472"/>
    </row>
    <row r="1000187" spans="12:13" x14ac:dyDescent="0.25">
      <c r="L1000187" s="472"/>
      <c r="M1000187" s="472"/>
    </row>
    <row r="1000259" spans="12:13" x14ac:dyDescent="0.25">
      <c r="L1000259" s="472"/>
      <c r="M1000259" s="472"/>
    </row>
    <row r="1000260" spans="12:13" x14ac:dyDescent="0.25">
      <c r="L1000260" s="472"/>
      <c r="M1000260" s="472"/>
    </row>
    <row r="1000261" spans="12:13" x14ac:dyDescent="0.25">
      <c r="L1000261" s="472"/>
      <c r="M1000261" s="472"/>
    </row>
    <row r="1000333" spans="12:13" x14ac:dyDescent="0.25">
      <c r="L1000333" s="472"/>
      <c r="M1000333" s="472"/>
    </row>
    <row r="1000334" spans="12:13" x14ac:dyDescent="0.25">
      <c r="L1000334" s="472"/>
      <c r="M1000334" s="472"/>
    </row>
    <row r="1000335" spans="12:13" x14ac:dyDescent="0.25">
      <c r="L1000335" s="472"/>
      <c r="M1000335" s="472"/>
    </row>
    <row r="1000407" spans="12:13" x14ac:dyDescent="0.25">
      <c r="L1000407" s="472"/>
      <c r="M1000407" s="472"/>
    </row>
    <row r="1000408" spans="12:13" x14ac:dyDescent="0.25">
      <c r="L1000408" s="472"/>
      <c r="M1000408" s="472"/>
    </row>
    <row r="1000409" spans="12:13" x14ac:dyDescent="0.25">
      <c r="L1000409" s="472"/>
      <c r="M1000409" s="472"/>
    </row>
    <row r="1000481" spans="12:13" x14ac:dyDescent="0.25">
      <c r="L1000481" s="472"/>
      <c r="M1000481" s="472"/>
    </row>
    <row r="1000482" spans="12:13" x14ac:dyDescent="0.25">
      <c r="L1000482" s="472"/>
      <c r="M1000482" s="472"/>
    </row>
    <row r="1000483" spans="12:13" x14ac:dyDescent="0.25">
      <c r="L1000483" s="472"/>
      <c r="M1000483" s="472"/>
    </row>
    <row r="1000555" spans="12:13" x14ac:dyDescent="0.25">
      <c r="L1000555" s="472"/>
      <c r="M1000555" s="472"/>
    </row>
    <row r="1000556" spans="12:13" x14ac:dyDescent="0.25">
      <c r="L1000556" s="472"/>
      <c r="M1000556" s="472"/>
    </row>
    <row r="1000557" spans="12:13" x14ac:dyDescent="0.25">
      <c r="L1000557" s="472"/>
      <c r="M1000557" s="472"/>
    </row>
    <row r="1000629" spans="12:13" x14ac:dyDescent="0.25">
      <c r="L1000629" s="472"/>
      <c r="M1000629" s="472"/>
    </row>
    <row r="1000630" spans="12:13" x14ac:dyDescent="0.25">
      <c r="L1000630" s="472"/>
      <c r="M1000630" s="472"/>
    </row>
    <row r="1000631" spans="12:13" x14ac:dyDescent="0.25">
      <c r="L1000631" s="472"/>
      <c r="M1000631" s="472"/>
    </row>
    <row r="1000703" spans="12:13" x14ac:dyDescent="0.25">
      <c r="L1000703" s="472"/>
      <c r="M1000703" s="472"/>
    </row>
    <row r="1000704" spans="12:13" x14ac:dyDescent="0.25">
      <c r="L1000704" s="472"/>
      <c r="M1000704" s="472"/>
    </row>
    <row r="1000705" spans="12:13" x14ac:dyDescent="0.25">
      <c r="L1000705" s="472"/>
      <c r="M1000705" s="472"/>
    </row>
    <row r="1000777" spans="12:13" x14ac:dyDescent="0.25">
      <c r="L1000777" s="472"/>
      <c r="M1000777" s="472"/>
    </row>
    <row r="1000778" spans="12:13" x14ac:dyDescent="0.25">
      <c r="L1000778" s="472"/>
      <c r="M1000778" s="472"/>
    </row>
    <row r="1000779" spans="12:13" x14ac:dyDescent="0.25">
      <c r="L1000779" s="472"/>
      <c r="M1000779" s="472"/>
    </row>
    <row r="1000851" spans="12:13" x14ac:dyDescent="0.25">
      <c r="L1000851" s="472"/>
      <c r="M1000851" s="472"/>
    </row>
    <row r="1000852" spans="12:13" x14ac:dyDescent="0.25">
      <c r="L1000852" s="472"/>
      <c r="M1000852" s="472"/>
    </row>
    <row r="1000853" spans="12:13" x14ac:dyDescent="0.25">
      <c r="L1000853" s="472"/>
      <c r="M1000853" s="472"/>
    </row>
    <row r="1000925" spans="12:13" x14ac:dyDescent="0.25">
      <c r="L1000925" s="472"/>
      <c r="M1000925" s="472"/>
    </row>
    <row r="1000926" spans="12:13" x14ac:dyDescent="0.25">
      <c r="L1000926" s="472"/>
      <c r="M1000926" s="472"/>
    </row>
    <row r="1000927" spans="12:13" x14ac:dyDescent="0.25">
      <c r="L1000927" s="472"/>
      <c r="M1000927" s="472"/>
    </row>
    <row r="1000999" spans="12:13" x14ac:dyDescent="0.25">
      <c r="L1000999" s="472"/>
      <c r="M1000999" s="472"/>
    </row>
    <row r="1001000" spans="12:13" x14ac:dyDescent="0.25">
      <c r="L1001000" s="472"/>
      <c r="M1001000" s="472"/>
    </row>
    <row r="1001001" spans="12:13" x14ac:dyDescent="0.25">
      <c r="L1001001" s="472"/>
      <c r="M1001001" s="472"/>
    </row>
    <row r="1001073" spans="12:13" x14ac:dyDescent="0.25">
      <c r="L1001073" s="472"/>
      <c r="M1001073" s="472"/>
    </row>
    <row r="1001074" spans="12:13" x14ac:dyDescent="0.25">
      <c r="L1001074" s="472"/>
      <c r="M1001074" s="472"/>
    </row>
    <row r="1001075" spans="12:13" x14ac:dyDescent="0.25">
      <c r="L1001075" s="472"/>
      <c r="M1001075" s="472"/>
    </row>
    <row r="1001147" spans="12:13" x14ac:dyDescent="0.25">
      <c r="L1001147" s="472"/>
      <c r="M1001147" s="472"/>
    </row>
    <row r="1001148" spans="12:13" x14ac:dyDescent="0.25">
      <c r="L1001148" s="472"/>
      <c r="M1001148" s="472"/>
    </row>
    <row r="1001149" spans="12:13" x14ac:dyDescent="0.25">
      <c r="L1001149" s="472"/>
      <c r="M1001149" s="472"/>
    </row>
    <row r="1001221" spans="12:13" x14ac:dyDescent="0.25">
      <c r="L1001221" s="472"/>
      <c r="M1001221" s="472"/>
    </row>
    <row r="1001222" spans="12:13" x14ac:dyDescent="0.25">
      <c r="L1001222" s="472"/>
      <c r="M1001222" s="472"/>
    </row>
    <row r="1001223" spans="12:13" x14ac:dyDescent="0.25">
      <c r="L1001223" s="472"/>
      <c r="M1001223" s="472"/>
    </row>
    <row r="1001295" spans="12:13" x14ac:dyDescent="0.25">
      <c r="L1001295" s="472"/>
      <c r="M1001295" s="472"/>
    </row>
    <row r="1001296" spans="12:13" x14ac:dyDescent="0.25">
      <c r="L1001296" s="472"/>
      <c r="M1001296" s="472"/>
    </row>
    <row r="1001297" spans="12:13" x14ac:dyDescent="0.25">
      <c r="L1001297" s="472"/>
      <c r="M1001297" s="472"/>
    </row>
    <row r="1001369" spans="12:13" x14ac:dyDescent="0.25">
      <c r="L1001369" s="472"/>
      <c r="M1001369" s="472"/>
    </row>
    <row r="1001370" spans="12:13" x14ac:dyDescent="0.25">
      <c r="L1001370" s="472"/>
      <c r="M1001370" s="472"/>
    </row>
    <row r="1001371" spans="12:13" x14ac:dyDescent="0.25">
      <c r="L1001371" s="472"/>
      <c r="M1001371" s="472"/>
    </row>
    <row r="1001443" spans="12:13" x14ac:dyDescent="0.25">
      <c r="L1001443" s="472"/>
      <c r="M1001443" s="472"/>
    </row>
    <row r="1001444" spans="12:13" x14ac:dyDescent="0.25">
      <c r="L1001444" s="472"/>
      <c r="M1001444" s="472"/>
    </row>
    <row r="1001445" spans="12:13" x14ac:dyDescent="0.25">
      <c r="L1001445" s="472"/>
      <c r="M1001445" s="472"/>
    </row>
    <row r="1001517" spans="12:13" x14ac:dyDescent="0.25">
      <c r="L1001517" s="472"/>
      <c r="M1001517" s="472"/>
    </row>
    <row r="1001518" spans="12:13" x14ac:dyDescent="0.25">
      <c r="L1001518" s="472"/>
      <c r="M1001518" s="472"/>
    </row>
    <row r="1001519" spans="12:13" x14ac:dyDescent="0.25">
      <c r="L1001519" s="472"/>
      <c r="M1001519" s="472"/>
    </row>
    <row r="1001591" spans="12:13" x14ac:dyDescent="0.25">
      <c r="L1001591" s="472"/>
      <c r="M1001591" s="472"/>
    </row>
    <row r="1001592" spans="12:13" x14ac:dyDescent="0.25">
      <c r="L1001592" s="472"/>
      <c r="M1001592" s="472"/>
    </row>
    <row r="1001593" spans="12:13" x14ac:dyDescent="0.25">
      <c r="L1001593" s="472"/>
      <c r="M1001593" s="472"/>
    </row>
    <row r="1001665" spans="12:13" x14ac:dyDescent="0.25">
      <c r="L1001665" s="472"/>
      <c r="M1001665" s="472"/>
    </row>
    <row r="1001666" spans="12:13" x14ac:dyDescent="0.25">
      <c r="L1001666" s="472"/>
      <c r="M1001666" s="472"/>
    </row>
    <row r="1001667" spans="12:13" x14ac:dyDescent="0.25">
      <c r="L1001667" s="472"/>
      <c r="M1001667" s="472"/>
    </row>
    <row r="1001739" spans="12:13" x14ac:dyDescent="0.25">
      <c r="L1001739" s="472"/>
      <c r="M1001739" s="472"/>
    </row>
    <row r="1001740" spans="12:13" x14ac:dyDescent="0.25">
      <c r="L1001740" s="472"/>
      <c r="M1001740" s="472"/>
    </row>
    <row r="1001741" spans="12:13" x14ac:dyDescent="0.25">
      <c r="L1001741" s="472"/>
      <c r="M1001741" s="472"/>
    </row>
    <row r="1001813" spans="12:13" x14ac:dyDescent="0.25">
      <c r="L1001813" s="472"/>
      <c r="M1001813" s="472"/>
    </row>
    <row r="1001814" spans="12:13" x14ac:dyDescent="0.25">
      <c r="L1001814" s="472"/>
      <c r="M1001814" s="472"/>
    </row>
    <row r="1001815" spans="12:13" x14ac:dyDescent="0.25">
      <c r="L1001815" s="472"/>
      <c r="M1001815" s="472"/>
    </row>
    <row r="1001887" spans="12:13" x14ac:dyDescent="0.25">
      <c r="L1001887" s="472"/>
      <c r="M1001887" s="472"/>
    </row>
    <row r="1001888" spans="12:13" x14ac:dyDescent="0.25">
      <c r="L1001888" s="472"/>
      <c r="M1001888" s="472"/>
    </row>
    <row r="1001889" spans="12:13" x14ac:dyDescent="0.25">
      <c r="L1001889" s="472"/>
      <c r="M1001889" s="472"/>
    </row>
    <row r="1001961" spans="12:13" x14ac:dyDescent="0.25">
      <c r="L1001961" s="472"/>
      <c r="M1001961" s="472"/>
    </row>
    <row r="1001962" spans="12:13" x14ac:dyDescent="0.25">
      <c r="L1001962" s="472"/>
      <c r="M1001962" s="472"/>
    </row>
    <row r="1001963" spans="12:13" x14ac:dyDescent="0.25">
      <c r="L1001963" s="472"/>
      <c r="M1001963" s="472"/>
    </row>
    <row r="1002035" spans="12:13" x14ac:dyDescent="0.25">
      <c r="L1002035" s="472"/>
      <c r="M1002035" s="472"/>
    </row>
    <row r="1002036" spans="12:13" x14ac:dyDescent="0.25">
      <c r="L1002036" s="472"/>
      <c r="M1002036" s="472"/>
    </row>
    <row r="1002037" spans="12:13" x14ac:dyDescent="0.25">
      <c r="L1002037" s="472"/>
      <c r="M1002037" s="472"/>
    </row>
    <row r="1002109" spans="12:13" x14ac:dyDescent="0.25">
      <c r="L1002109" s="472"/>
      <c r="M1002109" s="472"/>
    </row>
    <row r="1002110" spans="12:13" x14ac:dyDescent="0.25">
      <c r="L1002110" s="472"/>
      <c r="M1002110" s="472"/>
    </row>
    <row r="1002111" spans="12:13" x14ac:dyDescent="0.25">
      <c r="L1002111" s="472"/>
      <c r="M1002111" s="472"/>
    </row>
    <row r="1002183" spans="12:13" x14ac:dyDescent="0.25">
      <c r="L1002183" s="472"/>
      <c r="M1002183" s="472"/>
    </row>
    <row r="1002184" spans="12:13" x14ac:dyDescent="0.25">
      <c r="L1002184" s="472"/>
      <c r="M1002184" s="472"/>
    </row>
    <row r="1002185" spans="12:13" x14ac:dyDescent="0.25">
      <c r="L1002185" s="472"/>
      <c r="M1002185" s="472"/>
    </row>
    <row r="1002257" spans="12:13" x14ac:dyDescent="0.25">
      <c r="L1002257" s="472"/>
      <c r="M1002257" s="472"/>
    </row>
    <row r="1002258" spans="12:13" x14ac:dyDescent="0.25">
      <c r="L1002258" s="472"/>
      <c r="M1002258" s="472"/>
    </row>
    <row r="1002259" spans="12:13" x14ac:dyDescent="0.25">
      <c r="L1002259" s="472"/>
      <c r="M1002259" s="472"/>
    </row>
    <row r="1002331" spans="12:13" x14ac:dyDescent="0.25">
      <c r="L1002331" s="472"/>
      <c r="M1002331" s="472"/>
    </row>
    <row r="1002332" spans="12:13" x14ac:dyDescent="0.25">
      <c r="L1002332" s="472"/>
      <c r="M1002332" s="472"/>
    </row>
    <row r="1002333" spans="12:13" x14ac:dyDescent="0.25">
      <c r="L1002333" s="472"/>
      <c r="M1002333" s="472"/>
    </row>
    <row r="1002405" spans="12:13" x14ac:dyDescent="0.25">
      <c r="L1002405" s="472"/>
      <c r="M1002405" s="472"/>
    </row>
    <row r="1002406" spans="12:13" x14ac:dyDescent="0.25">
      <c r="L1002406" s="472"/>
      <c r="M1002406" s="472"/>
    </row>
    <row r="1002407" spans="12:13" x14ac:dyDescent="0.25">
      <c r="L1002407" s="472"/>
      <c r="M1002407" s="472"/>
    </row>
    <row r="1002479" spans="12:13" x14ac:dyDescent="0.25">
      <c r="L1002479" s="472"/>
      <c r="M1002479" s="472"/>
    </row>
    <row r="1002480" spans="12:13" x14ac:dyDescent="0.25">
      <c r="L1002480" s="472"/>
      <c r="M1002480" s="472"/>
    </row>
    <row r="1002481" spans="12:13" x14ac:dyDescent="0.25">
      <c r="L1002481" s="472"/>
      <c r="M1002481" s="472"/>
    </row>
    <row r="1002553" spans="12:13" x14ac:dyDescent="0.25">
      <c r="L1002553" s="472"/>
      <c r="M1002553" s="472"/>
    </row>
    <row r="1002554" spans="12:13" x14ac:dyDescent="0.25">
      <c r="L1002554" s="472"/>
      <c r="M1002554" s="472"/>
    </row>
    <row r="1002555" spans="12:13" x14ac:dyDescent="0.25">
      <c r="L1002555" s="472"/>
      <c r="M1002555" s="472"/>
    </row>
    <row r="1002627" spans="12:13" x14ac:dyDescent="0.25">
      <c r="L1002627" s="472"/>
      <c r="M1002627" s="472"/>
    </row>
    <row r="1002628" spans="12:13" x14ac:dyDescent="0.25">
      <c r="L1002628" s="472"/>
      <c r="M1002628" s="472"/>
    </row>
    <row r="1002629" spans="12:13" x14ac:dyDescent="0.25">
      <c r="L1002629" s="472"/>
      <c r="M1002629" s="472"/>
    </row>
    <row r="1002701" spans="12:13" x14ac:dyDescent="0.25">
      <c r="L1002701" s="472"/>
      <c r="M1002701" s="472"/>
    </row>
    <row r="1002702" spans="12:13" x14ac:dyDescent="0.25">
      <c r="L1002702" s="472"/>
      <c r="M1002702" s="472"/>
    </row>
    <row r="1002703" spans="12:13" x14ac:dyDescent="0.25">
      <c r="L1002703" s="472"/>
      <c r="M1002703" s="472"/>
    </row>
    <row r="1002775" spans="12:13" x14ac:dyDescent="0.25">
      <c r="L1002775" s="472"/>
      <c r="M1002775" s="472"/>
    </row>
    <row r="1002776" spans="12:13" x14ac:dyDescent="0.25">
      <c r="L1002776" s="472"/>
      <c r="M1002776" s="472"/>
    </row>
    <row r="1002777" spans="12:13" x14ac:dyDescent="0.25">
      <c r="L1002777" s="472"/>
      <c r="M1002777" s="472"/>
    </row>
    <row r="1002849" spans="12:13" x14ac:dyDescent="0.25">
      <c r="L1002849" s="472"/>
      <c r="M1002849" s="472"/>
    </row>
    <row r="1002850" spans="12:13" x14ac:dyDescent="0.25">
      <c r="L1002850" s="472"/>
      <c r="M1002850" s="472"/>
    </row>
    <row r="1002851" spans="12:13" x14ac:dyDescent="0.25">
      <c r="L1002851" s="472"/>
      <c r="M1002851" s="472"/>
    </row>
    <row r="1002923" spans="12:13" x14ac:dyDescent="0.25">
      <c r="L1002923" s="472"/>
      <c r="M1002923" s="472"/>
    </row>
    <row r="1002924" spans="12:13" x14ac:dyDescent="0.25">
      <c r="L1002924" s="472"/>
      <c r="M1002924" s="472"/>
    </row>
    <row r="1002925" spans="12:13" x14ac:dyDescent="0.25">
      <c r="L1002925" s="472"/>
      <c r="M1002925" s="472"/>
    </row>
    <row r="1002997" spans="12:13" x14ac:dyDescent="0.25">
      <c r="L1002997" s="472"/>
      <c r="M1002997" s="472"/>
    </row>
    <row r="1002998" spans="12:13" x14ac:dyDescent="0.25">
      <c r="L1002998" s="472"/>
      <c r="M1002998" s="472"/>
    </row>
    <row r="1002999" spans="12:13" x14ac:dyDescent="0.25">
      <c r="L1002999" s="472"/>
      <c r="M1002999" s="472"/>
    </row>
    <row r="1003071" spans="12:13" x14ac:dyDescent="0.25">
      <c r="L1003071" s="472"/>
      <c r="M1003071" s="472"/>
    </row>
    <row r="1003072" spans="12:13" x14ac:dyDescent="0.25">
      <c r="L1003072" s="472"/>
      <c r="M1003072" s="472"/>
    </row>
    <row r="1003073" spans="12:13" x14ac:dyDescent="0.25">
      <c r="L1003073" s="472"/>
      <c r="M1003073" s="472"/>
    </row>
    <row r="1003145" spans="12:13" x14ac:dyDescent="0.25">
      <c r="L1003145" s="472"/>
      <c r="M1003145" s="472"/>
    </row>
    <row r="1003146" spans="12:13" x14ac:dyDescent="0.25">
      <c r="L1003146" s="472"/>
      <c r="M1003146" s="472"/>
    </row>
    <row r="1003147" spans="12:13" x14ac:dyDescent="0.25">
      <c r="L1003147" s="472"/>
      <c r="M1003147" s="472"/>
    </row>
    <row r="1003219" spans="12:13" x14ac:dyDescent="0.25">
      <c r="L1003219" s="472"/>
      <c r="M1003219" s="472"/>
    </row>
    <row r="1003220" spans="12:13" x14ac:dyDescent="0.25">
      <c r="L1003220" s="472"/>
      <c r="M1003220" s="472"/>
    </row>
    <row r="1003221" spans="12:13" x14ac:dyDescent="0.25">
      <c r="L1003221" s="472"/>
      <c r="M1003221" s="472"/>
    </row>
    <row r="1003293" spans="12:13" x14ac:dyDescent="0.25">
      <c r="L1003293" s="472"/>
      <c r="M1003293" s="472"/>
    </row>
    <row r="1003294" spans="12:13" x14ac:dyDescent="0.25">
      <c r="L1003294" s="472"/>
      <c r="M1003294" s="472"/>
    </row>
    <row r="1003295" spans="12:13" x14ac:dyDescent="0.25">
      <c r="L1003295" s="472"/>
      <c r="M1003295" s="472"/>
    </row>
    <row r="1003367" spans="12:13" x14ac:dyDescent="0.25">
      <c r="L1003367" s="472"/>
      <c r="M1003367" s="472"/>
    </row>
    <row r="1003368" spans="12:13" x14ac:dyDescent="0.25">
      <c r="L1003368" s="472"/>
      <c r="M1003368" s="472"/>
    </row>
    <row r="1003369" spans="12:13" x14ac:dyDescent="0.25">
      <c r="L1003369" s="472"/>
      <c r="M1003369" s="472"/>
    </row>
    <row r="1003441" spans="12:13" x14ac:dyDescent="0.25">
      <c r="L1003441" s="472"/>
      <c r="M1003441" s="472"/>
    </row>
    <row r="1003442" spans="12:13" x14ac:dyDescent="0.25">
      <c r="L1003442" s="472"/>
      <c r="M1003442" s="472"/>
    </row>
    <row r="1003443" spans="12:13" x14ac:dyDescent="0.25">
      <c r="L1003443" s="472"/>
      <c r="M1003443" s="472"/>
    </row>
    <row r="1003515" spans="12:13" x14ac:dyDescent="0.25">
      <c r="L1003515" s="472"/>
      <c r="M1003515" s="472"/>
    </row>
    <row r="1003516" spans="12:13" x14ac:dyDescent="0.25">
      <c r="L1003516" s="472"/>
      <c r="M1003516" s="472"/>
    </row>
    <row r="1003517" spans="12:13" x14ac:dyDescent="0.25">
      <c r="L1003517" s="472"/>
      <c r="M1003517" s="472"/>
    </row>
    <row r="1003589" spans="12:13" x14ac:dyDescent="0.25">
      <c r="L1003589" s="472"/>
      <c r="M1003589" s="472"/>
    </row>
    <row r="1003590" spans="12:13" x14ac:dyDescent="0.25">
      <c r="L1003590" s="472"/>
      <c r="M1003590" s="472"/>
    </row>
    <row r="1003591" spans="12:13" x14ac:dyDescent="0.25">
      <c r="L1003591" s="472"/>
      <c r="M1003591" s="472"/>
    </row>
    <row r="1003663" spans="12:13" x14ac:dyDescent="0.25">
      <c r="L1003663" s="472"/>
      <c r="M1003663" s="472"/>
    </row>
    <row r="1003664" spans="12:13" x14ac:dyDescent="0.25">
      <c r="L1003664" s="472"/>
      <c r="M1003664" s="472"/>
    </row>
    <row r="1003665" spans="12:13" x14ac:dyDescent="0.25">
      <c r="L1003665" s="472"/>
      <c r="M1003665" s="472"/>
    </row>
    <row r="1003737" spans="12:13" x14ac:dyDescent="0.25">
      <c r="L1003737" s="472"/>
      <c r="M1003737" s="472"/>
    </row>
    <row r="1003738" spans="12:13" x14ac:dyDescent="0.25">
      <c r="L1003738" s="472"/>
      <c r="M1003738" s="472"/>
    </row>
    <row r="1003739" spans="12:13" x14ac:dyDescent="0.25">
      <c r="L1003739" s="472"/>
      <c r="M1003739" s="472"/>
    </row>
    <row r="1003811" spans="12:13" x14ac:dyDescent="0.25">
      <c r="L1003811" s="472"/>
      <c r="M1003811" s="472"/>
    </row>
    <row r="1003812" spans="12:13" x14ac:dyDescent="0.25">
      <c r="L1003812" s="472"/>
      <c r="M1003812" s="472"/>
    </row>
    <row r="1003813" spans="12:13" x14ac:dyDescent="0.25">
      <c r="L1003813" s="472"/>
      <c r="M1003813" s="472"/>
    </row>
    <row r="1003885" spans="12:13" x14ac:dyDescent="0.25">
      <c r="L1003885" s="472"/>
      <c r="M1003885" s="472"/>
    </row>
    <row r="1003886" spans="12:13" x14ac:dyDescent="0.25">
      <c r="L1003886" s="472"/>
      <c r="M1003886" s="472"/>
    </row>
    <row r="1003887" spans="12:13" x14ac:dyDescent="0.25">
      <c r="L1003887" s="472"/>
      <c r="M1003887" s="472"/>
    </row>
    <row r="1003959" spans="12:13" x14ac:dyDescent="0.25">
      <c r="L1003959" s="472"/>
      <c r="M1003959" s="472"/>
    </row>
    <row r="1003960" spans="12:13" x14ac:dyDescent="0.25">
      <c r="L1003960" s="472"/>
      <c r="M1003960" s="472"/>
    </row>
    <row r="1003961" spans="12:13" x14ac:dyDescent="0.25">
      <c r="L1003961" s="472"/>
      <c r="M1003961" s="472"/>
    </row>
    <row r="1004033" spans="12:13" x14ac:dyDescent="0.25">
      <c r="L1004033" s="472"/>
      <c r="M1004033" s="472"/>
    </row>
    <row r="1004034" spans="12:13" x14ac:dyDescent="0.25">
      <c r="L1004034" s="472"/>
      <c r="M1004034" s="472"/>
    </row>
    <row r="1004035" spans="12:13" x14ac:dyDescent="0.25">
      <c r="L1004035" s="472"/>
      <c r="M1004035" s="472"/>
    </row>
    <row r="1004107" spans="12:13" x14ac:dyDescent="0.25">
      <c r="L1004107" s="472"/>
      <c r="M1004107" s="472"/>
    </row>
    <row r="1004108" spans="12:13" x14ac:dyDescent="0.25">
      <c r="L1004108" s="472"/>
      <c r="M1004108" s="472"/>
    </row>
    <row r="1004109" spans="12:13" x14ac:dyDescent="0.25">
      <c r="L1004109" s="472"/>
      <c r="M1004109" s="472"/>
    </row>
    <row r="1004181" spans="12:13" x14ac:dyDescent="0.25">
      <c r="L1004181" s="472"/>
      <c r="M1004181" s="472"/>
    </row>
    <row r="1004182" spans="12:13" x14ac:dyDescent="0.25">
      <c r="L1004182" s="472"/>
      <c r="M1004182" s="472"/>
    </row>
    <row r="1004183" spans="12:13" x14ac:dyDescent="0.25">
      <c r="L1004183" s="472"/>
      <c r="M1004183" s="472"/>
    </row>
    <row r="1004255" spans="12:13" x14ac:dyDescent="0.25">
      <c r="L1004255" s="472"/>
      <c r="M1004255" s="472"/>
    </row>
    <row r="1004256" spans="12:13" x14ac:dyDescent="0.25">
      <c r="L1004256" s="472"/>
      <c r="M1004256" s="472"/>
    </row>
    <row r="1004257" spans="12:13" x14ac:dyDescent="0.25">
      <c r="L1004257" s="472"/>
      <c r="M1004257" s="472"/>
    </row>
    <row r="1004329" spans="12:13" x14ac:dyDescent="0.25">
      <c r="L1004329" s="472"/>
      <c r="M1004329" s="472"/>
    </row>
    <row r="1004330" spans="12:13" x14ac:dyDescent="0.25">
      <c r="L1004330" s="472"/>
      <c r="M1004330" s="472"/>
    </row>
    <row r="1004331" spans="12:13" x14ac:dyDescent="0.25">
      <c r="L1004331" s="472"/>
      <c r="M1004331" s="472"/>
    </row>
    <row r="1004403" spans="12:13" x14ac:dyDescent="0.25">
      <c r="L1004403" s="472"/>
      <c r="M1004403" s="472"/>
    </row>
    <row r="1004404" spans="12:13" x14ac:dyDescent="0.25">
      <c r="L1004404" s="472"/>
      <c r="M1004404" s="472"/>
    </row>
    <row r="1004405" spans="12:13" x14ac:dyDescent="0.25">
      <c r="L1004405" s="472"/>
      <c r="M1004405" s="472"/>
    </row>
    <row r="1004477" spans="12:13" x14ac:dyDescent="0.25">
      <c r="L1004477" s="472"/>
      <c r="M1004477" s="472"/>
    </row>
    <row r="1004478" spans="12:13" x14ac:dyDescent="0.25">
      <c r="L1004478" s="472"/>
      <c r="M1004478" s="472"/>
    </row>
    <row r="1004479" spans="12:13" x14ac:dyDescent="0.25">
      <c r="L1004479" s="472"/>
      <c r="M1004479" s="472"/>
    </row>
    <row r="1004551" spans="12:13" x14ac:dyDescent="0.25">
      <c r="L1004551" s="472"/>
      <c r="M1004551" s="472"/>
    </row>
    <row r="1004552" spans="12:13" x14ac:dyDescent="0.25">
      <c r="L1004552" s="472"/>
      <c r="M1004552" s="472"/>
    </row>
    <row r="1004553" spans="12:13" x14ac:dyDescent="0.25">
      <c r="L1004553" s="472"/>
      <c r="M1004553" s="472"/>
    </row>
    <row r="1004625" spans="12:13" x14ac:dyDescent="0.25">
      <c r="L1004625" s="472"/>
      <c r="M1004625" s="472"/>
    </row>
    <row r="1004626" spans="12:13" x14ac:dyDescent="0.25">
      <c r="L1004626" s="472"/>
      <c r="M1004626" s="472"/>
    </row>
    <row r="1004627" spans="12:13" x14ac:dyDescent="0.25">
      <c r="L1004627" s="472"/>
      <c r="M1004627" s="472"/>
    </row>
    <row r="1004699" spans="12:13" x14ac:dyDescent="0.25">
      <c r="L1004699" s="472"/>
      <c r="M1004699" s="472"/>
    </row>
    <row r="1004700" spans="12:13" x14ac:dyDescent="0.25">
      <c r="L1004700" s="472"/>
      <c r="M1004700" s="472"/>
    </row>
    <row r="1004701" spans="12:13" x14ac:dyDescent="0.25">
      <c r="L1004701" s="472"/>
      <c r="M1004701" s="472"/>
    </row>
    <row r="1004773" spans="12:13" x14ac:dyDescent="0.25">
      <c r="L1004773" s="472"/>
      <c r="M1004773" s="472"/>
    </row>
    <row r="1004774" spans="12:13" x14ac:dyDescent="0.25">
      <c r="L1004774" s="472"/>
      <c r="M1004774" s="472"/>
    </row>
    <row r="1004775" spans="12:13" x14ac:dyDescent="0.25">
      <c r="L1004775" s="472"/>
      <c r="M1004775" s="472"/>
    </row>
    <row r="1004847" spans="12:13" x14ac:dyDescent="0.25">
      <c r="L1004847" s="472"/>
      <c r="M1004847" s="472"/>
    </row>
    <row r="1004848" spans="12:13" x14ac:dyDescent="0.25">
      <c r="L1004848" s="472"/>
      <c r="M1004848" s="472"/>
    </row>
    <row r="1004849" spans="12:13" x14ac:dyDescent="0.25">
      <c r="L1004849" s="472"/>
      <c r="M1004849" s="472"/>
    </row>
    <row r="1004921" spans="12:13" x14ac:dyDescent="0.25">
      <c r="L1004921" s="472"/>
      <c r="M1004921" s="472"/>
    </row>
    <row r="1004922" spans="12:13" x14ac:dyDescent="0.25">
      <c r="L1004922" s="472"/>
      <c r="M1004922" s="472"/>
    </row>
    <row r="1004923" spans="12:13" x14ac:dyDescent="0.25">
      <c r="L1004923" s="472"/>
      <c r="M1004923" s="472"/>
    </row>
    <row r="1004995" spans="12:13" x14ac:dyDescent="0.25">
      <c r="L1004995" s="472"/>
      <c r="M1004995" s="472"/>
    </row>
    <row r="1004996" spans="12:13" x14ac:dyDescent="0.25">
      <c r="L1004996" s="472"/>
      <c r="M1004996" s="472"/>
    </row>
    <row r="1004997" spans="12:13" x14ac:dyDescent="0.25">
      <c r="L1004997" s="472"/>
      <c r="M1004997" s="472"/>
    </row>
    <row r="1005069" spans="12:13" x14ac:dyDescent="0.25">
      <c r="L1005069" s="472"/>
      <c r="M1005069" s="472"/>
    </row>
    <row r="1005070" spans="12:13" x14ac:dyDescent="0.25">
      <c r="L1005070" s="472"/>
      <c r="M1005070" s="472"/>
    </row>
    <row r="1005071" spans="12:13" x14ac:dyDescent="0.25">
      <c r="L1005071" s="472"/>
      <c r="M1005071" s="472"/>
    </row>
    <row r="1005143" spans="12:13" x14ac:dyDescent="0.25">
      <c r="L1005143" s="472"/>
      <c r="M1005143" s="472"/>
    </row>
    <row r="1005144" spans="12:13" x14ac:dyDescent="0.25">
      <c r="L1005144" s="472"/>
      <c r="M1005144" s="472"/>
    </row>
    <row r="1005145" spans="12:13" x14ac:dyDescent="0.25">
      <c r="L1005145" s="472"/>
      <c r="M1005145" s="472"/>
    </row>
    <row r="1005217" spans="12:13" x14ac:dyDescent="0.25">
      <c r="L1005217" s="472"/>
      <c r="M1005217" s="472"/>
    </row>
    <row r="1005218" spans="12:13" x14ac:dyDescent="0.25">
      <c r="L1005218" s="472"/>
      <c r="M1005218" s="472"/>
    </row>
    <row r="1005219" spans="12:13" x14ac:dyDescent="0.25">
      <c r="L1005219" s="472"/>
      <c r="M1005219" s="472"/>
    </row>
    <row r="1005291" spans="12:13" x14ac:dyDescent="0.25">
      <c r="L1005291" s="472"/>
      <c r="M1005291" s="472"/>
    </row>
    <row r="1005292" spans="12:13" x14ac:dyDescent="0.25">
      <c r="L1005292" s="472"/>
      <c r="M1005292" s="472"/>
    </row>
    <row r="1005293" spans="12:13" x14ac:dyDescent="0.25">
      <c r="L1005293" s="472"/>
      <c r="M1005293" s="472"/>
    </row>
    <row r="1005365" spans="12:13" x14ac:dyDescent="0.25">
      <c r="L1005365" s="472"/>
      <c r="M1005365" s="472"/>
    </row>
    <row r="1005366" spans="12:13" x14ac:dyDescent="0.25">
      <c r="L1005366" s="472"/>
      <c r="M1005366" s="472"/>
    </row>
    <row r="1005367" spans="12:13" x14ac:dyDescent="0.25">
      <c r="L1005367" s="472"/>
      <c r="M1005367" s="472"/>
    </row>
    <row r="1005439" spans="12:13" x14ac:dyDescent="0.25">
      <c r="L1005439" s="472"/>
      <c r="M1005439" s="472"/>
    </row>
    <row r="1005440" spans="12:13" x14ac:dyDescent="0.25">
      <c r="L1005440" s="472"/>
      <c r="M1005440" s="472"/>
    </row>
    <row r="1005441" spans="12:13" x14ac:dyDescent="0.25">
      <c r="L1005441" s="472"/>
      <c r="M1005441" s="472"/>
    </row>
    <row r="1005513" spans="12:13" x14ac:dyDescent="0.25">
      <c r="L1005513" s="472"/>
      <c r="M1005513" s="472"/>
    </row>
    <row r="1005514" spans="12:13" x14ac:dyDescent="0.25">
      <c r="L1005514" s="472"/>
      <c r="M1005514" s="472"/>
    </row>
    <row r="1005515" spans="12:13" x14ac:dyDescent="0.25">
      <c r="L1005515" s="472"/>
      <c r="M1005515" s="472"/>
    </row>
    <row r="1005587" spans="12:13" x14ac:dyDescent="0.25">
      <c r="L1005587" s="472"/>
      <c r="M1005587" s="472"/>
    </row>
    <row r="1005588" spans="12:13" x14ac:dyDescent="0.25">
      <c r="L1005588" s="472"/>
      <c r="M1005588" s="472"/>
    </row>
    <row r="1005589" spans="12:13" x14ac:dyDescent="0.25">
      <c r="L1005589" s="472"/>
      <c r="M1005589" s="472"/>
    </row>
    <row r="1005661" spans="12:13" x14ac:dyDescent="0.25">
      <c r="L1005661" s="472"/>
      <c r="M1005661" s="472"/>
    </row>
    <row r="1005662" spans="12:13" x14ac:dyDescent="0.25">
      <c r="L1005662" s="472"/>
      <c r="M1005662" s="472"/>
    </row>
    <row r="1005663" spans="12:13" x14ac:dyDescent="0.25">
      <c r="L1005663" s="472"/>
      <c r="M1005663" s="472"/>
    </row>
    <row r="1005735" spans="12:13" x14ac:dyDescent="0.25">
      <c r="L1005735" s="472"/>
      <c r="M1005735" s="472"/>
    </row>
    <row r="1005736" spans="12:13" x14ac:dyDescent="0.25">
      <c r="L1005736" s="472"/>
      <c r="M1005736" s="472"/>
    </row>
    <row r="1005737" spans="12:13" x14ac:dyDescent="0.25">
      <c r="L1005737" s="472"/>
      <c r="M1005737" s="472"/>
    </row>
    <row r="1005809" spans="12:13" x14ac:dyDescent="0.25">
      <c r="L1005809" s="472"/>
      <c r="M1005809" s="472"/>
    </row>
    <row r="1005810" spans="12:13" x14ac:dyDescent="0.25">
      <c r="L1005810" s="472"/>
      <c r="M1005810" s="472"/>
    </row>
    <row r="1005811" spans="12:13" x14ac:dyDescent="0.25">
      <c r="L1005811" s="472"/>
      <c r="M1005811" s="472"/>
    </row>
    <row r="1005883" spans="12:13" x14ac:dyDescent="0.25">
      <c r="L1005883" s="472"/>
      <c r="M1005883" s="472"/>
    </row>
    <row r="1005884" spans="12:13" x14ac:dyDescent="0.25">
      <c r="L1005884" s="472"/>
      <c r="M1005884" s="472"/>
    </row>
    <row r="1005885" spans="12:13" x14ac:dyDescent="0.25">
      <c r="L1005885" s="472"/>
      <c r="M1005885" s="472"/>
    </row>
    <row r="1005957" spans="12:13" x14ac:dyDescent="0.25">
      <c r="L1005957" s="472"/>
      <c r="M1005957" s="472"/>
    </row>
    <row r="1005958" spans="12:13" x14ac:dyDescent="0.25">
      <c r="L1005958" s="472"/>
      <c r="M1005958" s="472"/>
    </row>
    <row r="1005959" spans="12:13" x14ac:dyDescent="0.25">
      <c r="L1005959" s="472"/>
      <c r="M1005959" s="472"/>
    </row>
    <row r="1006031" spans="12:13" x14ac:dyDescent="0.25">
      <c r="L1006031" s="472"/>
      <c r="M1006031" s="472"/>
    </row>
    <row r="1006032" spans="12:13" x14ac:dyDescent="0.25">
      <c r="L1006032" s="472"/>
      <c r="M1006032" s="472"/>
    </row>
    <row r="1006033" spans="12:13" x14ac:dyDescent="0.25">
      <c r="L1006033" s="472"/>
      <c r="M1006033" s="472"/>
    </row>
    <row r="1006105" spans="12:13" x14ac:dyDescent="0.25">
      <c r="L1006105" s="472"/>
      <c r="M1006105" s="472"/>
    </row>
    <row r="1006106" spans="12:13" x14ac:dyDescent="0.25">
      <c r="L1006106" s="472"/>
      <c r="M1006106" s="472"/>
    </row>
    <row r="1006107" spans="12:13" x14ac:dyDescent="0.25">
      <c r="L1006107" s="472"/>
      <c r="M1006107" s="472"/>
    </row>
    <row r="1006179" spans="12:13" x14ac:dyDescent="0.25">
      <c r="L1006179" s="472"/>
      <c r="M1006179" s="472"/>
    </row>
    <row r="1006180" spans="12:13" x14ac:dyDescent="0.25">
      <c r="L1006180" s="472"/>
      <c r="M1006180" s="472"/>
    </row>
    <row r="1006181" spans="12:13" x14ac:dyDescent="0.25">
      <c r="L1006181" s="472"/>
      <c r="M1006181" s="472"/>
    </row>
    <row r="1006253" spans="12:13" x14ac:dyDescent="0.25">
      <c r="L1006253" s="472"/>
      <c r="M1006253" s="472"/>
    </row>
    <row r="1006254" spans="12:13" x14ac:dyDescent="0.25">
      <c r="L1006254" s="472"/>
      <c r="M1006254" s="472"/>
    </row>
    <row r="1006255" spans="12:13" x14ac:dyDescent="0.25">
      <c r="L1006255" s="472"/>
      <c r="M1006255" s="472"/>
    </row>
    <row r="1006327" spans="12:13" x14ac:dyDescent="0.25">
      <c r="L1006327" s="472"/>
      <c r="M1006327" s="472"/>
    </row>
    <row r="1006328" spans="12:13" x14ac:dyDescent="0.25">
      <c r="L1006328" s="472"/>
      <c r="M1006328" s="472"/>
    </row>
    <row r="1006329" spans="12:13" x14ac:dyDescent="0.25">
      <c r="L1006329" s="472"/>
      <c r="M1006329" s="472"/>
    </row>
    <row r="1006401" spans="12:13" x14ac:dyDescent="0.25">
      <c r="L1006401" s="472"/>
      <c r="M1006401" s="472"/>
    </row>
    <row r="1006402" spans="12:13" x14ac:dyDescent="0.25">
      <c r="L1006402" s="472"/>
      <c r="M1006402" s="472"/>
    </row>
    <row r="1006403" spans="12:13" x14ac:dyDescent="0.25">
      <c r="L1006403" s="472"/>
      <c r="M1006403" s="472"/>
    </row>
    <row r="1006475" spans="12:13" x14ac:dyDescent="0.25">
      <c r="L1006475" s="472"/>
      <c r="M1006475" s="472"/>
    </row>
    <row r="1006476" spans="12:13" x14ac:dyDescent="0.25">
      <c r="L1006476" s="472"/>
      <c r="M1006476" s="472"/>
    </row>
    <row r="1006477" spans="12:13" x14ac:dyDescent="0.25">
      <c r="L1006477" s="472"/>
      <c r="M1006477" s="472"/>
    </row>
    <row r="1006549" spans="12:13" x14ac:dyDescent="0.25">
      <c r="L1006549" s="472"/>
      <c r="M1006549" s="472"/>
    </row>
    <row r="1006550" spans="12:13" x14ac:dyDescent="0.25">
      <c r="L1006550" s="472"/>
      <c r="M1006550" s="472"/>
    </row>
    <row r="1006551" spans="12:13" x14ac:dyDescent="0.25">
      <c r="L1006551" s="472"/>
      <c r="M1006551" s="472"/>
    </row>
    <row r="1006623" spans="12:13" x14ac:dyDescent="0.25">
      <c r="L1006623" s="472"/>
      <c r="M1006623" s="472"/>
    </row>
    <row r="1006624" spans="12:13" x14ac:dyDescent="0.25">
      <c r="L1006624" s="472"/>
      <c r="M1006624" s="472"/>
    </row>
    <row r="1006625" spans="12:13" x14ac:dyDescent="0.25">
      <c r="L1006625" s="472"/>
      <c r="M1006625" s="472"/>
    </row>
    <row r="1006697" spans="12:13" x14ac:dyDescent="0.25">
      <c r="L1006697" s="472"/>
      <c r="M1006697" s="472"/>
    </row>
    <row r="1006698" spans="12:13" x14ac:dyDescent="0.25">
      <c r="L1006698" s="472"/>
      <c r="M1006698" s="472"/>
    </row>
    <row r="1006699" spans="12:13" x14ac:dyDescent="0.25">
      <c r="L1006699" s="472"/>
      <c r="M1006699" s="472"/>
    </row>
    <row r="1006771" spans="12:13" x14ac:dyDescent="0.25">
      <c r="L1006771" s="472"/>
      <c r="M1006771" s="472"/>
    </row>
    <row r="1006772" spans="12:13" x14ac:dyDescent="0.25">
      <c r="L1006772" s="472"/>
      <c r="M1006772" s="472"/>
    </row>
    <row r="1006773" spans="12:13" x14ac:dyDescent="0.25">
      <c r="L1006773" s="472"/>
      <c r="M1006773" s="472"/>
    </row>
    <row r="1006845" spans="12:13" x14ac:dyDescent="0.25">
      <c r="L1006845" s="472"/>
      <c r="M1006845" s="472"/>
    </row>
    <row r="1006846" spans="12:13" x14ac:dyDescent="0.25">
      <c r="L1006846" s="472"/>
      <c r="M1006846" s="472"/>
    </row>
    <row r="1006847" spans="12:13" x14ac:dyDescent="0.25">
      <c r="L1006847" s="472"/>
      <c r="M1006847" s="472"/>
    </row>
    <row r="1006919" spans="12:13" x14ac:dyDescent="0.25">
      <c r="L1006919" s="472"/>
      <c r="M1006919" s="472"/>
    </row>
    <row r="1006920" spans="12:13" x14ac:dyDescent="0.25">
      <c r="L1006920" s="472"/>
      <c r="M1006920" s="472"/>
    </row>
    <row r="1006921" spans="12:13" x14ac:dyDescent="0.25">
      <c r="L1006921" s="472"/>
      <c r="M1006921" s="472"/>
    </row>
    <row r="1006993" spans="12:13" x14ac:dyDescent="0.25">
      <c r="L1006993" s="472"/>
      <c r="M1006993" s="472"/>
    </row>
    <row r="1006994" spans="12:13" x14ac:dyDescent="0.25">
      <c r="L1006994" s="472"/>
      <c r="M1006994" s="472"/>
    </row>
    <row r="1006995" spans="12:13" x14ac:dyDescent="0.25">
      <c r="L1006995" s="472"/>
      <c r="M1006995" s="472"/>
    </row>
    <row r="1007067" spans="12:13" x14ac:dyDescent="0.25">
      <c r="L1007067" s="472"/>
      <c r="M1007067" s="472"/>
    </row>
    <row r="1007068" spans="12:13" x14ac:dyDescent="0.25">
      <c r="L1007068" s="472"/>
      <c r="M1007068" s="472"/>
    </row>
    <row r="1007069" spans="12:13" x14ac:dyDescent="0.25">
      <c r="L1007069" s="472"/>
      <c r="M1007069" s="472"/>
    </row>
    <row r="1007141" spans="12:13" x14ac:dyDescent="0.25">
      <c r="L1007141" s="472"/>
      <c r="M1007141" s="472"/>
    </row>
    <row r="1007142" spans="12:13" x14ac:dyDescent="0.25">
      <c r="L1007142" s="472"/>
      <c r="M1007142" s="472"/>
    </row>
    <row r="1007143" spans="12:13" x14ac:dyDescent="0.25">
      <c r="L1007143" s="472"/>
      <c r="M1007143" s="472"/>
    </row>
    <row r="1007215" spans="12:13" x14ac:dyDescent="0.25">
      <c r="L1007215" s="472"/>
      <c r="M1007215" s="472"/>
    </row>
    <row r="1007216" spans="12:13" x14ac:dyDescent="0.25">
      <c r="L1007216" s="472"/>
      <c r="M1007216" s="472"/>
    </row>
    <row r="1007217" spans="12:13" x14ac:dyDescent="0.25">
      <c r="L1007217" s="472"/>
      <c r="M1007217" s="472"/>
    </row>
    <row r="1007289" spans="12:13" x14ac:dyDescent="0.25">
      <c r="L1007289" s="472"/>
      <c r="M1007289" s="472"/>
    </row>
    <row r="1007290" spans="12:13" x14ac:dyDescent="0.25">
      <c r="L1007290" s="472"/>
      <c r="M1007290" s="472"/>
    </row>
    <row r="1007291" spans="12:13" x14ac:dyDescent="0.25">
      <c r="L1007291" s="472"/>
      <c r="M1007291" s="472"/>
    </row>
    <row r="1007363" spans="12:13" x14ac:dyDescent="0.25">
      <c r="L1007363" s="472"/>
      <c r="M1007363" s="472"/>
    </row>
    <row r="1007364" spans="12:13" x14ac:dyDescent="0.25">
      <c r="L1007364" s="472"/>
      <c r="M1007364" s="472"/>
    </row>
    <row r="1007365" spans="12:13" x14ac:dyDescent="0.25">
      <c r="L1007365" s="472"/>
      <c r="M1007365" s="472"/>
    </row>
    <row r="1007437" spans="12:13" x14ac:dyDescent="0.25">
      <c r="L1007437" s="472"/>
      <c r="M1007437" s="472"/>
    </row>
    <row r="1007438" spans="12:13" x14ac:dyDescent="0.25">
      <c r="L1007438" s="472"/>
      <c r="M1007438" s="472"/>
    </row>
    <row r="1007439" spans="12:13" x14ac:dyDescent="0.25">
      <c r="L1007439" s="472"/>
      <c r="M1007439" s="472"/>
    </row>
    <row r="1007511" spans="12:13" x14ac:dyDescent="0.25">
      <c r="L1007511" s="472"/>
      <c r="M1007511" s="472"/>
    </row>
    <row r="1007512" spans="12:13" x14ac:dyDescent="0.25">
      <c r="L1007512" s="472"/>
      <c r="M1007512" s="472"/>
    </row>
    <row r="1007513" spans="12:13" x14ac:dyDescent="0.25">
      <c r="L1007513" s="472"/>
      <c r="M1007513" s="472"/>
    </row>
    <row r="1007585" spans="12:13" x14ac:dyDescent="0.25">
      <c r="L1007585" s="472"/>
      <c r="M1007585" s="472"/>
    </row>
    <row r="1007586" spans="12:13" x14ac:dyDescent="0.25">
      <c r="L1007586" s="472"/>
      <c r="M1007586" s="472"/>
    </row>
    <row r="1007587" spans="12:13" x14ac:dyDescent="0.25">
      <c r="L1007587" s="472"/>
      <c r="M1007587" s="472"/>
    </row>
    <row r="1007659" spans="12:13" x14ac:dyDescent="0.25">
      <c r="L1007659" s="472"/>
      <c r="M1007659" s="472"/>
    </row>
    <row r="1007660" spans="12:13" x14ac:dyDescent="0.25">
      <c r="L1007660" s="472"/>
      <c r="M1007660" s="472"/>
    </row>
    <row r="1007661" spans="12:13" x14ac:dyDescent="0.25">
      <c r="L1007661" s="472"/>
      <c r="M1007661" s="472"/>
    </row>
    <row r="1007733" spans="12:13" x14ac:dyDescent="0.25">
      <c r="L1007733" s="472"/>
      <c r="M1007733" s="472"/>
    </row>
    <row r="1007734" spans="12:13" x14ac:dyDescent="0.25">
      <c r="L1007734" s="472"/>
      <c r="M1007734" s="472"/>
    </row>
    <row r="1007735" spans="12:13" x14ac:dyDescent="0.25">
      <c r="L1007735" s="472"/>
      <c r="M1007735" s="472"/>
    </row>
    <row r="1007807" spans="12:13" x14ac:dyDescent="0.25">
      <c r="L1007807" s="472"/>
      <c r="M1007807" s="472"/>
    </row>
    <row r="1007808" spans="12:13" x14ac:dyDescent="0.25">
      <c r="L1007808" s="472"/>
      <c r="M1007808" s="472"/>
    </row>
    <row r="1007809" spans="12:13" x14ac:dyDescent="0.25">
      <c r="L1007809" s="472"/>
      <c r="M1007809" s="472"/>
    </row>
    <row r="1007881" spans="12:13" x14ac:dyDescent="0.25">
      <c r="L1007881" s="472"/>
      <c r="M1007881" s="472"/>
    </row>
    <row r="1007882" spans="12:13" x14ac:dyDescent="0.25">
      <c r="L1007882" s="472"/>
      <c r="M1007882" s="472"/>
    </row>
    <row r="1007883" spans="12:13" x14ac:dyDescent="0.25">
      <c r="L1007883" s="472"/>
      <c r="M1007883" s="472"/>
    </row>
    <row r="1007955" spans="12:13" x14ac:dyDescent="0.25">
      <c r="L1007955" s="472"/>
      <c r="M1007955" s="472"/>
    </row>
    <row r="1007956" spans="12:13" x14ac:dyDescent="0.25">
      <c r="L1007956" s="472"/>
      <c r="M1007956" s="472"/>
    </row>
    <row r="1007957" spans="12:13" x14ac:dyDescent="0.25">
      <c r="L1007957" s="472"/>
      <c r="M1007957" s="472"/>
    </row>
    <row r="1008029" spans="12:13" x14ac:dyDescent="0.25">
      <c r="L1008029" s="472"/>
      <c r="M1008029" s="472"/>
    </row>
    <row r="1008030" spans="12:13" x14ac:dyDescent="0.25">
      <c r="L1008030" s="472"/>
      <c r="M1008030" s="472"/>
    </row>
    <row r="1008031" spans="12:13" x14ac:dyDescent="0.25">
      <c r="L1008031" s="472"/>
      <c r="M1008031" s="472"/>
    </row>
    <row r="1008103" spans="12:13" x14ac:dyDescent="0.25">
      <c r="L1008103" s="472"/>
      <c r="M1008103" s="472"/>
    </row>
    <row r="1008104" spans="12:13" x14ac:dyDescent="0.25">
      <c r="L1008104" s="472"/>
      <c r="M1008104" s="472"/>
    </row>
    <row r="1008105" spans="12:13" x14ac:dyDescent="0.25">
      <c r="L1008105" s="472"/>
      <c r="M1008105" s="472"/>
    </row>
    <row r="1008177" spans="12:13" x14ac:dyDescent="0.25">
      <c r="L1008177" s="472"/>
      <c r="M1008177" s="472"/>
    </row>
    <row r="1008178" spans="12:13" x14ac:dyDescent="0.25">
      <c r="L1008178" s="472"/>
      <c r="M1008178" s="472"/>
    </row>
    <row r="1008179" spans="12:13" x14ac:dyDescent="0.25">
      <c r="L1008179" s="472"/>
      <c r="M1008179" s="472"/>
    </row>
    <row r="1008251" spans="12:13" x14ac:dyDescent="0.25">
      <c r="L1008251" s="472"/>
      <c r="M1008251" s="472"/>
    </row>
    <row r="1008252" spans="12:13" x14ac:dyDescent="0.25">
      <c r="L1008252" s="472"/>
      <c r="M1008252" s="472"/>
    </row>
    <row r="1008253" spans="12:13" x14ac:dyDescent="0.25">
      <c r="L1008253" s="472"/>
      <c r="M1008253" s="472"/>
    </row>
    <row r="1008325" spans="12:13" x14ac:dyDescent="0.25">
      <c r="L1008325" s="472"/>
      <c r="M1008325" s="472"/>
    </row>
    <row r="1008326" spans="12:13" x14ac:dyDescent="0.25">
      <c r="L1008326" s="472"/>
      <c r="M1008326" s="472"/>
    </row>
    <row r="1008327" spans="12:13" x14ac:dyDescent="0.25">
      <c r="L1008327" s="472"/>
      <c r="M1008327" s="472"/>
    </row>
    <row r="1008399" spans="12:13" x14ac:dyDescent="0.25">
      <c r="L1008399" s="472"/>
      <c r="M1008399" s="472"/>
    </row>
    <row r="1008400" spans="12:13" x14ac:dyDescent="0.25">
      <c r="L1008400" s="472"/>
      <c r="M1008400" s="472"/>
    </row>
    <row r="1008401" spans="12:13" x14ac:dyDescent="0.25">
      <c r="L1008401" s="472"/>
      <c r="M1008401" s="472"/>
    </row>
    <row r="1008473" spans="12:13" x14ac:dyDescent="0.25">
      <c r="L1008473" s="472"/>
      <c r="M1008473" s="472"/>
    </row>
    <row r="1008474" spans="12:13" x14ac:dyDescent="0.25">
      <c r="L1008474" s="472"/>
      <c r="M1008474" s="472"/>
    </row>
    <row r="1008475" spans="12:13" x14ac:dyDescent="0.25">
      <c r="L1008475" s="472"/>
      <c r="M1008475" s="472"/>
    </row>
    <row r="1008547" spans="12:13" x14ac:dyDescent="0.25">
      <c r="L1008547" s="472"/>
      <c r="M1008547" s="472"/>
    </row>
    <row r="1008548" spans="12:13" x14ac:dyDescent="0.25">
      <c r="L1008548" s="472"/>
      <c r="M1008548" s="472"/>
    </row>
    <row r="1008549" spans="12:13" x14ac:dyDescent="0.25">
      <c r="L1008549" s="472"/>
      <c r="M1008549" s="472"/>
    </row>
    <row r="1008621" spans="12:13" x14ac:dyDescent="0.25">
      <c r="L1008621" s="472"/>
      <c r="M1008621" s="472"/>
    </row>
    <row r="1008622" spans="12:13" x14ac:dyDescent="0.25">
      <c r="L1008622" s="472"/>
      <c r="M1008622" s="472"/>
    </row>
    <row r="1008623" spans="12:13" x14ac:dyDescent="0.25">
      <c r="L1008623" s="472"/>
      <c r="M1008623" s="472"/>
    </row>
    <row r="1008695" spans="12:13" x14ac:dyDescent="0.25">
      <c r="L1008695" s="472"/>
      <c r="M1008695" s="472"/>
    </row>
    <row r="1008696" spans="12:13" x14ac:dyDescent="0.25">
      <c r="L1008696" s="472"/>
      <c r="M1008696" s="472"/>
    </row>
    <row r="1008697" spans="12:13" x14ac:dyDescent="0.25">
      <c r="L1008697" s="472"/>
      <c r="M1008697" s="472"/>
    </row>
    <row r="1008769" spans="12:13" x14ac:dyDescent="0.25">
      <c r="L1008769" s="472"/>
      <c r="M1008769" s="472"/>
    </row>
    <row r="1008770" spans="12:13" x14ac:dyDescent="0.25">
      <c r="L1008770" s="472"/>
      <c r="M1008770" s="472"/>
    </row>
    <row r="1008771" spans="12:13" x14ac:dyDescent="0.25">
      <c r="L1008771" s="472"/>
      <c r="M1008771" s="472"/>
    </row>
    <row r="1008843" spans="12:13" x14ac:dyDescent="0.25">
      <c r="L1008843" s="472"/>
      <c r="M1008843" s="472"/>
    </row>
    <row r="1008844" spans="12:13" x14ac:dyDescent="0.25">
      <c r="L1008844" s="472"/>
      <c r="M1008844" s="472"/>
    </row>
    <row r="1008845" spans="12:13" x14ac:dyDescent="0.25">
      <c r="L1008845" s="472"/>
      <c r="M1008845" s="472"/>
    </row>
    <row r="1008917" spans="12:13" x14ac:dyDescent="0.25">
      <c r="L1008917" s="472"/>
      <c r="M1008917" s="472"/>
    </row>
    <row r="1008918" spans="12:13" x14ac:dyDescent="0.25">
      <c r="L1008918" s="472"/>
      <c r="M1008918" s="472"/>
    </row>
    <row r="1008919" spans="12:13" x14ac:dyDescent="0.25">
      <c r="L1008919" s="472"/>
      <c r="M1008919" s="472"/>
    </row>
    <row r="1008991" spans="12:13" x14ac:dyDescent="0.25">
      <c r="L1008991" s="472"/>
      <c r="M1008991" s="472"/>
    </row>
    <row r="1008992" spans="12:13" x14ac:dyDescent="0.25">
      <c r="L1008992" s="472"/>
      <c r="M1008992" s="472"/>
    </row>
    <row r="1008993" spans="12:13" x14ac:dyDescent="0.25">
      <c r="L1008993" s="472"/>
      <c r="M1008993" s="472"/>
    </row>
    <row r="1009065" spans="12:13" x14ac:dyDescent="0.25">
      <c r="L1009065" s="472"/>
      <c r="M1009065" s="472"/>
    </row>
    <row r="1009066" spans="12:13" x14ac:dyDescent="0.25">
      <c r="L1009066" s="472"/>
      <c r="M1009066" s="472"/>
    </row>
    <row r="1009067" spans="12:13" x14ac:dyDescent="0.25">
      <c r="L1009067" s="472"/>
      <c r="M1009067" s="472"/>
    </row>
    <row r="1009139" spans="12:13" x14ac:dyDescent="0.25">
      <c r="L1009139" s="472"/>
      <c r="M1009139" s="472"/>
    </row>
    <row r="1009140" spans="12:13" x14ac:dyDescent="0.25">
      <c r="L1009140" s="472"/>
      <c r="M1009140" s="472"/>
    </row>
    <row r="1009141" spans="12:13" x14ac:dyDescent="0.25">
      <c r="L1009141" s="472"/>
      <c r="M1009141" s="472"/>
    </row>
    <row r="1009213" spans="12:13" x14ac:dyDescent="0.25">
      <c r="L1009213" s="472"/>
      <c r="M1009213" s="472"/>
    </row>
    <row r="1009214" spans="12:13" x14ac:dyDescent="0.25">
      <c r="L1009214" s="472"/>
      <c r="M1009214" s="472"/>
    </row>
    <row r="1009215" spans="12:13" x14ac:dyDescent="0.25">
      <c r="L1009215" s="472"/>
      <c r="M1009215" s="472"/>
    </row>
    <row r="1009287" spans="12:13" x14ac:dyDescent="0.25">
      <c r="L1009287" s="472"/>
      <c r="M1009287" s="472"/>
    </row>
    <row r="1009288" spans="12:13" x14ac:dyDescent="0.25">
      <c r="L1009288" s="472"/>
      <c r="M1009288" s="472"/>
    </row>
    <row r="1009289" spans="12:13" x14ac:dyDescent="0.25">
      <c r="L1009289" s="472"/>
      <c r="M1009289" s="472"/>
    </row>
    <row r="1009361" spans="12:13" x14ac:dyDescent="0.25">
      <c r="L1009361" s="472"/>
      <c r="M1009361" s="472"/>
    </row>
    <row r="1009362" spans="12:13" x14ac:dyDescent="0.25">
      <c r="L1009362" s="472"/>
      <c r="M1009362" s="472"/>
    </row>
    <row r="1009363" spans="12:13" x14ac:dyDescent="0.25">
      <c r="L1009363" s="472"/>
      <c r="M1009363" s="472"/>
    </row>
    <row r="1009435" spans="12:13" x14ac:dyDescent="0.25">
      <c r="L1009435" s="472"/>
      <c r="M1009435" s="472"/>
    </row>
    <row r="1009436" spans="12:13" x14ac:dyDescent="0.25">
      <c r="L1009436" s="472"/>
      <c r="M1009436" s="472"/>
    </row>
    <row r="1009437" spans="12:13" x14ac:dyDescent="0.25">
      <c r="L1009437" s="472"/>
      <c r="M1009437" s="472"/>
    </row>
    <row r="1009509" spans="12:13" x14ac:dyDescent="0.25">
      <c r="L1009509" s="472"/>
      <c r="M1009509" s="472"/>
    </row>
    <row r="1009510" spans="12:13" x14ac:dyDescent="0.25">
      <c r="L1009510" s="472"/>
      <c r="M1009510" s="472"/>
    </row>
    <row r="1009511" spans="12:13" x14ac:dyDescent="0.25">
      <c r="L1009511" s="472"/>
      <c r="M1009511" s="472"/>
    </row>
    <row r="1009583" spans="12:13" x14ac:dyDescent="0.25">
      <c r="L1009583" s="472"/>
      <c r="M1009583" s="472"/>
    </row>
    <row r="1009584" spans="12:13" x14ac:dyDescent="0.25">
      <c r="L1009584" s="472"/>
      <c r="M1009584" s="472"/>
    </row>
    <row r="1009585" spans="12:13" x14ac:dyDescent="0.25">
      <c r="L1009585" s="472"/>
      <c r="M1009585" s="472"/>
    </row>
    <row r="1009657" spans="12:13" x14ac:dyDescent="0.25">
      <c r="L1009657" s="472"/>
      <c r="M1009657" s="472"/>
    </row>
    <row r="1009658" spans="12:13" x14ac:dyDescent="0.25">
      <c r="L1009658" s="472"/>
      <c r="M1009658" s="472"/>
    </row>
    <row r="1009659" spans="12:13" x14ac:dyDescent="0.25">
      <c r="L1009659" s="472"/>
      <c r="M1009659" s="472"/>
    </row>
    <row r="1009731" spans="12:13" x14ac:dyDescent="0.25">
      <c r="L1009731" s="472"/>
      <c r="M1009731" s="472"/>
    </row>
    <row r="1009732" spans="12:13" x14ac:dyDescent="0.25">
      <c r="L1009732" s="472"/>
      <c r="M1009732" s="472"/>
    </row>
    <row r="1009733" spans="12:13" x14ac:dyDescent="0.25">
      <c r="L1009733" s="472"/>
      <c r="M1009733" s="472"/>
    </row>
    <row r="1009805" spans="12:13" x14ac:dyDescent="0.25">
      <c r="L1009805" s="472"/>
      <c r="M1009805" s="472"/>
    </row>
    <row r="1009806" spans="12:13" x14ac:dyDescent="0.25">
      <c r="L1009806" s="472"/>
      <c r="M1009806" s="472"/>
    </row>
    <row r="1009807" spans="12:13" x14ac:dyDescent="0.25">
      <c r="L1009807" s="472"/>
      <c r="M1009807" s="472"/>
    </row>
    <row r="1009879" spans="12:13" x14ac:dyDescent="0.25">
      <c r="L1009879" s="472"/>
      <c r="M1009879" s="472"/>
    </row>
    <row r="1009880" spans="12:13" x14ac:dyDescent="0.25">
      <c r="L1009880" s="472"/>
      <c r="M1009880" s="472"/>
    </row>
    <row r="1009881" spans="12:13" x14ac:dyDescent="0.25">
      <c r="L1009881" s="472"/>
      <c r="M1009881" s="472"/>
    </row>
    <row r="1009953" spans="12:13" x14ac:dyDescent="0.25">
      <c r="L1009953" s="472"/>
      <c r="M1009953" s="472"/>
    </row>
    <row r="1009954" spans="12:13" x14ac:dyDescent="0.25">
      <c r="L1009954" s="472"/>
      <c r="M1009954" s="472"/>
    </row>
    <row r="1009955" spans="12:13" x14ac:dyDescent="0.25">
      <c r="L1009955" s="472"/>
      <c r="M1009955" s="472"/>
    </row>
    <row r="1010027" spans="12:13" x14ac:dyDescent="0.25">
      <c r="L1010027" s="472"/>
      <c r="M1010027" s="472"/>
    </row>
    <row r="1010028" spans="12:13" x14ac:dyDescent="0.25">
      <c r="L1010028" s="472"/>
      <c r="M1010028" s="472"/>
    </row>
    <row r="1010029" spans="12:13" x14ac:dyDescent="0.25">
      <c r="L1010029" s="472"/>
      <c r="M1010029" s="472"/>
    </row>
    <row r="1010101" spans="12:13" x14ac:dyDescent="0.25">
      <c r="L1010101" s="472"/>
      <c r="M1010101" s="472"/>
    </row>
    <row r="1010102" spans="12:13" x14ac:dyDescent="0.25">
      <c r="L1010102" s="472"/>
      <c r="M1010102" s="472"/>
    </row>
    <row r="1010103" spans="12:13" x14ac:dyDescent="0.25">
      <c r="L1010103" s="472"/>
      <c r="M1010103" s="472"/>
    </row>
    <row r="1010175" spans="12:13" x14ac:dyDescent="0.25">
      <c r="L1010175" s="472"/>
      <c r="M1010175" s="472"/>
    </row>
    <row r="1010176" spans="12:13" x14ac:dyDescent="0.25">
      <c r="L1010176" s="472"/>
      <c r="M1010176" s="472"/>
    </row>
    <row r="1010177" spans="12:13" x14ac:dyDescent="0.25">
      <c r="L1010177" s="472"/>
      <c r="M1010177" s="472"/>
    </row>
    <row r="1010249" spans="12:13" x14ac:dyDescent="0.25">
      <c r="L1010249" s="472"/>
      <c r="M1010249" s="472"/>
    </row>
    <row r="1010250" spans="12:13" x14ac:dyDescent="0.25">
      <c r="L1010250" s="472"/>
      <c r="M1010250" s="472"/>
    </row>
    <row r="1010251" spans="12:13" x14ac:dyDescent="0.25">
      <c r="L1010251" s="472"/>
      <c r="M1010251" s="472"/>
    </row>
    <row r="1010323" spans="12:13" x14ac:dyDescent="0.25">
      <c r="L1010323" s="472"/>
      <c r="M1010323" s="472"/>
    </row>
    <row r="1010324" spans="12:13" x14ac:dyDescent="0.25">
      <c r="L1010324" s="472"/>
      <c r="M1010324" s="472"/>
    </row>
    <row r="1010325" spans="12:13" x14ac:dyDescent="0.25">
      <c r="L1010325" s="472"/>
      <c r="M1010325" s="472"/>
    </row>
    <row r="1010397" spans="12:13" x14ac:dyDescent="0.25">
      <c r="L1010397" s="472"/>
      <c r="M1010397" s="472"/>
    </row>
    <row r="1010398" spans="12:13" x14ac:dyDescent="0.25">
      <c r="L1010398" s="472"/>
      <c r="M1010398" s="472"/>
    </row>
    <row r="1010399" spans="12:13" x14ac:dyDescent="0.25">
      <c r="L1010399" s="472"/>
      <c r="M1010399" s="472"/>
    </row>
    <row r="1010471" spans="12:13" x14ac:dyDescent="0.25">
      <c r="L1010471" s="472"/>
      <c r="M1010471" s="472"/>
    </row>
    <row r="1010472" spans="12:13" x14ac:dyDescent="0.25">
      <c r="L1010472" s="472"/>
      <c r="M1010472" s="472"/>
    </row>
    <row r="1010473" spans="12:13" x14ac:dyDescent="0.25">
      <c r="L1010473" s="472"/>
      <c r="M1010473" s="472"/>
    </row>
    <row r="1010545" spans="12:13" x14ac:dyDescent="0.25">
      <c r="L1010545" s="472"/>
      <c r="M1010545" s="472"/>
    </row>
    <row r="1010546" spans="12:13" x14ac:dyDescent="0.25">
      <c r="L1010546" s="472"/>
      <c r="M1010546" s="472"/>
    </row>
    <row r="1010547" spans="12:13" x14ac:dyDescent="0.25">
      <c r="L1010547" s="472"/>
      <c r="M1010547" s="472"/>
    </row>
    <row r="1010619" spans="12:13" x14ac:dyDescent="0.25">
      <c r="L1010619" s="472"/>
      <c r="M1010619" s="472"/>
    </row>
    <row r="1010620" spans="12:13" x14ac:dyDescent="0.25">
      <c r="L1010620" s="472"/>
      <c r="M1010620" s="472"/>
    </row>
    <row r="1010621" spans="12:13" x14ac:dyDescent="0.25">
      <c r="L1010621" s="472"/>
      <c r="M1010621" s="472"/>
    </row>
    <row r="1010693" spans="12:13" x14ac:dyDescent="0.25">
      <c r="L1010693" s="472"/>
      <c r="M1010693" s="472"/>
    </row>
    <row r="1010694" spans="12:13" x14ac:dyDescent="0.25">
      <c r="L1010694" s="472"/>
      <c r="M1010694" s="472"/>
    </row>
    <row r="1010695" spans="12:13" x14ac:dyDescent="0.25">
      <c r="L1010695" s="472"/>
      <c r="M1010695" s="472"/>
    </row>
    <row r="1010767" spans="12:13" x14ac:dyDescent="0.25">
      <c r="L1010767" s="472"/>
      <c r="M1010767" s="472"/>
    </row>
    <row r="1010768" spans="12:13" x14ac:dyDescent="0.25">
      <c r="L1010768" s="472"/>
      <c r="M1010768" s="472"/>
    </row>
    <row r="1010769" spans="12:13" x14ac:dyDescent="0.25">
      <c r="L1010769" s="472"/>
      <c r="M1010769" s="472"/>
    </row>
    <row r="1010841" spans="12:13" x14ac:dyDescent="0.25">
      <c r="L1010841" s="472"/>
      <c r="M1010841" s="472"/>
    </row>
    <row r="1010842" spans="12:13" x14ac:dyDescent="0.25">
      <c r="L1010842" s="472"/>
      <c r="M1010842" s="472"/>
    </row>
    <row r="1010843" spans="12:13" x14ac:dyDescent="0.25">
      <c r="L1010843" s="472"/>
      <c r="M1010843" s="472"/>
    </row>
    <row r="1010915" spans="12:13" x14ac:dyDescent="0.25">
      <c r="L1010915" s="472"/>
      <c r="M1010915" s="472"/>
    </row>
    <row r="1010916" spans="12:13" x14ac:dyDescent="0.25">
      <c r="L1010916" s="472"/>
      <c r="M1010916" s="472"/>
    </row>
    <row r="1010917" spans="12:13" x14ac:dyDescent="0.25">
      <c r="L1010917" s="472"/>
      <c r="M1010917" s="472"/>
    </row>
    <row r="1010989" spans="12:13" x14ac:dyDescent="0.25">
      <c r="L1010989" s="472"/>
      <c r="M1010989" s="472"/>
    </row>
    <row r="1010990" spans="12:13" x14ac:dyDescent="0.25">
      <c r="L1010990" s="472"/>
      <c r="M1010990" s="472"/>
    </row>
    <row r="1010991" spans="12:13" x14ac:dyDescent="0.25">
      <c r="L1010991" s="472"/>
      <c r="M1010991" s="472"/>
    </row>
    <row r="1011063" spans="12:13" x14ac:dyDescent="0.25">
      <c r="L1011063" s="472"/>
      <c r="M1011063" s="472"/>
    </row>
    <row r="1011064" spans="12:13" x14ac:dyDescent="0.25">
      <c r="L1011064" s="472"/>
      <c r="M1011064" s="472"/>
    </row>
    <row r="1011065" spans="12:13" x14ac:dyDescent="0.25">
      <c r="L1011065" s="472"/>
      <c r="M1011065" s="472"/>
    </row>
    <row r="1011137" spans="12:13" x14ac:dyDescent="0.25">
      <c r="L1011137" s="472"/>
      <c r="M1011137" s="472"/>
    </row>
    <row r="1011138" spans="12:13" x14ac:dyDescent="0.25">
      <c r="L1011138" s="472"/>
      <c r="M1011138" s="472"/>
    </row>
    <row r="1011139" spans="12:13" x14ac:dyDescent="0.25">
      <c r="L1011139" s="472"/>
      <c r="M1011139" s="472"/>
    </row>
    <row r="1011211" spans="12:13" x14ac:dyDescent="0.25">
      <c r="L1011211" s="472"/>
      <c r="M1011211" s="472"/>
    </row>
    <row r="1011212" spans="12:13" x14ac:dyDescent="0.25">
      <c r="L1011212" s="472"/>
      <c r="M1011212" s="472"/>
    </row>
    <row r="1011213" spans="12:13" x14ac:dyDescent="0.25">
      <c r="L1011213" s="472"/>
      <c r="M1011213" s="472"/>
    </row>
    <row r="1011285" spans="12:13" x14ac:dyDescent="0.25">
      <c r="L1011285" s="472"/>
      <c r="M1011285" s="472"/>
    </row>
    <row r="1011286" spans="12:13" x14ac:dyDescent="0.25">
      <c r="L1011286" s="472"/>
      <c r="M1011286" s="472"/>
    </row>
    <row r="1011287" spans="12:13" x14ac:dyDescent="0.25">
      <c r="L1011287" s="472"/>
      <c r="M1011287" s="472"/>
    </row>
    <row r="1011359" spans="12:13" x14ac:dyDescent="0.25">
      <c r="L1011359" s="472"/>
      <c r="M1011359" s="472"/>
    </row>
    <row r="1011360" spans="12:13" x14ac:dyDescent="0.25">
      <c r="L1011360" s="472"/>
      <c r="M1011360" s="472"/>
    </row>
    <row r="1011361" spans="12:13" x14ac:dyDescent="0.25">
      <c r="L1011361" s="472"/>
      <c r="M1011361" s="472"/>
    </row>
    <row r="1011433" spans="12:13" x14ac:dyDescent="0.25">
      <c r="L1011433" s="472"/>
      <c r="M1011433" s="472"/>
    </row>
    <row r="1011434" spans="12:13" x14ac:dyDescent="0.25">
      <c r="L1011434" s="472"/>
      <c r="M1011434" s="472"/>
    </row>
    <row r="1011435" spans="12:13" x14ac:dyDescent="0.25">
      <c r="L1011435" s="472"/>
      <c r="M1011435" s="472"/>
    </row>
    <row r="1011507" spans="12:13" x14ac:dyDescent="0.25">
      <c r="L1011507" s="472"/>
      <c r="M1011507" s="472"/>
    </row>
    <row r="1011508" spans="12:13" x14ac:dyDescent="0.25">
      <c r="L1011508" s="472"/>
      <c r="M1011508" s="472"/>
    </row>
    <row r="1011509" spans="12:13" x14ac:dyDescent="0.25">
      <c r="L1011509" s="472"/>
      <c r="M1011509" s="472"/>
    </row>
    <row r="1011581" spans="12:13" x14ac:dyDescent="0.25">
      <c r="L1011581" s="472"/>
      <c r="M1011581" s="472"/>
    </row>
    <row r="1011582" spans="12:13" x14ac:dyDescent="0.25">
      <c r="L1011582" s="472"/>
      <c r="M1011582" s="472"/>
    </row>
    <row r="1011583" spans="12:13" x14ac:dyDescent="0.25">
      <c r="L1011583" s="472"/>
      <c r="M1011583" s="472"/>
    </row>
    <row r="1011655" spans="12:13" x14ac:dyDescent="0.25">
      <c r="L1011655" s="472"/>
      <c r="M1011655" s="472"/>
    </row>
    <row r="1011656" spans="12:13" x14ac:dyDescent="0.25">
      <c r="L1011656" s="472"/>
      <c r="M1011656" s="472"/>
    </row>
    <row r="1011657" spans="12:13" x14ac:dyDescent="0.25">
      <c r="L1011657" s="472"/>
      <c r="M1011657" s="472"/>
    </row>
    <row r="1011729" spans="12:13" x14ac:dyDescent="0.25">
      <c r="L1011729" s="472"/>
      <c r="M1011729" s="472"/>
    </row>
    <row r="1011730" spans="12:13" x14ac:dyDescent="0.25">
      <c r="L1011730" s="472"/>
      <c r="M1011730" s="472"/>
    </row>
    <row r="1011731" spans="12:13" x14ac:dyDescent="0.25">
      <c r="L1011731" s="472"/>
      <c r="M1011731" s="472"/>
    </row>
    <row r="1011803" spans="12:13" x14ac:dyDescent="0.25">
      <c r="L1011803" s="472"/>
      <c r="M1011803" s="472"/>
    </row>
    <row r="1011804" spans="12:13" x14ac:dyDescent="0.25">
      <c r="L1011804" s="472"/>
      <c r="M1011804" s="472"/>
    </row>
    <row r="1011805" spans="12:13" x14ac:dyDescent="0.25">
      <c r="L1011805" s="472"/>
      <c r="M1011805" s="472"/>
    </row>
    <row r="1011877" spans="12:13" x14ac:dyDescent="0.25">
      <c r="L1011877" s="472"/>
      <c r="M1011877" s="472"/>
    </row>
    <row r="1011878" spans="12:13" x14ac:dyDescent="0.25">
      <c r="L1011878" s="472"/>
      <c r="M1011878" s="472"/>
    </row>
    <row r="1011879" spans="12:13" x14ac:dyDescent="0.25">
      <c r="L1011879" s="472"/>
      <c r="M1011879" s="472"/>
    </row>
    <row r="1011951" spans="12:13" x14ac:dyDescent="0.25">
      <c r="L1011951" s="472"/>
      <c r="M1011951" s="472"/>
    </row>
    <row r="1011952" spans="12:13" x14ac:dyDescent="0.25">
      <c r="L1011952" s="472"/>
      <c r="M1011952" s="472"/>
    </row>
    <row r="1011953" spans="12:13" x14ac:dyDescent="0.25">
      <c r="L1011953" s="472"/>
      <c r="M1011953" s="472"/>
    </row>
    <row r="1012025" spans="12:13" x14ac:dyDescent="0.25">
      <c r="L1012025" s="472"/>
      <c r="M1012025" s="472"/>
    </row>
    <row r="1012026" spans="12:13" x14ac:dyDescent="0.25">
      <c r="L1012026" s="472"/>
      <c r="M1012026" s="472"/>
    </row>
    <row r="1012027" spans="12:13" x14ac:dyDescent="0.25">
      <c r="L1012027" s="472"/>
      <c r="M1012027" s="472"/>
    </row>
    <row r="1012099" spans="12:13" x14ac:dyDescent="0.25">
      <c r="L1012099" s="472"/>
      <c r="M1012099" s="472"/>
    </row>
    <row r="1012100" spans="12:13" x14ac:dyDescent="0.25">
      <c r="L1012100" s="472"/>
      <c r="M1012100" s="472"/>
    </row>
    <row r="1012101" spans="12:13" x14ac:dyDescent="0.25">
      <c r="L1012101" s="472"/>
      <c r="M1012101" s="472"/>
    </row>
    <row r="1012173" spans="12:13" x14ac:dyDescent="0.25">
      <c r="L1012173" s="472"/>
      <c r="M1012173" s="472"/>
    </row>
    <row r="1012174" spans="12:13" x14ac:dyDescent="0.25">
      <c r="L1012174" s="472"/>
      <c r="M1012174" s="472"/>
    </row>
    <row r="1012175" spans="12:13" x14ac:dyDescent="0.25">
      <c r="L1012175" s="472"/>
      <c r="M1012175" s="472"/>
    </row>
    <row r="1012247" spans="12:13" x14ac:dyDescent="0.25">
      <c r="L1012247" s="472"/>
      <c r="M1012247" s="472"/>
    </row>
    <row r="1012248" spans="12:13" x14ac:dyDescent="0.25">
      <c r="L1012248" s="472"/>
      <c r="M1012248" s="472"/>
    </row>
    <row r="1012249" spans="12:13" x14ac:dyDescent="0.25">
      <c r="L1012249" s="472"/>
      <c r="M1012249" s="472"/>
    </row>
    <row r="1012321" spans="12:13" x14ac:dyDescent="0.25">
      <c r="L1012321" s="472"/>
      <c r="M1012321" s="472"/>
    </row>
    <row r="1012322" spans="12:13" x14ac:dyDescent="0.25">
      <c r="L1012322" s="472"/>
      <c r="M1012322" s="472"/>
    </row>
    <row r="1012323" spans="12:13" x14ac:dyDescent="0.25">
      <c r="L1012323" s="472"/>
      <c r="M1012323" s="472"/>
    </row>
    <row r="1012395" spans="12:13" x14ac:dyDescent="0.25">
      <c r="L1012395" s="472"/>
      <c r="M1012395" s="472"/>
    </row>
    <row r="1012396" spans="12:13" x14ac:dyDescent="0.25">
      <c r="L1012396" s="472"/>
      <c r="M1012396" s="472"/>
    </row>
    <row r="1012397" spans="12:13" x14ac:dyDescent="0.25">
      <c r="L1012397" s="472"/>
      <c r="M1012397" s="472"/>
    </row>
    <row r="1012469" spans="12:13" x14ac:dyDescent="0.25">
      <c r="L1012469" s="472"/>
      <c r="M1012469" s="472"/>
    </row>
    <row r="1012470" spans="12:13" x14ac:dyDescent="0.25">
      <c r="L1012470" s="472"/>
      <c r="M1012470" s="472"/>
    </row>
    <row r="1012471" spans="12:13" x14ac:dyDescent="0.25">
      <c r="L1012471" s="472"/>
      <c r="M1012471" s="472"/>
    </row>
    <row r="1012543" spans="12:13" x14ac:dyDescent="0.25">
      <c r="L1012543" s="472"/>
      <c r="M1012543" s="472"/>
    </row>
    <row r="1012544" spans="12:13" x14ac:dyDescent="0.25">
      <c r="L1012544" s="472"/>
      <c r="M1012544" s="472"/>
    </row>
    <row r="1012545" spans="12:13" x14ac:dyDescent="0.25">
      <c r="L1012545" s="472"/>
      <c r="M1012545" s="472"/>
    </row>
    <row r="1012617" spans="12:13" x14ac:dyDescent="0.25">
      <c r="L1012617" s="472"/>
      <c r="M1012617" s="472"/>
    </row>
    <row r="1012618" spans="12:13" x14ac:dyDescent="0.25">
      <c r="L1012618" s="472"/>
      <c r="M1012618" s="472"/>
    </row>
    <row r="1012619" spans="12:13" x14ac:dyDescent="0.25">
      <c r="L1012619" s="472"/>
      <c r="M1012619" s="472"/>
    </row>
    <row r="1012691" spans="12:13" x14ac:dyDescent="0.25">
      <c r="L1012691" s="472"/>
      <c r="M1012691" s="472"/>
    </row>
    <row r="1012692" spans="12:13" x14ac:dyDescent="0.25">
      <c r="L1012692" s="472"/>
      <c r="M1012692" s="472"/>
    </row>
    <row r="1012693" spans="12:13" x14ac:dyDescent="0.25">
      <c r="L1012693" s="472"/>
      <c r="M1012693" s="472"/>
    </row>
    <row r="1012765" spans="12:13" x14ac:dyDescent="0.25">
      <c r="L1012765" s="472"/>
      <c r="M1012765" s="472"/>
    </row>
    <row r="1012766" spans="12:13" x14ac:dyDescent="0.25">
      <c r="L1012766" s="472"/>
      <c r="M1012766" s="472"/>
    </row>
    <row r="1012767" spans="12:13" x14ac:dyDescent="0.25">
      <c r="L1012767" s="472"/>
      <c r="M1012767" s="472"/>
    </row>
    <row r="1012839" spans="12:13" x14ac:dyDescent="0.25">
      <c r="L1012839" s="472"/>
      <c r="M1012839" s="472"/>
    </row>
    <row r="1012840" spans="12:13" x14ac:dyDescent="0.25">
      <c r="L1012840" s="472"/>
      <c r="M1012840" s="472"/>
    </row>
    <row r="1012841" spans="12:13" x14ac:dyDescent="0.25">
      <c r="L1012841" s="472"/>
      <c r="M1012841" s="472"/>
    </row>
    <row r="1012913" spans="12:13" x14ac:dyDescent="0.25">
      <c r="L1012913" s="472"/>
      <c r="M1012913" s="472"/>
    </row>
    <row r="1012914" spans="12:13" x14ac:dyDescent="0.25">
      <c r="L1012914" s="472"/>
      <c r="M1012914" s="472"/>
    </row>
    <row r="1012915" spans="12:13" x14ac:dyDescent="0.25">
      <c r="L1012915" s="472"/>
      <c r="M1012915" s="472"/>
    </row>
    <row r="1012987" spans="12:13" x14ac:dyDescent="0.25">
      <c r="L1012987" s="472"/>
      <c r="M1012987" s="472"/>
    </row>
    <row r="1012988" spans="12:13" x14ac:dyDescent="0.25">
      <c r="L1012988" s="472"/>
      <c r="M1012988" s="472"/>
    </row>
    <row r="1012989" spans="12:13" x14ac:dyDescent="0.25">
      <c r="L1012989" s="472"/>
      <c r="M1012989" s="472"/>
    </row>
    <row r="1013061" spans="12:13" x14ac:dyDescent="0.25">
      <c r="L1013061" s="472"/>
      <c r="M1013061" s="472"/>
    </row>
    <row r="1013062" spans="12:13" x14ac:dyDescent="0.25">
      <c r="L1013062" s="472"/>
      <c r="M1013062" s="472"/>
    </row>
    <row r="1013063" spans="12:13" x14ac:dyDescent="0.25">
      <c r="L1013063" s="472"/>
      <c r="M1013063" s="472"/>
    </row>
    <row r="1013135" spans="12:13" x14ac:dyDescent="0.25">
      <c r="L1013135" s="472"/>
      <c r="M1013135" s="472"/>
    </row>
    <row r="1013136" spans="12:13" x14ac:dyDescent="0.25">
      <c r="L1013136" s="472"/>
      <c r="M1013136" s="472"/>
    </row>
    <row r="1013137" spans="12:13" x14ac:dyDescent="0.25">
      <c r="L1013137" s="472"/>
      <c r="M1013137" s="472"/>
    </row>
    <row r="1013209" spans="12:13" x14ac:dyDescent="0.25">
      <c r="L1013209" s="472"/>
      <c r="M1013209" s="472"/>
    </row>
    <row r="1013210" spans="12:13" x14ac:dyDescent="0.25">
      <c r="L1013210" s="472"/>
      <c r="M1013210" s="472"/>
    </row>
    <row r="1013211" spans="12:13" x14ac:dyDescent="0.25">
      <c r="L1013211" s="472"/>
      <c r="M1013211" s="472"/>
    </row>
    <row r="1013283" spans="12:13" x14ac:dyDescent="0.25">
      <c r="L1013283" s="472"/>
      <c r="M1013283" s="472"/>
    </row>
    <row r="1013284" spans="12:13" x14ac:dyDescent="0.25">
      <c r="L1013284" s="472"/>
      <c r="M1013284" s="472"/>
    </row>
    <row r="1013285" spans="12:13" x14ac:dyDescent="0.25">
      <c r="L1013285" s="472"/>
      <c r="M1013285" s="472"/>
    </row>
    <row r="1013357" spans="12:13" x14ac:dyDescent="0.25">
      <c r="L1013357" s="472"/>
      <c r="M1013357" s="472"/>
    </row>
    <row r="1013358" spans="12:13" x14ac:dyDescent="0.25">
      <c r="L1013358" s="472"/>
      <c r="M1013358" s="472"/>
    </row>
    <row r="1013359" spans="12:13" x14ac:dyDescent="0.25">
      <c r="L1013359" s="472"/>
      <c r="M1013359" s="472"/>
    </row>
    <row r="1013431" spans="12:13" x14ac:dyDescent="0.25">
      <c r="L1013431" s="472"/>
      <c r="M1013431" s="472"/>
    </row>
    <row r="1013432" spans="12:13" x14ac:dyDescent="0.25">
      <c r="L1013432" s="472"/>
      <c r="M1013432" s="472"/>
    </row>
    <row r="1013433" spans="12:13" x14ac:dyDescent="0.25">
      <c r="L1013433" s="472"/>
      <c r="M1013433" s="472"/>
    </row>
    <row r="1013505" spans="12:13" x14ac:dyDescent="0.25">
      <c r="L1013505" s="472"/>
      <c r="M1013505" s="472"/>
    </row>
    <row r="1013506" spans="12:13" x14ac:dyDescent="0.25">
      <c r="L1013506" s="472"/>
      <c r="M1013506" s="472"/>
    </row>
    <row r="1013507" spans="12:13" x14ac:dyDescent="0.25">
      <c r="L1013507" s="472"/>
      <c r="M1013507" s="472"/>
    </row>
    <row r="1013579" spans="12:13" x14ac:dyDescent="0.25">
      <c r="L1013579" s="472"/>
      <c r="M1013579" s="472"/>
    </row>
    <row r="1013580" spans="12:13" x14ac:dyDescent="0.25">
      <c r="L1013580" s="472"/>
      <c r="M1013580" s="472"/>
    </row>
    <row r="1013581" spans="12:13" x14ac:dyDescent="0.25">
      <c r="L1013581" s="472"/>
      <c r="M1013581" s="472"/>
    </row>
    <row r="1013653" spans="12:13" x14ac:dyDescent="0.25">
      <c r="L1013653" s="472"/>
      <c r="M1013653" s="472"/>
    </row>
    <row r="1013654" spans="12:13" x14ac:dyDescent="0.25">
      <c r="L1013654" s="472"/>
      <c r="M1013654" s="472"/>
    </row>
    <row r="1013655" spans="12:13" x14ac:dyDescent="0.25">
      <c r="L1013655" s="472"/>
      <c r="M1013655" s="472"/>
    </row>
    <row r="1013727" spans="12:13" x14ac:dyDescent="0.25">
      <c r="L1013727" s="472"/>
      <c r="M1013727" s="472"/>
    </row>
    <row r="1013728" spans="12:13" x14ac:dyDescent="0.25">
      <c r="L1013728" s="472"/>
      <c r="M1013728" s="472"/>
    </row>
    <row r="1013729" spans="12:13" x14ac:dyDescent="0.25">
      <c r="L1013729" s="472"/>
      <c r="M1013729" s="472"/>
    </row>
    <row r="1013801" spans="12:13" x14ac:dyDescent="0.25">
      <c r="L1013801" s="472"/>
      <c r="M1013801" s="472"/>
    </row>
    <row r="1013802" spans="12:13" x14ac:dyDescent="0.25">
      <c r="L1013802" s="472"/>
      <c r="M1013802" s="472"/>
    </row>
    <row r="1013803" spans="12:13" x14ac:dyDescent="0.25">
      <c r="L1013803" s="472"/>
      <c r="M1013803" s="472"/>
    </row>
    <row r="1013875" spans="12:13" x14ac:dyDescent="0.25">
      <c r="L1013875" s="472"/>
      <c r="M1013875" s="472"/>
    </row>
    <row r="1013876" spans="12:13" x14ac:dyDescent="0.25">
      <c r="L1013876" s="472"/>
      <c r="M1013876" s="472"/>
    </row>
    <row r="1013877" spans="12:13" x14ac:dyDescent="0.25">
      <c r="L1013877" s="472"/>
      <c r="M1013877" s="472"/>
    </row>
    <row r="1013949" spans="12:13" x14ac:dyDescent="0.25">
      <c r="L1013949" s="472"/>
      <c r="M1013949" s="472"/>
    </row>
    <row r="1013950" spans="12:13" x14ac:dyDescent="0.25">
      <c r="L1013950" s="472"/>
      <c r="M1013950" s="472"/>
    </row>
    <row r="1013951" spans="12:13" x14ac:dyDescent="0.25">
      <c r="L1013951" s="472"/>
      <c r="M1013951" s="472"/>
    </row>
    <row r="1014023" spans="12:13" x14ac:dyDescent="0.25">
      <c r="L1014023" s="472"/>
      <c r="M1014023" s="472"/>
    </row>
    <row r="1014024" spans="12:13" x14ac:dyDescent="0.25">
      <c r="L1014024" s="472"/>
      <c r="M1014024" s="472"/>
    </row>
    <row r="1014025" spans="12:13" x14ac:dyDescent="0.25">
      <c r="L1014025" s="472"/>
      <c r="M1014025" s="472"/>
    </row>
    <row r="1014097" spans="12:13" x14ac:dyDescent="0.25">
      <c r="L1014097" s="472"/>
      <c r="M1014097" s="472"/>
    </row>
    <row r="1014098" spans="12:13" x14ac:dyDescent="0.25">
      <c r="L1014098" s="472"/>
      <c r="M1014098" s="472"/>
    </row>
    <row r="1014099" spans="12:13" x14ac:dyDescent="0.25">
      <c r="L1014099" s="472"/>
      <c r="M1014099" s="472"/>
    </row>
    <row r="1014171" spans="12:13" x14ac:dyDescent="0.25">
      <c r="L1014171" s="472"/>
      <c r="M1014171" s="472"/>
    </row>
    <row r="1014172" spans="12:13" x14ac:dyDescent="0.25">
      <c r="L1014172" s="472"/>
      <c r="M1014172" s="472"/>
    </row>
    <row r="1014173" spans="12:13" x14ac:dyDescent="0.25">
      <c r="L1014173" s="472"/>
      <c r="M1014173" s="472"/>
    </row>
    <row r="1014245" spans="12:13" x14ac:dyDescent="0.25">
      <c r="L1014245" s="472"/>
      <c r="M1014245" s="472"/>
    </row>
    <row r="1014246" spans="12:13" x14ac:dyDescent="0.25">
      <c r="L1014246" s="472"/>
      <c r="M1014246" s="472"/>
    </row>
    <row r="1014247" spans="12:13" x14ac:dyDescent="0.25">
      <c r="L1014247" s="472"/>
      <c r="M1014247" s="472"/>
    </row>
    <row r="1014319" spans="12:13" x14ac:dyDescent="0.25">
      <c r="L1014319" s="472"/>
      <c r="M1014319" s="472"/>
    </row>
    <row r="1014320" spans="12:13" x14ac:dyDescent="0.25">
      <c r="L1014320" s="472"/>
      <c r="M1014320" s="472"/>
    </row>
    <row r="1014321" spans="12:13" x14ac:dyDescent="0.25">
      <c r="L1014321" s="472"/>
      <c r="M1014321" s="472"/>
    </row>
    <row r="1014393" spans="12:13" x14ac:dyDescent="0.25">
      <c r="L1014393" s="472"/>
      <c r="M1014393" s="472"/>
    </row>
    <row r="1014394" spans="12:13" x14ac:dyDescent="0.25">
      <c r="L1014394" s="472"/>
      <c r="M1014394" s="472"/>
    </row>
    <row r="1014395" spans="12:13" x14ac:dyDescent="0.25">
      <c r="L1014395" s="472"/>
      <c r="M1014395" s="472"/>
    </row>
    <row r="1014467" spans="12:13" x14ac:dyDescent="0.25">
      <c r="L1014467" s="472"/>
      <c r="M1014467" s="472"/>
    </row>
    <row r="1014468" spans="12:13" x14ac:dyDescent="0.25">
      <c r="L1014468" s="472"/>
      <c r="M1014468" s="472"/>
    </row>
    <row r="1014469" spans="12:13" x14ac:dyDescent="0.25">
      <c r="L1014469" s="472"/>
      <c r="M1014469" s="472"/>
    </row>
    <row r="1014541" spans="12:13" x14ac:dyDescent="0.25">
      <c r="L1014541" s="472"/>
      <c r="M1014541" s="472"/>
    </row>
    <row r="1014542" spans="12:13" x14ac:dyDescent="0.25">
      <c r="L1014542" s="472"/>
      <c r="M1014542" s="472"/>
    </row>
    <row r="1014543" spans="12:13" x14ac:dyDescent="0.25">
      <c r="L1014543" s="472"/>
      <c r="M1014543" s="472"/>
    </row>
    <row r="1014615" spans="12:13" x14ac:dyDescent="0.25">
      <c r="L1014615" s="472"/>
      <c r="M1014615" s="472"/>
    </row>
    <row r="1014616" spans="12:13" x14ac:dyDescent="0.25">
      <c r="L1014616" s="472"/>
      <c r="M1014616" s="472"/>
    </row>
    <row r="1014617" spans="12:13" x14ac:dyDescent="0.25">
      <c r="L1014617" s="472"/>
      <c r="M1014617" s="472"/>
    </row>
    <row r="1014689" spans="12:13" x14ac:dyDescent="0.25">
      <c r="L1014689" s="472"/>
      <c r="M1014689" s="472"/>
    </row>
    <row r="1014690" spans="12:13" x14ac:dyDescent="0.25">
      <c r="L1014690" s="472"/>
      <c r="M1014690" s="472"/>
    </row>
    <row r="1014691" spans="12:13" x14ac:dyDescent="0.25">
      <c r="L1014691" s="472"/>
      <c r="M1014691" s="472"/>
    </row>
    <row r="1014763" spans="12:13" x14ac:dyDescent="0.25">
      <c r="L1014763" s="472"/>
      <c r="M1014763" s="472"/>
    </row>
    <row r="1014764" spans="12:13" x14ac:dyDescent="0.25">
      <c r="L1014764" s="472"/>
      <c r="M1014764" s="472"/>
    </row>
    <row r="1014765" spans="12:13" x14ac:dyDescent="0.25">
      <c r="L1014765" s="472"/>
      <c r="M1014765" s="472"/>
    </row>
    <row r="1014837" spans="12:13" x14ac:dyDescent="0.25">
      <c r="L1014837" s="472"/>
      <c r="M1014837" s="472"/>
    </row>
    <row r="1014838" spans="12:13" x14ac:dyDescent="0.25">
      <c r="L1014838" s="472"/>
      <c r="M1014838" s="472"/>
    </row>
    <row r="1014839" spans="12:13" x14ac:dyDescent="0.25">
      <c r="L1014839" s="472"/>
      <c r="M1014839" s="472"/>
    </row>
    <row r="1014911" spans="12:13" x14ac:dyDescent="0.25">
      <c r="L1014911" s="472"/>
      <c r="M1014911" s="472"/>
    </row>
    <row r="1014912" spans="12:13" x14ac:dyDescent="0.25">
      <c r="L1014912" s="472"/>
      <c r="M1014912" s="472"/>
    </row>
    <row r="1014913" spans="12:13" x14ac:dyDescent="0.25">
      <c r="L1014913" s="472"/>
      <c r="M1014913" s="472"/>
    </row>
    <row r="1014985" spans="12:13" x14ac:dyDescent="0.25">
      <c r="L1014985" s="472"/>
      <c r="M1014985" s="472"/>
    </row>
    <row r="1014986" spans="12:13" x14ac:dyDescent="0.25">
      <c r="L1014986" s="472"/>
      <c r="M1014986" s="472"/>
    </row>
    <row r="1014987" spans="12:13" x14ac:dyDescent="0.25">
      <c r="L1014987" s="472"/>
      <c r="M1014987" s="472"/>
    </row>
    <row r="1015059" spans="12:13" x14ac:dyDescent="0.25">
      <c r="L1015059" s="472"/>
      <c r="M1015059" s="472"/>
    </row>
    <row r="1015060" spans="12:13" x14ac:dyDescent="0.25">
      <c r="L1015060" s="472"/>
      <c r="M1015060" s="472"/>
    </row>
    <row r="1015061" spans="12:13" x14ac:dyDescent="0.25">
      <c r="L1015061" s="472"/>
      <c r="M1015061" s="472"/>
    </row>
    <row r="1015133" spans="12:13" x14ac:dyDescent="0.25">
      <c r="L1015133" s="472"/>
      <c r="M1015133" s="472"/>
    </row>
    <row r="1015134" spans="12:13" x14ac:dyDescent="0.25">
      <c r="L1015134" s="472"/>
      <c r="M1015134" s="472"/>
    </row>
    <row r="1015135" spans="12:13" x14ac:dyDescent="0.25">
      <c r="L1015135" s="472"/>
      <c r="M1015135" s="472"/>
    </row>
    <row r="1015207" spans="12:13" x14ac:dyDescent="0.25">
      <c r="L1015207" s="472"/>
      <c r="M1015207" s="472"/>
    </row>
    <row r="1015208" spans="12:13" x14ac:dyDescent="0.25">
      <c r="L1015208" s="472"/>
      <c r="M1015208" s="472"/>
    </row>
    <row r="1015209" spans="12:13" x14ac:dyDescent="0.25">
      <c r="L1015209" s="472"/>
      <c r="M1015209" s="472"/>
    </row>
    <row r="1015281" spans="12:13" x14ac:dyDescent="0.25">
      <c r="L1015281" s="472"/>
      <c r="M1015281" s="472"/>
    </row>
    <row r="1015282" spans="12:13" x14ac:dyDescent="0.25">
      <c r="L1015282" s="472"/>
      <c r="M1015282" s="472"/>
    </row>
    <row r="1015283" spans="12:13" x14ac:dyDescent="0.25">
      <c r="L1015283" s="472"/>
      <c r="M1015283" s="472"/>
    </row>
    <row r="1015355" spans="12:13" x14ac:dyDescent="0.25">
      <c r="L1015355" s="472"/>
      <c r="M1015355" s="472"/>
    </row>
    <row r="1015356" spans="12:13" x14ac:dyDescent="0.25">
      <c r="L1015356" s="472"/>
      <c r="M1015356" s="472"/>
    </row>
    <row r="1015357" spans="12:13" x14ac:dyDescent="0.25">
      <c r="L1015357" s="472"/>
      <c r="M1015357" s="472"/>
    </row>
    <row r="1015429" spans="12:13" x14ac:dyDescent="0.25">
      <c r="L1015429" s="472"/>
      <c r="M1015429" s="472"/>
    </row>
    <row r="1015430" spans="12:13" x14ac:dyDescent="0.25">
      <c r="L1015430" s="472"/>
      <c r="M1015430" s="472"/>
    </row>
    <row r="1015431" spans="12:13" x14ac:dyDescent="0.25">
      <c r="L1015431" s="472"/>
      <c r="M1015431" s="472"/>
    </row>
    <row r="1015503" spans="12:13" x14ac:dyDescent="0.25">
      <c r="L1015503" s="472"/>
      <c r="M1015503" s="472"/>
    </row>
    <row r="1015504" spans="12:13" x14ac:dyDescent="0.25">
      <c r="L1015504" s="472"/>
      <c r="M1015504" s="472"/>
    </row>
    <row r="1015505" spans="12:13" x14ac:dyDescent="0.25">
      <c r="L1015505" s="472"/>
      <c r="M1015505" s="472"/>
    </row>
    <row r="1015577" spans="12:13" x14ac:dyDescent="0.25">
      <c r="L1015577" s="472"/>
      <c r="M1015577" s="472"/>
    </row>
    <row r="1015578" spans="12:13" x14ac:dyDescent="0.25">
      <c r="L1015578" s="472"/>
      <c r="M1015578" s="472"/>
    </row>
    <row r="1015579" spans="12:13" x14ac:dyDescent="0.25">
      <c r="L1015579" s="472"/>
      <c r="M1015579" s="472"/>
    </row>
    <row r="1015651" spans="12:13" x14ac:dyDescent="0.25">
      <c r="L1015651" s="472"/>
      <c r="M1015651" s="472"/>
    </row>
    <row r="1015652" spans="12:13" x14ac:dyDescent="0.25">
      <c r="L1015652" s="472"/>
      <c r="M1015652" s="472"/>
    </row>
    <row r="1015653" spans="12:13" x14ac:dyDescent="0.25">
      <c r="L1015653" s="472"/>
      <c r="M1015653" s="472"/>
    </row>
    <row r="1015725" spans="12:13" x14ac:dyDescent="0.25">
      <c r="L1015725" s="472"/>
      <c r="M1015725" s="472"/>
    </row>
    <row r="1015726" spans="12:13" x14ac:dyDescent="0.25">
      <c r="L1015726" s="472"/>
      <c r="M1015726" s="472"/>
    </row>
    <row r="1015727" spans="12:13" x14ac:dyDescent="0.25">
      <c r="L1015727" s="472"/>
      <c r="M1015727" s="472"/>
    </row>
    <row r="1015799" spans="12:13" x14ac:dyDescent="0.25">
      <c r="L1015799" s="472"/>
      <c r="M1015799" s="472"/>
    </row>
    <row r="1015800" spans="12:13" x14ac:dyDescent="0.25">
      <c r="L1015800" s="472"/>
      <c r="M1015800" s="472"/>
    </row>
    <row r="1015801" spans="12:13" x14ac:dyDescent="0.25">
      <c r="L1015801" s="472"/>
      <c r="M1015801" s="472"/>
    </row>
    <row r="1015873" spans="12:13" x14ac:dyDescent="0.25">
      <c r="L1015873" s="472"/>
      <c r="M1015873" s="472"/>
    </row>
    <row r="1015874" spans="12:13" x14ac:dyDescent="0.25">
      <c r="L1015874" s="472"/>
      <c r="M1015874" s="472"/>
    </row>
    <row r="1015875" spans="12:13" x14ac:dyDescent="0.25">
      <c r="L1015875" s="472"/>
      <c r="M1015875" s="472"/>
    </row>
    <row r="1015947" spans="12:13" x14ac:dyDescent="0.25">
      <c r="L1015947" s="472"/>
      <c r="M1015947" s="472"/>
    </row>
    <row r="1015948" spans="12:13" x14ac:dyDescent="0.25">
      <c r="L1015948" s="472"/>
      <c r="M1015948" s="472"/>
    </row>
    <row r="1015949" spans="12:13" x14ac:dyDescent="0.25">
      <c r="L1015949" s="472"/>
      <c r="M1015949" s="472"/>
    </row>
    <row r="1016021" spans="12:13" x14ac:dyDescent="0.25">
      <c r="L1016021" s="472"/>
      <c r="M1016021" s="472"/>
    </row>
    <row r="1016022" spans="12:13" x14ac:dyDescent="0.25">
      <c r="L1016022" s="472"/>
      <c r="M1016022" s="472"/>
    </row>
    <row r="1016023" spans="12:13" x14ac:dyDescent="0.25">
      <c r="L1016023" s="472"/>
      <c r="M1016023" s="472"/>
    </row>
    <row r="1016095" spans="12:13" x14ac:dyDescent="0.25">
      <c r="L1016095" s="472"/>
      <c r="M1016095" s="472"/>
    </row>
    <row r="1016096" spans="12:13" x14ac:dyDescent="0.25">
      <c r="L1016096" s="472"/>
      <c r="M1016096" s="472"/>
    </row>
    <row r="1016097" spans="12:13" x14ac:dyDescent="0.25">
      <c r="L1016097" s="472"/>
      <c r="M1016097" s="472"/>
    </row>
    <row r="1016169" spans="12:13" x14ac:dyDescent="0.25">
      <c r="L1016169" s="472"/>
      <c r="M1016169" s="472"/>
    </row>
    <row r="1016170" spans="12:13" x14ac:dyDescent="0.25">
      <c r="L1016170" s="472"/>
      <c r="M1016170" s="472"/>
    </row>
    <row r="1016171" spans="12:13" x14ac:dyDescent="0.25">
      <c r="L1016171" s="472"/>
      <c r="M1016171" s="472"/>
    </row>
    <row r="1016243" spans="12:13" x14ac:dyDescent="0.25">
      <c r="L1016243" s="472"/>
      <c r="M1016243" s="472"/>
    </row>
    <row r="1016244" spans="12:13" x14ac:dyDescent="0.25">
      <c r="L1016244" s="472"/>
      <c r="M1016244" s="472"/>
    </row>
    <row r="1016245" spans="12:13" x14ac:dyDescent="0.25">
      <c r="L1016245" s="472"/>
      <c r="M1016245" s="472"/>
    </row>
    <row r="1016317" spans="12:13" x14ac:dyDescent="0.25">
      <c r="L1016317" s="472"/>
      <c r="M1016317" s="472"/>
    </row>
    <row r="1016318" spans="12:13" x14ac:dyDescent="0.25">
      <c r="L1016318" s="472"/>
      <c r="M1016318" s="472"/>
    </row>
    <row r="1016319" spans="12:13" x14ac:dyDescent="0.25">
      <c r="L1016319" s="472"/>
      <c r="M1016319" s="472"/>
    </row>
    <row r="1016391" spans="12:13" x14ac:dyDescent="0.25">
      <c r="L1016391" s="472"/>
      <c r="M1016391" s="472"/>
    </row>
    <row r="1016392" spans="12:13" x14ac:dyDescent="0.25">
      <c r="L1016392" s="472"/>
      <c r="M1016392" s="472"/>
    </row>
    <row r="1016393" spans="12:13" x14ac:dyDescent="0.25">
      <c r="L1016393" s="472"/>
      <c r="M1016393" s="472"/>
    </row>
    <row r="1016465" spans="12:13" x14ac:dyDescent="0.25">
      <c r="L1016465" s="472"/>
      <c r="M1016465" s="472"/>
    </row>
    <row r="1016466" spans="12:13" x14ac:dyDescent="0.25">
      <c r="L1016466" s="472"/>
      <c r="M1016466" s="472"/>
    </row>
    <row r="1016467" spans="12:13" x14ac:dyDescent="0.25">
      <c r="L1016467" s="472"/>
      <c r="M1016467" s="472"/>
    </row>
    <row r="1016539" spans="12:13" x14ac:dyDescent="0.25">
      <c r="L1016539" s="472"/>
      <c r="M1016539" s="472"/>
    </row>
    <row r="1016540" spans="12:13" x14ac:dyDescent="0.25">
      <c r="L1016540" s="472"/>
      <c r="M1016540" s="472"/>
    </row>
    <row r="1016541" spans="12:13" x14ac:dyDescent="0.25">
      <c r="L1016541" s="472"/>
      <c r="M1016541" s="472"/>
    </row>
    <row r="1016613" spans="12:13" x14ac:dyDescent="0.25">
      <c r="L1016613" s="472"/>
      <c r="M1016613" s="472"/>
    </row>
    <row r="1016614" spans="12:13" x14ac:dyDescent="0.25">
      <c r="L1016614" s="472"/>
      <c r="M1016614" s="472"/>
    </row>
    <row r="1016615" spans="12:13" x14ac:dyDescent="0.25">
      <c r="L1016615" s="472"/>
      <c r="M1016615" s="472"/>
    </row>
    <row r="1016687" spans="12:13" x14ac:dyDescent="0.25">
      <c r="L1016687" s="472"/>
      <c r="M1016687" s="472"/>
    </row>
    <row r="1016688" spans="12:13" x14ac:dyDescent="0.25">
      <c r="L1016688" s="472"/>
      <c r="M1016688" s="472"/>
    </row>
    <row r="1016689" spans="12:13" x14ac:dyDescent="0.25">
      <c r="L1016689" s="472"/>
      <c r="M1016689" s="472"/>
    </row>
    <row r="1016761" spans="12:13" x14ac:dyDescent="0.25">
      <c r="L1016761" s="472"/>
      <c r="M1016761" s="472"/>
    </row>
    <row r="1016762" spans="12:13" x14ac:dyDescent="0.25">
      <c r="L1016762" s="472"/>
      <c r="M1016762" s="472"/>
    </row>
    <row r="1016763" spans="12:13" x14ac:dyDescent="0.25">
      <c r="L1016763" s="472"/>
      <c r="M1016763" s="472"/>
    </row>
    <row r="1016835" spans="12:13" x14ac:dyDescent="0.25">
      <c r="L1016835" s="472"/>
      <c r="M1016835" s="472"/>
    </row>
    <row r="1016836" spans="12:13" x14ac:dyDescent="0.25">
      <c r="L1016836" s="472"/>
      <c r="M1016836" s="472"/>
    </row>
    <row r="1016837" spans="12:13" x14ac:dyDescent="0.25">
      <c r="L1016837" s="472"/>
      <c r="M1016837" s="472"/>
    </row>
    <row r="1016909" spans="12:13" x14ac:dyDescent="0.25">
      <c r="L1016909" s="472"/>
      <c r="M1016909" s="472"/>
    </row>
    <row r="1016910" spans="12:13" x14ac:dyDescent="0.25">
      <c r="L1016910" s="472"/>
      <c r="M1016910" s="472"/>
    </row>
    <row r="1016911" spans="12:13" x14ac:dyDescent="0.25">
      <c r="L1016911" s="472"/>
      <c r="M1016911" s="472"/>
    </row>
    <row r="1016983" spans="12:13" x14ac:dyDescent="0.25">
      <c r="L1016983" s="472"/>
      <c r="M1016983" s="472"/>
    </row>
    <row r="1016984" spans="12:13" x14ac:dyDescent="0.25">
      <c r="L1016984" s="472"/>
      <c r="M1016984" s="472"/>
    </row>
    <row r="1016985" spans="12:13" x14ac:dyDescent="0.25">
      <c r="L1016985" s="472"/>
      <c r="M1016985" s="472"/>
    </row>
    <row r="1017057" spans="12:13" x14ac:dyDescent="0.25">
      <c r="L1017057" s="472"/>
      <c r="M1017057" s="472"/>
    </row>
    <row r="1017058" spans="12:13" x14ac:dyDescent="0.25">
      <c r="L1017058" s="472"/>
      <c r="M1017058" s="472"/>
    </row>
    <row r="1017059" spans="12:13" x14ac:dyDescent="0.25">
      <c r="L1017059" s="472"/>
      <c r="M1017059" s="472"/>
    </row>
    <row r="1017131" spans="12:13" x14ac:dyDescent="0.25">
      <c r="L1017131" s="472"/>
      <c r="M1017131" s="472"/>
    </row>
    <row r="1017132" spans="12:13" x14ac:dyDescent="0.25">
      <c r="L1017132" s="472"/>
      <c r="M1017132" s="472"/>
    </row>
    <row r="1017133" spans="12:13" x14ac:dyDescent="0.25">
      <c r="L1017133" s="472"/>
      <c r="M1017133" s="472"/>
    </row>
    <row r="1017205" spans="12:13" x14ac:dyDescent="0.25">
      <c r="L1017205" s="472"/>
      <c r="M1017205" s="472"/>
    </row>
    <row r="1017206" spans="12:13" x14ac:dyDescent="0.25">
      <c r="L1017206" s="472"/>
      <c r="M1017206" s="472"/>
    </row>
    <row r="1017207" spans="12:13" x14ac:dyDescent="0.25">
      <c r="L1017207" s="472"/>
      <c r="M1017207" s="472"/>
    </row>
    <row r="1017279" spans="12:13" x14ac:dyDescent="0.25">
      <c r="L1017279" s="472"/>
      <c r="M1017279" s="472"/>
    </row>
    <row r="1017280" spans="12:13" x14ac:dyDescent="0.25">
      <c r="L1017280" s="472"/>
      <c r="M1017280" s="472"/>
    </row>
    <row r="1017281" spans="12:13" x14ac:dyDescent="0.25">
      <c r="L1017281" s="472"/>
      <c r="M1017281" s="472"/>
    </row>
    <row r="1017353" spans="12:13" x14ac:dyDescent="0.25">
      <c r="L1017353" s="472"/>
      <c r="M1017353" s="472"/>
    </row>
    <row r="1017354" spans="12:13" x14ac:dyDescent="0.25">
      <c r="L1017354" s="472"/>
      <c r="M1017354" s="472"/>
    </row>
    <row r="1017355" spans="12:13" x14ac:dyDescent="0.25">
      <c r="L1017355" s="472"/>
      <c r="M1017355" s="472"/>
    </row>
    <row r="1017427" spans="12:13" x14ac:dyDescent="0.25">
      <c r="L1017427" s="472"/>
      <c r="M1017427" s="472"/>
    </row>
    <row r="1017428" spans="12:13" x14ac:dyDescent="0.25">
      <c r="L1017428" s="472"/>
      <c r="M1017428" s="472"/>
    </row>
    <row r="1017429" spans="12:13" x14ac:dyDescent="0.25">
      <c r="L1017429" s="472"/>
      <c r="M1017429" s="472"/>
    </row>
    <row r="1017501" spans="12:13" x14ac:dyDescent="0.25">
      <c r="L1017501" s="472"/>
      <c r="M1017501" s="472"/>
    </row>
    <row r="1017502" spans="12:13" x14ac:dyDescent="0.25">
      <c r="L1017502" s="472"/>
      <c r="M1017502" s="472"/>
    </row>
    <row r="1017503" spans="12:13" x14ac:dyDescent="0.25">
      <c r="L1017503" s="472"/>
      <c r="M1017503" s="472"/>
    </row>
    <row r="1017575" spans="12:13" x14ac:dyDescent="0.25">
      <c r="L1017575" s="472"/>
      <c r="M1017575" s="472"/>
    </row>
    <row r="1017576" spans="12:13" x14ac:dyDescent="0.25">
      <c r="L1017576" s="472"/>
      <c r="M1017576" s="472"/>
    </row>
    <row r="1017577" spans="12:13" x14ac:dyDescent="0.25">
      <c r="L1017577" s="472"/>
      <c r="M1017577" s="472"/>
    </row>
    <row r="1017649" spans="12:13" x14ac:dyDescent="0.25">
      <c r="L1017649" s="472"/>
      <c r="M1017649" s="472"/>
    </row>
    <row r="1017650" spans="12:13" x14ac:dyDescent="0.25">
      <c r="L1017650" s="472"/>
      <c r="M1017650" s="472"/>
    </row>
    <row r="1017651" spans="12:13" x14ac:dyDescent="0.25">
      <c r="L1017651" s="472"/>
      <c r="M1017651" s="472"/>
    </row>
    <row r="1017723" spans="12:13" x14ac:dyDescent="0.25">
      <c r="L1017723" s="472"/>
      <c r="M1017723" s="472"/>
    </row>
    <row r="1017724" spans="12:13" x14ac:dyDescent="0.25">
      <c r="L1017724" s="472"/>
      <c r="M1017724" s="472"/>
    </row>
    <row r="1017725" spans="12:13" x14ac:dyDescent="0.25">
      <c r="L1017725" s="472"/>
      <c r="M1017725" s="472"/>
    </row>
    <row r="1017797" spans="12:13" x14ac:dyDescent="0.25">
      <c r="L1017797" s="472"/>
      <c r="M1017797" s="472"/>
    </row>
    <row r="1017798" spans="12:13" x14ac:dyDescent="0.25">
      <c r="L1017798" s="472"/>
      <c r="M1017798" s="472"/>
    </row>
    <row r="1017799" spans="12:13" x14ac:dyDescent="0.25">
      <c r="L1017799" s="472"/>
      <c r="M1017799" s="472"/>
    </row>
    <row r="1017871" spans="12:13" x14ac:dyDescent="0.25">
      <c r="L1017871" s="472"/>
      <c r="M1017871" s="472"/>
    </row>
    <row r="1017872" spans="12:13" x14ac:dyDescent="0.25">
      <c r="L1017872" s="472"/>
      <c r="M1017872" s="472"/>
    </row>
    <row r="1017873" spans="12:13" x14ac:dyDescent="0.25">
      <c r="L1017873" s="472"/>
      <c r="M1017873" s="472"/>
    </row>
    <row r="1017945" spans="12:13" x14ac:dyDescent="0.25">
      <c r="L1017945" s="472"/>
      <c r="M1017945" s="472"/>
    </row>
    <row r="1017946" spans="12:13" x14ac:dyDescent="0.25">
      <c r="L1017946" s="472"/>
      <c r="M1017946" s="472"/>
    </row>
    <row r="1017947" spans="12:13" x14ac:dyDescent="0.25">
      <c r="L1017947" s="472"/>
      <c r="M1017947" s="472"/>
    </row>
    <row r="1018019" spans="12:13" x14ac:dyDescent="0.25">
      <c r="L1018019" s="472"/>
      <c r="M1018019" s="472"/>
    </row>
    <row r="1018020" spans="12:13" x14ac:dyDescent="0.25">
      <c r="L1018020" s="472"/>
      <c r="M1018020" s="472"/>
    </row>
    <row r="1018021" spans="12:13" x14ac:dyDescent="0.25">
      <c r="L1018021" s="472"/>
      <c r="M1018021" s="472"/>
    </row>
    <row r="1018093" spans="12:13" x14ac:dyDescent="0.25">
      <c r="L1018093" s="472"/>
      <c r="M1018093" s="472"/>
    </row>
    <row r="1018094" spans="12:13" x14ac:dyDescent="0.25">
      <c r="L1018094" s="472"/>
      <c r="M1018094" s="472"/>
    </row>
    <row r="1018095" spans="12:13" x14ac:dyDescent="0.25">
      <c r="L1018095" s="472"/>
      <c r="M1018095" s="472"/>
    </row>
    <row r="1018167" spans="12:13" x14ac:dyDescent="0.25">
      <c r="L1018167" s="472"/>
      <c r="M1018167" s="472"/>
    </row>
    <row r="1018168" spans="12:13" x14ac:dyDescent="0.25">
      <c r="L1018168" s="472"/>
      <c r="M1018168" s="472"/>
    </row>
    <row r="1018169" spans="12:13" x14ac:dyDescent="0.25">
      <c r="L1018169" s="472"/>
      <c r="M1018169" s="472"/>
    </row>
    <row r="1018241" spans="12:13" x14ac:dyDescent="0.25">
      <c r="L1018241" s="472"/>
      <c r="M1018241" s="472"/>
    </row>
    <row r="1018242" spans="12:13" x14ac:dyDescent="0.25">
      <c r="L1018242" s="472"/>
      <c r="M1018242" s="472"/>
    </row>
    <row r="1018243" spans="12:13" x14ac:dyDescent="0.25">
      <c r="L1018243" s="472"/>
      <c r="M1018243" s="472"/>
    </row>
    <row r="1018315" spans="12:13" x14ac:dyDescent="0.25">
      <c r="L1018315" s="472"/>
      <c r="M1018315" s="472"/>
    </row>
    <row r="1018316" spans="12:13" x14ac:dyDescent="0.25">
      <c r="L1018316" s="472"/>
      <c r="M1018316" s="472"/>
    </row>
    <row r="1018317" spans="12:13" x14ac:dyDescent="0.25">
      <c r="L1018317" s="472"/>
      <c r="M1018317" s="472"/>
    </row>
    <row r="1018389" spans="12:13" x14ac:dyDescent="0.25">
      <c r="L1018389" s="472"/>
      <c r="M1018389" s="472"/>
    </row>
    <row r="1018390" spans="12:13" x14ac:dyDescent="0.25">
      <c r="L1018390" s="472"/>
      <c r="M1018390" s="472"/>
    </row>
    <row r="1018391" spans="12:13" x14ac:dyDescent="0.25">
      <c r="L1018391" s="472"/>
      <c r="M1018391" s="472"/>
    </row>
    <row r="1018463" spans="12:13" x14ac:dyDescent="0.25">
      <c r="L1018463" s="472"/>
      <c r="M1018463" s="472"/>
    </row>
    <row r="1018464" spans="12:13" x14ac:dyDescent="0.25">
      <c r="L1018464" s="472"/>
      <c r="M1018464" s="472"/>
    </row>
    <row r="1018465" spans="12:13" x14ac:dyDescent="0.25">
      <c r="L1018465" s="472"/>
      <c r="M1018465" s="472"/>
    </row>
    <row r="1018537" spans="12:13" x14ac:dyDescent="0.25">
      <c r="L1018537" s="472"/>
      <c r="M1018537" s="472"/>
    </row>
    <row r="1018538" spans="12:13" x14ac:dyDescent="0.25">
      <c r="L1018538" s="472"/>
      <c r="M1018538" s="472"/>
    </row>
    <row r="1018539" spans="12:13" x14ac:dyDescent="0.25">
      <c r="L1018539" s="472"/>
      <c r="M1018539" s="472"/>
    </row>
    <row r="1018611" spans="12:13" x14ac:dyDescent="0.25">
      <c r="L1018611" s="472"/>
      <c r="M1018611" s="472"/>
    </row>
    <row r="1018612" spans="12:13" x14ac:dyDescent="0.25">
      <c r="L1018612" s="472"/>
      <c r="M1018612" s="472"/>
    </row>
    <row r="1018613" spans="12:13" x14ac:dyDescent="0.25">
      <c r="L1018613" s="472"/>
      <c r="M1018613" s="472"/>
    </row>
    <row r="1018685" spans="12:13" x14ac:dyDescent="0.25">
      <c r="L1018685" s="472"/>
      <c r="M1018685" s="472"/>
    </row>
    <row r="1018686" spans="12:13" x14ac:dyDescent="0.25">
      <c r="L1018686" s="472"/>
      <c r="M1018686" s="472"/>
    </row>
    <row r="1018687" spans="12:13" x14ac:dyDescent="0.25">
      <c r="L1018687" s="472"/>
      <c r="M1018687" s="472"/>
    </row>
    <row r="1018759" spans="12:13" x14ac:dyDescent="0.25">
      <c r="L1018759" s="472"/>
      <c r="M1018759" s="472"/>
    </row>
    <row r="1018760" spans="12:13" x14ac:dyDescent="0.25">
      <c r="L1018760" s="472"/>
      <c r="M1018760" s="472"/>
    </row>
    <row r="1018761" spans="12:13" x14ac:dyDescent="0.25">
      <c r="L1018761" s="472"/>
      <c r="M1018761" s="472"/>
    </row>
    <row r="1018833" spans="12:13" x14ac:dyDescent="0.25">
      <c r="L1018833" s="472"/>
      <c r="M1018833" s="472"/>
    </row>
    <row r="1018834" spans="12:13" x14ac:dyDescent="0.25">
      <c r="L1018834" s="472"/>
      <c r="M1018834" s="472"/>
    </row>
    <row r="1018835" spans="12:13" x14ac:dyDescent="0.25">
      <c r="L1018835" s="472"/>
      <c r="M1018835" s="472"/>
    </row>
    <row r="1018907" spans="12:13" x14ac:dyDescent="0.25">
      <c r="L1018907" s="472"/>
      <c r="M1018907" s="472"/>
    </row>
    <row r="1018908" spans="12:13" x14ac:dyDescent="0.25">
      <c r="L1018908" s="472"/>
      <c r="M1018908" s="472"/>
    </row>
    <row r="1018909" spans="12:13" x14ac:dyDescent="0.25">
      <c r="L1018909" s="472"/>
      <c r="M1018909" s="472"/>
    </row>
    <row r="1018981" spans="12:13" x14ac:dyDescent="0.25">
      <c r="L1018981" s="472"/>
      <c r="M1018981" s="472"/>
    </row>
    <row r="1018982" spans="12:13" x14ac:dyDescent="0.25">
      <c r="L1018982" s="472"/>
      <c r="M1018982" s="472"/>
    </row>
    <row r="1018983" spans="12:13" x14ac:dyDescent="0.25">
      <c r="L1018983" s="472"/>
      <c r="M1018983" s="472"/>
    </row>
    <row r="1019055" spans="12:13" x14ac:dyDescent="0.25">
      <c r="L1019055" s="472"/>
      <c r="M1019055" s="472"/>
    </row>
    <row r="1019056" spans="12:13" x14ac:dyDescent="0.25">
      <c r="L1019056" s="472"/>
      <c r="M1019056" s="472"/>
    </row>
    <row r="1019057" spans="12:13" x14ac:dyDescent="0.25">
      <c r="L1019057" s="472"/>
      <c r="M1019057" s="472"/>
    </row>
    <row r="1019129" spans="12:13" x14ac:dyDescent="0.25">
      <c r="L1019129" s="472"/>
      <c r="M1019129" s="472"/>
    </row>
    <row r="1019130" spans="12:13" x14ac:dyDescent="0.25">
      <c r="L1019130" s="472"/>
      <c r="M1019130" s="472"/>
    </row>
    <row r="1019131" spans="12:13" x14ac:dyDescent="0.25">
      <c r="L1019131" s="472"/>
      <c r="M1019131" s="472"/>
    </row>
    <row r="1019203" spans="12:13" x14ac:dyDescent="0.25">
      <c r="L1019203" s="472"/>
      <c r="M1019203" s="472"/>
    </row>
    <row r="1019204" spans="12:13" x14ac:dyDescent="0.25">
      <c r="L1019204" s="472"/>
      <c r="M1019204" s="472"/>
    </row>
    <row r="1019205" spans="12:13" x14ac:dyDescent="0.25">
      <c r="L1019205" s="472"/>
      <c r="M1019205" s="472"/>
    </row>
    <row r="1019277" spans="12:13" x14ac:dyDescent="0.25">
      <c r="L1019277" s="472"/>
      <c r="M1019277" s="472"/>
    </row>
    <row r="1019278" spans="12:13" x14ac:dyDescent="0.25">
      <c r="L1019278" s="472"/>
      <c r="M1019278" s="472"/>
    </row>
    <row r="1019279" spans="12:13" x14ac:dyDescent="0.25">
      <c r="L1019279" s="472"/>
      <c r="M1019279" s="472"/>
    </row>
    <row r="1019351" spans="12:13" x14ac:dyDescent="0.25">
      <c r="L1019351" s="472"/>
      <c r="M1019351" s="472"/>
    </row>
    <row r="1019352" spans="12:13" x14ac:dyDescent="0.25">
      <c r="L1019352" s="472"/>
      <c r="M1019352" s="472"/>
    </row>
    <row r="1019353" spans="12:13" x14ac:dyDescent="0.25">
      <c r="L1019353" s="472"/>
      <c r="M1019353" s="472"/>
    </row>
    <row r="1019425" spans="12:13" x14ac:dyDescent="0.25">
      <c r="L1019425" s="472"/>
      <c r="M1019425" s="472"/>
    </row>
    <row r="1019426" spans="12:13" x14ac:dyDescent="0.25">
      <c r="L1019426" s="472"/>
      <c r="M1019426" s="472"/>
    </row>
    <row r="1019427" spans="12:13" x14ac:dyDescent="0.25">
      <c r="L1019427" s="472"/>
      <c r="M1019427" s="472"/>
    </row>
    <row r="1019499" spans="12:13" x14ac:dyDescent="0.25">
      <c r="L1019499" s="472"/>
      <c r="M1019499" s="472"/>
    </row>
    <row r="1019500" spans="12:13" x14ac:dyDescent="0.25">
      <c r="L1019500" s="472"/>
      <c r="M1019500" s="472"/>
    </row>
    <row r="1019501" spans="12:13" x14ac:dyDescent="0.25">
      <c r="L1019501" s="472"/>
      <c r="M1019501" s="472"/>
    </row>
    <row r="1019573" spans="12:13" x14ac:dyDescent="0.25">
      <c r="L1019573" s="472"/>
      <c r="M1019573" s="472"/>
    </row>
    <row r="1019574" spans="12:13" x14ac:dyDescent="0.25">
      <c r="L1019574" s="472"/>
      <c r="M1019574" s="472"/>
    </row>
    <row r="1019575" spans="12:13" x14ac:dyDescent="0.25">
      <c r="L1019575" s="472"/>
      <c r="M1019575" s="472"/>
    </row>
    <row r="1019647" spans="12:13" x14ac:dyDescent="0.25">
      <c r="L1019647" s="472"/>
      <c r="M1019647" s="472"/>
    </row>
    <row r="1019648" spans="12:13" x14ac:dyDescent="0.25">
      <c r="L1019648" s="472"/>
      <c r="M1019648" s="472"/>
    </row>
    <row r="1019649" spans="12:13" x14ac:dyDescent="0.25">
      <c r="L1019649" s="472"/>
      <c r="M1019649" s="472"/>
    </row>
    <row r="1019721" spans="12:13" x14ac:dyDescent="0.25">
      <c r="L1019721" s="472"/>
      <c r="M1019721" s="472"/>
    </row>
    <row r="1019722" spans="12:13" x14ac:dyDescent="0.25">
      <c r="L1019722" s="472"/>
      <c r="M1019722" s="472"/>
    </row>
    <row r="1019723" spans="12:13" x14ac:dyDescent="0.25">
      <c r="L1019723" s="472"/>
      <c r="M1019723" s="472"/>
    </row>
    <row r="1019795" spans="12:13" x14ac:dyDescent="0.25">
      <c r="L1019795" s="472"/>
      <c r="M1019795" s="472"/>
    </row>
    <row r="1019796" spans="12:13" x14ac:dyDescent="0.25">
      <c r="L1019796" s="472"/>
      <c r="M1019796" s="472"/>
    </row>
    <row r="1019797" spans="12:13" x14ac:dyDescent="0.25">
      <c r="L1019797" s="472"/>
      <c r="M1019797" s="472"/>
    </row>
    <row r="1019869" spans="12:13" x14ac:dyDescent="0.25">
      <c r="L1019869" s="472"/>
      <c r="M1019869" s="472"/>
    </row>
    <row r="1019870" spans="12:13" x14ac:dyDescent="0.25">
      <c r="L1019870" s="472"/>
      <c r="M1019870" s="472"/>
    </row>
    <row r="1019871" spans="12:13" x14ac:dyDescent="0.25">
      <c r="L1019871" s="472"/>
      <c r="M1019871" s="472"/>
    </row>
    <row r="1019943" spans="12:13" x14ac:dyDescent="0.25">
      <c r="L1019943" s="472"/>
      <c r="M1019943" s="472"/>
    </row>
    <row r="1019944" spans="12:13" x14ac:dyDescent="0.25">
      <c r="L1019944" s="472"/>
      <c r="M1019944" s="472"/>
    </row>
    <row r="1019945" spans="12:13" x14ac:dyDescent="0.25">
      <c r="L1019945" s="472"/>
      <c r="M1019945" s="472"/>
    </row>
    <row r="1020017" spans="12:13" x14ac:dyDescent="0.25">
      <c r="L1020017" s="472"/>
      <c r="M1020017" s="472"/>
    </row>
    <row r="1020018" spans="12:13" x14ac:dyDescent="0.25">
      <c r="L1020018" s="472"/>
      <c r="M1020018" s="472"/>
    </row>
    <row r="1020019" spans="12:13" x14ac:dyDescent="0.25">
      <c r="L1020019" s="472"/>
      <c r="M1020019" s="472"/>
    </row>
    <row r="1020091" spans="12:13" x14ac:dyDescent="0.25">
      <c r="L1020091" s="472"/>
      <c r="M1020091" s="472"/>
    </row>
    <row r="1020092" spans="12:13" x14ac:dyDescent="0.25">
      <c r="L1020092" s="472"/>
      <c r="M1020092" s="472"/>
    </row>
    <row r="1020093" spans="12:13" x14ac:dyDescent="0.25">
      <c r="L1020093" s="472"/>
      <c r="M1020093" s="472"/>
    </row>
    <row r="1020165" spans="12:13" x14ac:dyDescent="0.25">
      <c r="L1020165" s="472"/>
      <c r="M1020165" s="472"/>
    </row>
    <row r="1020166" spans="12:13" x14ac:dyDescent="0.25">
      <c r="L1020166" s="472"/>
      <c r="M1020166" s="472"/>
    </row>
    <row r="1020167" spans="12:13" x14ac:dyDescent="0.25">
      <c r="L1020167" s="472"/>
      <c r="M1020167" s="472"/>
    </row>
    <row r="1020239" spans="12:13" x14ac:dyDescent="0.25">
      <c r="L1020239" s="472"/>
      <c r="M1020239" s="472"/>
    </row>
    <row r="1020240" spans="12:13" x14ac:dyDescent="0.25">
      <c r="L1020240" s="472"/>
      <c r="M1020240" s="472"/>
    </row>
    <row r="1020241" spans="12:13" x14ac:dyDescent="0.25">
      <c r="L1020241" s="472"/>
      <c r="M1020241" s="472"/>
    </row>
    <row r="1020313" spans="12:13" x14ac:dyDescent="0.25">
      <c r="L1020313" s="472"/>
      <c r="M1020313" s="472"/>
    </row>
    <row r="1020314" spans="12:13" x14ac:dyDescent="0.25">
      <c r="L1020314" s="472"/>
      <c r="M1020314" s="472"/>
    </row>
    <row r="1020315" spans="12:13" x14ac:dyDescent="0.25">
      <c r="L1020315" s="472"/>
      <c r="M1020315" s="472"/>
    </row>
    <row r="1020387" spans="12:13" x14ac:dyDescent="0.25">
      <c r="L1020387" s="472"/>
      <c r="M1020387" s="472"/>
    </row>
    <row r="1020388" spans="12:13" x14ac:dyDescent="0.25">
      <c r="L1020388" s="472"/>
      <c r="M1020388" s="472"/>
    </row>
    <row r="1020389" spans="12:13" x14ac:dyDescent="0.25">
      <c r="L1020389" s="472"/>
      <c r="M1020389" s="472"/>
    </row>
    <row r="1020461" spans="12:13" x14ac:dyDescent="0.25">
      <c r="L1020461" s="472"/>
      <c r="M1020461" s="472"/>
    </row>
    <row r="1020462" spans="12:13" x14ac:dyDescent="0.25">
      <c r="L1020462" s="472"/>
      <c r="M1020462" s="472"/>
    </row>
    <row r="1020463" spans="12:13" x14ac:dyDescent="0.25">
      <c r="L1020463" s="472"/>
      <c r="M1020463" s="472"/>
    </row>
    <row r="1020535" spans="12:13" x14ac:dyDescent="0.25">
      <c r="L1020535" s="472"/>
      <c r="M1020535" s="472"/>
    </row>
    <row r="1020536" spans="12:13" x14ac:dyDescent="0.25">
      <c r="L1020536" s="472"/>
      <c r="M1020536" s="472"/>
    </row>
    <row r="1020537" spans="12:13" x14ac:dyDescent="0.25">
      <c r="L1020537" s="472"/>
      <c r="M1020537" s="472"/>
    </row>
    <row r="1020609" spans="12:13" x14ac:dyDescent="0.25">
      <c r="L1020609" s="472"/>
      <c r="M1020609" s="472"/>
    </row>
    <row r="1020610" spans="12:13" x14ac:dyDescent="0.25">
      <c r="L1020610" s="472"/>
      <c r="M1020610" s="472"/>
    </row>
    <row r="1020611" spans="12:13" x14ac:dyDescent="0.25">
      <c r="L1020611" s="472"/>
      <c r="M1020611" s="472"/>
    </row>
    <row r="1020683" spans="12:13" x14ac:dyDescent="0.25">
      <c r="L1020683" s="472"/>
      <c r="M1020683" s="472"/>
    </row>
    <row r="1020684" spans="12:13" x14ac:dyDescent="0.25">
      <c r="L1020684" s="472"/>
      <c r="M1020684" s="472"/>
    </row>
    <row r="1020685" spans="12:13" x14ac:dyDescent="0.25">
      <c r="L1020685" s="472"/>
      <c r="M1020685" s="472"/>
    </row>
    <row r="1020757" spans="12:13" x14ac:dyDescent="0.25">
      <c r="L1020757" s="472"/>
      <c r="M1020757" s="472"/>
    </row>
    <row r="1020758" spans="12:13" x14ac:dyDescent="0.25">
      <c r="L1020758" s="472"/>
      <c r="M1020758" s="472"/>
    </row>
    <row r="1020759" spans="12:13" x14ac:dyDescent="0.25">
      <c r="L1020759" s="472"/>
      <c r="M1020759" s="472"/>
    </row>
    <row r="1020831" spans="12:13" x14ac:dyDescent="0.25">
      <c r="L1020831" s="472"/>
      <c r="M1020831" s="472"/>
    </row>
    <row r="1020832" spans="12:13" x14ac:dyDescent="0.25">
      <c r="L1020832" s="472"/>
      <c r="M1020832" s="472"/>
    </row>
    <row r="1020833" spans="12:13" x14ac:dyDescent="0.25">
      <c r="L1020833" s="472"/>
      <c r="M1020833" s="472"/>
    </row>
    <row r="1020905" spans="12:13" x14ac:dyDescent="0.25">
      <c r="L1020905" s="472"/>
      <c r="M1020905" s="472"/>
    </row>
    <row r="1020906" spans="12:13" x14ac:dyDescent="0.25">
      <c r="L1020906" s="472"/>
      <c r="M1020906" s="472"/>
    </row>
    <row r="1020907" spans="12:13" x14ac:dyDescent="0.25">
      <c r="L1020907" s="472"/>
      <c r="M1020907" s="472"/>
    </row>
    <row r="1020979" spans="12:13" x14ac:dyDescent="0.25">
      <c r="L1020979" s="472"/>
      <c r="M1020979" s="472"/>
    </row>
    <row r="1020980" spans="12:13" x14ac:dyDescent="0.25">
      <c r="L1020980" s="472"/>
      <c r="M1020980" s="472"/>
    </row>
    <row r="1020981" spans="12:13" x14ac:dyDescent="0.25">
      <c r="L1020981" s="472"/>
      <c r="M1020981" s="472"/>
    </row>
    <row r="1021053" spans="12:13" x14ac:dyDescent="0.25">
      <c r="L1021053" s="472"/>
      <c r="M1021053" s="472"/>
    </row>
    <row r="1021054" spans="12:13" x14ac:dyDescent="0.25">
      <c r="L1021054" s="472"/>
      <c r="M1021054" s="472"/>
    </row>
    <row r="1021055" spans="12:13" x14ac:dyDescent="0.25">
      <c r="L1021055" s="472"/>
      <c r="M1021055" s="472"/>
    </row>
    <row r="1021127" spans="12:13" x14ac:dyDescent="0.25">
      <c r="L1021127" s="472"/>
      <c r="M1021127" s="472"/>
    </row>
    <row r="1021128" spans="12:13" x14ac:dyDescent="0.25">
      <c r="L1021128" s="472"/>
      <c r="M1021128" s="472"/>
    </row>
    <row r="1021129" spans="12:13" x14ac:dyDescent="0.25">
      <c r="L1021129" s="472"/>
      <c r="M1021129" s="472"/>
    </row>
    <row r="1021201" spans="12:13" x14ac:dyDescent="0.25">
      <c r="L1021201" s="472"/>
      <c r="M1021201" s="472"/>
    </row>
    <row r="1021202" spans="12:13" x14ac:dyDescent="0.25">
      <c r="L1021202" s="472"/>
      <c r="M1021202" s="472"/>
    </row>
    <row r="1021203" spans="12:13" x14ac:dyDescent="0.25">
      <c r="L1021203" s="472"/>
      <c r="M1021203" s="472"/>
    </row>
    <row r="1021275" spans="12:13" x14ac:dyDescent="0.25">
      <c r="L1021275" s="472"/>
      <c r="M1021275" s="472"/>
    </row>
    <row r="1021276" spans="12:13" x14ac:dyDescent="0.25">
      <c r="L1021276" s="472"/>
      <c r="M1021276" s="472"/>
    </row>
    <row r="1021277" spans="12:13" x14ac:dyDescent="0.25">
      <c r="L1021277" s="472"/>
      <c r="M1021277" s="472"/>
    </row>
    <row r="1021349" spans="12:13" x14ac:dyDescent="0.25">
      <c r="L1021349" s="472"/>
      <c r="M1021349" s="472"/>
    </row>
    <row r="1021350" spans="12:13" x14ac:dyDescent="0.25">
      <c r="L1021350" s="472"/>
      <c r="M1021350" s="472"/>
    </row>
    <row r="1021351" spans="12:13" x14ac:dyDescent="0.25">
      <c r="L1021351" s="472"/>
      <c r="M1021351" s="472"/>
    </row>
    <row r="1021423" spans="12:13" x14ac:dyDescent="0.25">
      <c r="L1021423" s="472"/>
      <c r="M1021423" s="472"/>
    </row>
    <row r="1021424" spans="12:13" x14ac:dyDescent="0.25">
      <c r="L1021424" s="472"/>
      <c r="M1021424" s="472"/>
    </row>
    <row r="1021425" spans="12:13" x14ac:dyDescent="0.25">
      <c r="L1021425" s="472"/>
      <c r="M1021425" s="472"/>
    </row>
    <row r="1021497" spans="12:13" x14ac:dyDescent="0.25">
      <c r="L1021497" s="472"/>
      <c r="M1021497" s="472"/>
    </row>
    <row r="1021498" spans="12:13" x14ac:dyDescent="0.25">
      <c r="L1021498" s="472"/>
      <c r="M1021498" s="472"/>
    </row>
    <row r="1021499" spans="12:13" x14ac:dyDescent="0.25">
      <c r="L1021499" s="472"/>
      <c r="M1021499" s="472"/>
    </row>
    <row r="1021571" spans="12:13" x14ac:dyDescent="0.25">
      <c r="L1021571" s="472"/>
      <c r="M1021571" s="472"/>
    </row>
    <row r="1021572" spans="12:13" x14ac:dyDescent="0.25">
      <c r="L1021572" s="472"/>
      <c r="M1021572" s="472"/>
    </row>
    <row r="1021573" spans="12:13" x14ac:dyDescent="0.25">
      <c r="L1021573" s="472"/>
      <c r="M1021573" s="472"/>
    </row>
    <row r="1021645" spans="12:13" x14ac:dyDescent="0.25">
      <c r="L1021645" s="472"/>
      <c r="M1021645" s="472"/>
    </row>
    <row r="1021646" spans="12:13" x14ac:dyDescent="0.25">
      <c r="L1021646" s="472"/>
      <c r="M1021646" s="472"/>
    </row>
    <row r="1021647" spans="12:13" x14ac:dyDescent="0.25">
      <c r="L1021647" s="472"/>
      <c r="M1021647" s="472"/>
    </row>
    <row r="1021719" spans="12:13" x14ac:dyDescent="0.25">
      <c r="L1021719" s="472"/>
      <c r="M1021719" s="472"/>
    </row>
    <row r="1021720" spans="12:13" x14ac:dyDescent="0.25">
      <c r="L1021720" s="472"/>
      <c r="M1021720" s="472"/>
    </row>
    <row r="1021721" spans="12:13" x14ac:dyDescent="0.25">
      <c r="L1021721" s="472"/>
      <c r="M1021721" s="472"/>
    </row>
    <row r="1021793" spans="12:13" x14ac:dyDescent="0.25">
      <c r="L1021793" s="472"/>
      <c r="M1021793" s="472"/>
    </row>
    <row r="1021794" spans="12:13" x14ac:dyDescent="0.25">
      <c r="L1021794" s="472"/>
      <c r="M1021794" s="472"/>
    </row>
    <row r="1021795" spans="12:13" x14ac:dyDescent="0.25">
      <c r="L1021795" s="472"/>
      <c r="M1021795" s="472"/>
    </row>
    <row r="1021867" spans="12:13" x14ac:dyDescent="0.25">
      <c r="L1021867" s="472"/>
      <c r="M1021867" s="472"/>
    </row>
    <row r="1021868" spans="12:13" x14ac:dyDescent="0.25">
      <c r="L1021868" s="472"/>
      <c r="M1021868" s="472"/>
    </row>
    <row r="1021869" spans="12:13" x14ac:dyDescent="0.25">
      <c r="L1021869" s="472"/>
      <c r="M1021869" s="472"/>
    </row>
    <row r="1021941" spans="12:13" x14ac:dyDescent="0.25">
      <c r="L1021941" s="472"/>
      <c r="M1021941" s="472"/>
    </row>
    <row r="1021942" spans="12:13" x14ac:dyDescent="0.25">
      <c r="L1021942" s="472"/>
      <c r="M1021942" s="472"/>
    </row>
    <row r="1021943" spans="12:13" x14ac:dyDescent="0.25">
      <c r="L1021943" s="472"/>
      <c r="M1021943" s="472"/>
    </row>
    <row r="1022015" spans="12:13" x14ac:dyDescent="0.25">
      <c r="L1022015" s="472"/>
      <c r="M1022015" s="472"/>
    </row>
    <row r="1022016" spans="12:13" x14ac:dyDescent="0.25">
      <c r="L1022016" s="472"/>
      <c r="M1022016" s="472"/>
    </row>
    <row r="1022017" spans="12:13" x14ac:dyDescent="0.25">
      <c r="L1022017" s="472"/>
      <c r="M1022017" s="472"/>
    </row>
    <row r="1022089" spans="12:13" x14ac:dyDescent="0.25">
      <c r="L1022089" s="472"/>
      <c r="M1022089" s="472"/>
    </row>
    <row r="1022090" spans="12:13" x14ac:dyDescent="0.25">
      <c r="L1022090" s="472"/>
      <c r="M1022090" s="472"/>
    </row>
    <row r="1022091" spans="12:13" x14ac:dyDescent="0.25">
      <c r="L1022091" s="472"/>
      <c r="M1022091" s="472"/>
    </row>
    <row r="1022163" spans="12:13" x14ac:dyDescent="0.25">
      <c r="L1022163" s="472"/>
      <c r="M1022163" s="472"/>
    </row>
    <row r="1022164" spans="12:13" x14ac:dyDescent="0.25">
      <c r="L1022164" s="472"/>
      <c r="M1022164" s="472"/>
    </row>
    <row r="1022165" spans="12:13" x14ac:dyDescent="0.25">
      <c r="L1022165" s="472"/>
      <c r="M1022165" s="472"/>
    </row>
    <row r="1022237" spans="12:13" x14ac:dyDescent="0.25">
      <c r="L1022237" s="472"/>
      <c r="M1022237" s="472"/>
    </row>
    <row r="1022238" spans="12:13" x14ac:dyDescent="0.25">
      <c r="L1022238" s="472"/>
      <c r="M1022238" s="472"/>
    </row>
    <row r="1022239" spans="12:13" x14ac:dyDescent="0.25">
      <c r="L1022239" s="472"/>
      <c r="M1022239" s="472"/>
    </row>
    <row r="1022311" spans="12:13" x14ac:dyDescent="0.25">
      <c r="L1022311" s="472"/>
      <c r="M1022311" s="472"/>
    </row>
    <row r="1022312" spans="12:13" x14ac:dyDescent="0.25">
      <c r="L1022312" s="472"/>
      <c r="M1022312" s="472"/>
    </row>
    <row r="1022313" spans="12:13" x14ac:dyDescent="0.25">
      <c r="L1022313" s="472"/>
      <c r="M1022313" s="472"/>
    </row>
    <row r="1022385" spans="12:13" x14ac:dyDescent="0.25">
      <c r="L1022385" s="472"/>
      <c r="M1022385" s="472"/>
    </row>
    <row r="1022386" spans="12:13" x14ac:dyDescent="0.25">
      <c r="L1022386" s="472"/>
      <c r="M1022386" s="472"/>
    </row>
    <row r="1022387" spans="12:13" x14ac:dyDescent="0.25">
      <c r="L1022387" s="472"/>
      <c r="M1022387" s="472"/>
    </row>
    <row r="1022459" spans="12:13" x14ac:dyDescent="0.25">
      <c r="L1022459" s="472"/>
      <c r="M1022459" s="472"/>
    </row>
    <row r="1022460" spans="12:13" x14ac:dyDescent="0.25">
      <c r="L1022460" s="472"/>
      <c r="M1022460" s="472"/>
    </row>
    <row r="1022461" spans="12:13" x14ac:dyDescent="0.25">
      <c r="L1022461" s="472"/>
      <c r="M1022461" s="472"/>
    </row>
    <row r="1022533" spans="12:13" x14ac:dyDescent="0.25">
      <c r="L1022533" s="472"/>
      <c r="M1022533" s="472"/>
    </row>
    <row r="1022534" spans="12:13" x14ac:dyDescent="0.25">
      <c r="L1022534" s="472"/>
      <c r="M1022534" s="472"/>
    </row>
    <row r="1022535" spans="12:13" x14ac:dyDescent="0.25">
      <c r="L1022535" s="472"/>
      <c r="M1022535" s="472"/>
    </row>
    <row r="1022607" spans="12:13" x14ac:dyDescent="0.25">
      <c r="L1022607" s="472"/>
      <c r="M1022607" s="472"/>
    </row>
    <row r="1022608" spans="12:13" x14ac:dyDescent="0.25">
      <c r="L1022608" s="472"/>
      <c r="M1022608" s="472"/>
    </row>
    <row r="1022609" spans="12:13" x14ac:dyDescent="0.25">
      <c r="L1022609" s="472"/>
      <c r="M1022609" s="472"/>
    </row>
    <row r="1022681" spans="12:13" x14ac:dyDescent="0.25">
      <c r="L1022681" s="472"/>
      <c r="M1022681" s="472"/>
    </row>
    <row r="1022682" spans="12:13" x14ac:dyDescent="0.25">
      <c r="L1022682" s="472"/>
      <c r="M1022682" s="472"/>
    </row>
    <row r="1022683" spans="12:13" x14ac:dyDescent="0.25">
      <c r="L1022683" s="472"/>
      <c r="M1022683" s="472"/>
    </row>
    <row r="1022755" spans="12:13" x14ac:dyDescent="0.25">
      <c r="L1022755" s="472"/>
      <c r="M1022755" s="472"/>
    </row>
    <row r="1022756" spans="12:13" x14ac:dyDescent="0.25">
      <c r="L1022756" s="472"/>
      <c r="M1022756" s="472"/>
    </row>
    <row r="1022757" spans="12:13" x14ac:dyDescent="0.25">
      <c r="L1022757" s="472"/>
      <c r="M1022757" s="472"/>
    </row>
    <row r="1022829" spans="12:13" x14ac:dyDescent="0.25">
      <c r="L1022829" s="472"/>
      <c r="M1022829" s="472"/>
    </row>
    <row r="1022830" spans="12:13" x14ac:dyDescent="0.25">
      <c r="L1022830" s="472"/>
      <c r="M1022830" s="472"/>
    </row>
    <row r="1022831" spans="12:13" x14ac:dyDescent="0.25">
      <c r="L1022831" s="472"/>
      <c r="M1022831" s="472"/>
    </row>
    <row r="1022903" spans="12:13" x14ac:dyDescent="0.25">
      <c r="L1022903" s="472"/>
      <c r="M1022903" s="472"/>
    </row>
    <row r="1022904" spans="12:13" x14ac:dyDescent="0.25">
      <c r="L1022904" s="472"/>
      <c r="M1022904" s="472"/>
    </row>
    <row r="1022905" spans="12:13" x14ac:dyDescent="0.25">
      <c r="L1022905" s="472"/>
      <c r="M1022905" s="472"/>
    </row>
    <row r="1022977" spans="12:13" x14ac:dyDescent="0.25">
      <c r="L1022977" s="472"/>
      <c r="M1022977" s="472"/>
    </row>
    <row r="1022978" spans="12:13" x14ac:dyDescent="0.25">
      <c r="L1022978" s="472"/>
      <c r="M1022978" s="472"/>
    </row>
    <row r="1022979" spans="12:13" x14ac:dyDescent="0.25">
      <c r="L1022979" s="472"/>
      <c r="M1022979" s="472"/>
    </row>
    <row r="1023051" spans="12:13" x14ac:dyDescent="0.25">
      <c r="L1023051" s="472"/>
      <c r="M1023051" s="472"/>
    </row>
    <row r="1023052" spans="12:13" x14ac:dyDescent="0.25">
      <c r="L1023052" s="472"/>
      <c r="M1023052" s="472"/>
    </row>
    <row r="1023053" spans="12:13" x14ac:dyDescent="0.25">
      <c r="L1023053" s="472"/>
      <c r="M1023053" s="472"/>
    </row>
    <row r="1023125" spans="12:13" x14ac:dyDescent="0.25">
      <c r="L1023125" s="472"/>
      <c r="M1023125" s="472"/>
    </row>
    <row r="1023126" spans="12:13" x14ac:dyDescent="0.25">
      <c r="L1023126" s="472"/>
      <c r="M1023126" s="472"/>
    </row>
    <row r="1023127" spans="12:13" x14ac:dyDescent="0.25">
      <c r="L1023127" s="472"/>
      <c r="M1023127" s="472"/>
    </row>
    <row r="1023199" spans="12:13" x14ac:dyDescent="0.25">
      <c r="L1023199" s="472"/>
      <c r="M1023199" s="472"/>
    </row>
    <row r="1023200" spans="12:13" x14ac:dyDescent="0.25">
      <c r="L1023200" s="472"/>
      <c r="M1023200" s="472"/>
    </row>
    <row r="1023201" spans="12:13" x14ac:dyDescent="0.25">
      <c r="L1023201" s="472"/>
      <c r="M1023201" s="472"/>
    </row>
    <row r="1023273" spans="12:13" x14ac:dyDescent="0.25">
      <c r="L1023273" s="472"/>
      <c r="M1023273" s="472"/>
    </row>
    <row r="1023274" spans="12:13" x14ac:dyDescent="0.25">
      <c r="L1023274" s="472"/>
      <c r="M1023274" s="472"/>
    </row>
    <row r="1023275" spans="12:13" x14ac:dyDescent="0.25">
      <c r="L1023275" s="472"/>
      <c r="M1023275" s="472"/>
    </row>
    <row r="1023347" spans="12:13" x14ac:dyDescent="0.25">
      <c r="L1023347" s="472"/>
      <c r="M1023347" s="472"/>
    </row>
    <row r="1023348" spans="12:13" x14ac:dyDescent="0.25">
      <c r="L1023348" s="472"/>
      <c r="M1023348" s="472"/>
    </row>
    <row r="1023349" spans="12:13" x14ac:dyDescent="0.25">
      <c r="L1023349" s="472"/>
      <c r="M1023349" s="472"/>
    </row>
    <row r="1023421" spans="12:13" x14ac:dyDescent="0.25">
      <c r="L1023421" s="472"/>
      <c r="M1023421" s="472"/>
    </row>
    <row r="1023422" spans="12:13" x14ac:dyDescent="0.25">
      <c r="L1023422" s="472"/>
      <c r="M1023422" s="472"/>
    </row>
    <row r="1023423" spans="12:13" x14ac:dyDescent="0.25">
      <c r="L1023423" s="472"/>
      <c r="M1023423" s="472"/>
    </row>
    <row r="1023495" spans="12:13" x14ac:dyDescent="0.25">
      <c r="L1023495" s="472"/>
      <c r="M1023495" s="472"/>
    </row>
    <row r="1023496" spans="12:13" x14ac:dyDescent="0.25">
      <c r="L1023496" s="472"/>
      <c r="M1023496" s="472"/>
    </row>
    <row r="1023497" spans="12:13" x14ac:dyDescent="0.25">
      <c r="L1023497" s="472"/>
      <c r="M1023497" s="472"/>
    </row>
    <row r="1023569" spans="12:13" x14ac:dyDescent="0.25">
      <c r="L1023569" s="472"/>
      <c r="M1023569" s="472"/>
    </row>
    <row r="1023570" spans="12:13" x14ac:dyDescent="0.25">
      <c r="L1023570" s="472"/>
      <c r="M1023570" s="472"/>
    </row>
    <row r="1023571" spans="12:13" x14ac:dyDescent="0.25">
      <c r="L1023571" s="472"/>
      <c r="M1023571" s="472"/>
    </row>
    <row r="1023643" spans="12:13" x14ac:dyDescent="0.25">
      <c r="L1023643" s="472"/>
      <c r="M1023643" s="472"/>
    </row>
    <row r="1023644" spans="12:13" x14ac:dyDescent="0.25">
      <c r="L1023644" s="472"/>
      <c r="M1023644" s="472"/>
    </row>
    <row r="1023645" spans="12:13" x14ac:dyDescent="0.25">
      <c r="L1023645" s="472"/>
      <c r="M1023645" s="472"/>
    </row>
    <row r="1023717" spans="12:13" x14ac:dyDescent="0.25">
      <c r="L1023717" s="472"/>
      <c r="M1023717" s="472"/>
    </row>
    <row r="1023718" spans="12:13" x14ac:dyDescent="0.25">
      <c r="L1023718" s="472"/>
      <c r="M1023718" s="472"/>
    </row>
    <row r="1023719" spans="12:13" x14ac:dyDescent="0.25">
      <c r="L1023719" s="472"/>
      <c r="M1023719" s="472"/>
    </row>
    <row r="1023791" spans="12:13" x14ac:dyDescent="0.25">
      <c r="L1023791" s="472"/>
      <c r="M1023791" s="472"/>
    </row>
    <row r="1023792" spans="12:13" x14ac:dyDescent="0.25">
      <c r="L1023792" s="472"/>
      <c r="M1023792" s="472"/>
    </row>
    <row r="1023793" spans="12:13" x14ac:dyDescent="0.25">
      <c r="L1023793" s="472"/>
      <c r="M1023793" s="472"/>
    </row>
    <row r="1023865" spans="12:13" x14ac:dyDescent="0.25">
      <c r="L1023865" s="472"/>
      <c r="M1023865" s="472"/>
    </row>
    <row r="1023866" spans="12:13" x14ac:dyDescent="0.25">
      <c r="L1023866" s="472"/>
      <c r="M1023866" s="472"/>
    </row>
    <row r="1023867" spans="12:13" x14ac:dyDescent="0.25">
      <c r="L1023867" s="472"/>
      <c r="M1023867" s="472"/>
    </row>
    <row r="1023939" spans="12:13" x14ac:dyDescent="0.25">
      <c r="L1023939" s="472"/>
      <c r="M1023939" s="472"/>
    </row>
    <row r="1023940" spans="12:13" x14ac:dyDescent="0.25">
      <c r="L1023940" s="472"/>
      <c r="M1023940" s="472"/>
    </row>
    <row r="1023941" spans="12:13" x14ac:dyDescent="0.25">
      <c r="L1023941" s="472"/>
      <c r="M1023941" s="472"/>
    </row>
    <row r="1024013" spans="12:13" x14ac:dyDescent="0.25">
      <c r="L1024013" s="472"/>
      <c r="M1024013" s="472"/>
    </row>
    <row r="1024014" spans="12:13" x14ac:dyDescent="0.25">
      <c r="L1024014" s="472"/>
      <c r="M1024014" s="472"/>
    </row>
    <row r="1024015" spans="12:13" x14ac:dyDescent="0.25">
      <c r="L1024015" s="472"/>
      <c r="M1024015" s="472"/>
    </row>
    <row r="1024087" spans="12:13" x14ac:dyDescent="0.25">
      <c r="L1024087" s="472"/>
      <c r="M1024087" s="472"/>
    </row>
    <row r="1024088" spans="12:13" x14ac:dyDescent="0.25">
      <c r="L1024088" s="472"/>
      <c r="M1024088" s="472"/>
    </row>
    <row r="1024089" spans="12:13" x14ac:dyDescent="0.25">
      <c r="L1024089" s="472"/>
      <c r="M1024089" s="472"/>
    </row>
    <row r="1024161" spans="12:13" x14ac:dyDescent="0.25">
      <c r="L1024161" s="472"/>
      <c r="M1024161" s="472"/>
    </row>
    <row r="1024162" spans="12:13" x14ac:dyDescent="0.25">
      <c r="L1024162" s="472"/>
      <c r="M1024162" s="472"/>
    </row>
    <row r="1024163" spans="12:13" x14ac:dyDescent="0.25">
      <c r="L1024163" s="472"/>
      <c r="M1024163" s="472"/>
    </row>
    <row r="1024235" spans="12:13" x14ac:dyDescent="0.25">
      <c r="L1024235" s="472"/>
      <c r="M1024235" s="472"/>
    </row>
    <row r="1024236" spans="12:13" x14ac:dyDescent="0.25">
      <c r="L1024236" s="472"/>
      <c r="M1024236" s="472"/>
    </row>
    <row r="1024237" spans="12:13" x14ac:dyDescent="0.25">
      <c r="L1024237" s="472"/>
      <c r="M1024237" s="472"/>
    </row>
    <row r="1024309" spans="12:13" x14ac:dyDescent="0.25">
      <c r="L1024309" s="472"/>
      <c r="M1024309" s="472"/>
    </row>
    <row r="1024310" spans="12:13" x14ac:dyDescent="0.25">
      <c r="L1024310" s="472"/>
      <c r="M1024310" s="472"/>
    </row>
    <row r="1024311" spans="12:13" x14ac:dyDescent="0.25">
      <c r="L1024311" s="472"/>
      <c r="M1024311" s="472"/>
    </row>
    <row r="1024383" spans="12:13" x14ac:dyDescent="0.25">
      <c r="L1024383" s="472"/>
      <c r="M1024383" s="472"/>
    </row>
    <row r="1024384" spans="12:13" x14ac:dyDescent="0.25">
      <c r="L1024384" s="472"/>
      <c r="M1024384" s="472"/>
    </row>
    <row r="1024385" spans="12:13" x14ac:dyDescent="0.25">
      <c r="L1024385" s="472"/>
      <c r="M1024385" s="472"/>
    </row>
    <row r="1024457" spans="12:13" x14ac:dyDescent="0.25">
      <c r="L1024457" s="472"/>
      <c r="M1024457" s="472"/>
    </row>
    <row r="1024458" spans="12:13" x14ac:dyDescent="0.25">
      <c r="L1024458" s="472"/>
      <c r="M1024458" s="472"/>
    </row>
    <row r="1024459" spans="12:13" x14ac:dyDescent="0.25">
      <c r="L1024459" s="472"/>
      <c r="M1024459" s="472"/>
    </row>
    <row r="1024531" spans="12:13" x14ac:dyDescent="0.25">
      <c r="L1024531" s="472"/>
      <c r="M1024531" s="472"/>
    </row>
    <row r="1024532" spans="12:13" x14ac:dyDescent="0.25">
      <c r="L1024532" s="472"/>
      <c r="M1024532" s="472"/>
    </row>
    <row r="1024533" spans="12:13" x14ac:dyDescent="0.25">
      <c r="L1024533" s="472"/>
      <c r="M1024533" s="472"/>
    </row>
    <row r="1024605" spans="12:13" x14ac:dyDescent="0.25">
      <c r="L1024605" s="472"/>
      <c r="M1024605" s="472"/>
    </row>
    <row r="1024606" spans="12:13" x14ac:dyDescent="0.25">
      <c r="L1024606" s="472"/>
      <c r="M1024606" s="472"/>
    </row>
    <row r="1024607" spans="12:13" x14ac:dyDescent="0.25">
      <c r="L1024607" s="472"/>
      <c r="M1024607" s="472"/>
    </row>
    <row r="1024679" spans="12:13" x14ac:dyDescent="0.25">
      <c r="L1024679" s="472"/>
      <c r="M1024679" s="472"/>
    </row>
    <row r="1024680" spans="12:13" x14ac:dyDescent="0.25">
      <c r="L1024680" s="472"/>
      <c r="M1024680" s="472"/>
    </row>
    <row r="1024681" spans="12:13" x14ac:dyDescent="0.25">
      <c r="L1024681" s="472"/>
      <c r="M1024681" s="472"/>
    </row>
    <row r="1024753" spans="12:13" x14ac:dyDescent="0.25">
      <c r="L1024753" s="472"/>
      <c r="M1024753" s="472"/>
    </row>
    <row r="1024754" spans="12:13" x14ac:dyDescent="0.25">
      <c r="L1024754" s="472"/>
      <c r="M1024754" s="472"/>
    </row>
    <row r="1024755" spans="12:13" x14ac:dyDescent="0.25">
      <c r="L1024755" s="472"/>
      <c r="M1024755" s="472"/>
    </row>
    <row r="1024827" spans="12:13" x14ac:dyDescent="0.25">
      <c r="L1024827" s="472"/>
      <c r="M1024827" s="472"/>
    </row>
    <row r="1024828" spans="12:13" x14ac:dyDescent="0.25">
      <c r="L1024828" s="472"/>
      <c r="M1024828" s="472"/>
    </row>
    <row r="1024829" spans="12:13" x14ac:dyDescent="0.25">
      <c r="L1024829" s="472"/>
      <c r="M1024829" s="472"/>
    </row>
    <row r="1024901" spans="12:13" x14ac:dyDescent="0.25">
      <c r="L1024901" s="472"/>
      <c r="M1024901" s="472"/>
    </row>
    <row r="1024902" spans="12:13" x14ac:dyDescent="0.25">
      <c r="L1024902" s="472"/>
      <c r="M1024902" s="472"/>
    </row>
    <row r="1024903" spans="12:13" x14ac:dyDescent="0.25">
      <c r="L1024903" s="472"/>
      <c r="M1024903" s="472"/>
    </row>
    <row r="1024975" spans="12:13" x14ac:dyDescent="0.25">
      <c r="L1024975" s="472"/>
      <c r="M1024975" s="472"/>
    </row>
    <row r="1024976" spans="12:13" x14ac:dyDescent="0.25">
      <c r="L1024976" s="472"/>
      <c r="M1024976" s="472"/>
    </row>
    <row r="1024977" spans="12:13" x14ac:dyDescent="0.25">
      <c r="L1024977" s="472"/>
      <c r="M1024977" s="472"/>
    </row>
    <row r="1025049" spans="12:13" x14ac:dyDescent="0.25">
      <c r="L1025049" s="472"/>
      <c r="M1025049" s="472"/>
    </row>
    <row r="1025050" spans="12:13" x14ac:dyDescent="0.25">
      <c r="L1025050" s="472"/>
      <c r="M1025050" s="472"/>
    </row>
    <row r="1025051" spans="12:13" x14ac:dyDescent="0.25">
      <c r="L1025051" s="472"/>
      <c r="M1025051" s="472"/>
    </row>
    <row r="1025123" spans="12:13" x14ac:dyDescent="0.25">
      <c r="L1025123" s="472"/>
      <c r="M1025123" s="472"/>
    </row>
    <row r="1025124" spans="12:13" x14ac:dyDescent="0.25">
      <c r="L1025124" s="472"/>
      <c r="M1025124" s="472"/>
    </row>
    <row r="1025125" spans="12:13" x14ac:dyDescent="0.25">
      <c r="L1025125" s="472"/>
      <c r="M1025125" s="472"/>
    </row>
    <row r="1025197" spans="12:13" x14ac:dyDescent="0.25">
      <c r="L1025197" s="472"/>
      <c r="M1025197" s="472"/>
    </row>
    <row r="1025198" spans="12:13" x14ac:dyDescent="0.25">
      <c r="L1025198" s="472"/>
      <c r="M1025198" s="472"/>
    </row>
    <row r="1025199" spans="12:13" x14ac:dyDescent="0.25">
      <c r="L1025199" s="472"/>
      <c r="M1025199" s="472"/>
    </row>
    <row r="1025271" spans="12:13" x14ac:dyDescent="0.25">
      <c r="L1025271" s="472"/>
      <c r="M1025271" s="472"/>
    </row>
    <row r="1025272" spans="12:13" x14ac:dyDescent="0.25">
      <c r="L1025272" s="472"/>
      <c r="M1025272" s="472"/>
    </row>
    <row r="1025273" spans="12:13" x14ac:dyDescent="0.25">
      <c r="L1025273" s="472"/>
      <c r="M1025273" s="472"/>
    </row>
    <row r="1025345" spans="12:13" x14ac:dyDescent="0.25">
      <c r="L1025345" s="472"/>
      <c r="M1025345" s="472"/>
    </row>
    <row r="1025346" spans="12:13" x14ac:dyDescent="0.25">
      <c r="L1025346" s="472"/>
      <c r="M1025346" s="472"/>
    </row>
    <row r="1025347" spans="12:13" x14ac:dyDescent="0.25">
      <c r="L1025347" s="472"/>
      <c r="M1025347" s="472"/>
    </row>
    <row r="1025419" spans="12:13" x14ac:dyDescent="0.25">
      <c r="L1025419" s="472"/>
      <c r="M1025419" s="472"/>
    </row>
    <row r="1025420" spans="12:13" x14ac:dyDescent="0.25">
      <c r="L1025420" s="472"/>
      <c r="M1025420" s="472"/>
    </row>
    <row r="1025421" spans="12:13" x14ac:dyDescent="0.25">
      <c r="L1025421" s="472"/>
      <c r="M1025421" s="472"/>
    </row>
    <row r="1025493" spans="12:13" x14ac:dyDescent="0.25">
      <c r="L1025493" s="472"/>
      <c r="M1025493" s="472"/>
    </row>
    <row r="1025494" spans="12:13" x14ac:dyDescent="0.25">
      <c r="L1025494" s="472"/>
      <c r="M1025494" s="472"/>
    </row>
    <row r="1025495" spans="12:13" x14ac:dyDescent="0.25">
      <c r="L1025495" s="472"/>
      <c r="M1025495" s="472"/>
    </row>
    <row r="1025567" spans="12:13" x14ac:dyDescent="0.25">
      <c r="L1025567" s="472"/>
      <c r="M1025567" s="472"/>
    </row>
    <row r="1025568" spans="12:13" x14ac:dyDescent="0.25">
      <c r="L1025568" s="472"/>
      <c r="M1025568" s="472"/>
    </row>
    <row r="1025569" spans="12:13" x14ac:dyDescent="0.25">
      <c r="L1025569" s="472"/>
      <c r="M1025569" s="472"/>
    </row>
    <row r="1025641" spans="12:13" x14ac:dyDescent="0.25">
      <c r="L1025641" s="472"/>
      <c r="M1025641" s="472"/>
    </row>
    <row r="1025642" spans="12:13" x14ac:dyDescent="0.25">
      <c r="L1025642" s="472"/>
      <c r="M1025642" s="472"/>
    </row>
    <row r="1025643" spans="12:13" x14ac:dyDescent="0.25">
      <c r="L1025643" s="472"/>
      <c r="M1025643" s="472"/>
    </row>
    <row r="1025715" spans="12:13" x14ac:dyDescent="0.25">
      <c r="L1025715" s="472"/>
      <c r="M1025715" s="472"/>
    </row>
    <row r="1025716" spans="12:13" x14ac:dyDescent="0.25">
      <c r="L1025716" s="472"/>
      <c r="M1025716" s="472"/>
    </row>
    <row r="1025717" spans="12:13" x14ac:dyDescent="0.25">
      <c r="L1025717" s="472"/>
      <c r="M1025717" s="472"/>
    </row>
    <row r="1025789" spans="12:13" x14ac:dyDescent="0.25">
      <c r="L1025789" s="472"/>
      <c r="M1025789" s="472"/>
    </row>
    <row r="1025790" spans="12:13" x14ac:dyDescent="0.25">
      <c r="L1025790" s="472"/>
      <c r="M1025790" s="472"/>
    </row>
    <row r="1025791" spans="12:13" x14ac:dyDescent="0.25">
      <c r="L1025791" s="472"/>
      <c r="M1025791" s="472"/>
    </row>
    <row r="1025863" spans="12:13" x14ac:dyDescent="0.25">
      <c r="L1025863" s="472"/>
      <c r="M1025863" s="472"/>
    </row>
    <row r="1025864" spans="12:13" x14ac:dyDescent="0.25">
      <c r="L1025864" s="472"/>
      <c r="M1025864" s="472"/>
    </row>
    <row r="1025865" spans="12:13" x14ac:dyDescent="0.25">
      <c r="L1025865" s="472"/>
      <c r="M1025865" s="472"/>
    </row>
    <row r="1025937" spans="12:13" x14ac:dyDescent="0.25">
      <c r="L1025937" s="472"/>
      <c r="M1025937" s="472"/>
    </row>
    <row r="1025938" spans="12:13" x14ac:dyDescent="0.25">
      <c r="L1025938" s="472"/>
      <c r="M1025938" s="472"/>
    </row>
    <row r="1025939" spans="12:13" x14ac:dyDescent="0.25">
      <c r="L1025939" s="472"/>
      <c r="M1025939" s="472"/>
    </row>
    <row r="1026011" spans="12:13" x14ac:dyDescent="0.25">
      <c r="L1026011" s="472"/>
      <c r="M1026011" s="472"/>
    </row>
    <row r="1026012" spans="12:13" x14ac:dyDescent="0.25">
      <c r="L1026012" s="472"/>
      <c r="M1026012" s="472"/>
    </row>
    <row r="1026013" spans="12:13" x14ac:dyDescent="0.25">
      <c r="L1026013" s="472"/>
      <c r="M1026013" s="472"/>
    </row>
    <row r="1026085" spans="12:13" x14ac:dyDescent="0.25">
      <c r="L1026085" s="472"/>
      <c r="M1026085" s="472"/>
    </row>
    <row r="1026086" spans="12:13" x14ac:dyDescent="0.25">
      <c r="L1026086" s="472"/>
      <c r="M1026086" s="472"/>
    </row>
    <row r="1026087" spans="12:13" x14ac:dyDescent="0.25">
      <c r="L1026087" s="472"/>
      <c r="M1026087" s="472"/>
    </row>
    <row r="1026159" spans="12:13" x14ac:dyDescent="0.25">
      <c r="L1026159" s="472"/>
      <c r="M1026159" s="472"/>
    </row>
    <row r="1026160" spans="12:13" x14ac:dyDescent="0.25">
      <c r="L1026160" s="472"/>
      <c r="M1026160" s="472"/>
    </row>
    <row r="1026161" spans="12:13" x14ac:dyDescent="0.25">
      <c r="L1026161" s="472"/>
      <c r="M1026161" s="472"/>
    </row>
    <row r="1026233" spans="12:13" x14ac:dyDescent="0.25">
      <c r="L1026233" s="472"/>
      <c r="M1026233" s="472"/>
    </row>
    <row r="1026234" spans="12:13" x14ac:dyDescent="0.25">
      <c r="L1026234" s="472"/>
      <c r="M1026234" s="472"/>
    </row>
    <row r="1026235" spans="12:13" x14ac:dyDescent="0.25">
      <c r="L1026235" s="472"/>
      <c r="M1026235" s="472"/>
    </row>
    <row r="1026307" spans="12:13" x14ac:dyDescent="0.25">
      <c r="L1026307" s="472"/>
      <c r="M1026307" s="472"/>
    </row>
    <row r="1026308" spans="12:13" x14ac:dyDescent="0.25">
      <c r="L1026308" s="472"/>
      <c r="M1026308" s="472"/>
    </row>
    <row r="1026309" spans="12:13" x14ac:dyDescent="0.25">
      <c r="L1026309" s="472"/>
      <c r="M1026309" s="472"/>
    </row>
    <row r="1026381" spans="12:13" x14ac:dyDescent="0.25">
      <c r="L1026381" s="472"/>
      <c r="M1026381" s="472"/>
    </row>
    <row r="1026382" spans="12:13" x14ac:dyDescent="0.25">
      <c r="L1026382" s="472"/>
      <c r="M1026382" s="472"/>
    </row>
    <row r="1026383" spans="12:13" x14ac:dyDescent="0.25">
      <c r="L1026383" s="472"/>
      <c r="M1026383" s="472"/>
    </row>
    <row r="1026455" spans="12:13" x14ac:dyDescent="0.25">
      <c r="L1026455" s="472"/>
      <c r="M1026455" s="472"/>
    </row>
    <row r="1026456" spans="12:13" x14ac:dyDescent="0.25">
      <c r="L1026456" s="472"/>
      <c r="M1026456" s="472"/>
    </row>
    <row r="1026457" spans="12:13" x14ac:dyDescent="0.25">
      <c r="L1026457" s="472"/>
      <c r="M1026457" s="472"/>
    </row>
    <row r="1026529" spans="12:13" x14ac:dyDescent="0.25">
      <c r="L1026529" s="472"/>
      <c r="M1026529" s="472"/>
    </row>
    <row r="1026530" spans="12:13" x14ac:dyDescent="0.25">
      <c r="L1026530" s="472"/>
      <c r="M1026530" s="472"/>
    </row>
    <row r="1026531" spans="12:13" x14ac:dyDescent="0.25">
      <c r="L1026531" s="472"/>
      <c r="M1026531" s="472"/>
    </row>
    <row r="1026603" spans="12:13" x14ac:dyDescent="0.25">
      <c r="L1026603" s="472"/>
      <c r="M1026603" s="472"/>
    </row>
    <row r="1026604" spans="12:13" x14ac:dyDescent="0.25">
      <c r="L1026604" s="472"/>
      <c r="M1026604" s="472"/>
    </row>
    <row r="1026605" spans="12:13" x14ac:dyDescent="0.25">
      <c r="L1026605" s="472"/>
      <c r="M1026605" s="472"/>
    </row>
    <row r="1026677" spans="12:13" x14ac:dyDescent="0.25">
      <c r="L1026677" s="472"/>
      <c r="M1026677" s="472"/>
    </row>
    <row r="1026678" spans="12:13" x14ac:dyDescent="0.25">
      <c r="L1026678" s="472"/>
      <c r="M1026678" s="472"/>
    </row>
    <row r="1026679" spans="12:13" x14ac:dyDescent="0.25">
      <c r="L1026679" s="472"/>
      <c r="M1026679" s="472"/>
    </row>
    <row r="1026751" spans="12:13" x14ac:dyDescent="0.25">
      <c r="L1026751" s="472"/>
      <c r="M1026751" s="472"/>
    </row>
    <row r="1026752" spans="12:13" x14ac:dyDescent="0.25">
      <c r="L1026752" s="472"/>
      <c r="M1026752" s="472"/>
    </row>
    <row r="1026753" spans="12:13" x14ac:dyDescent="0.25">
      <c r="L1026753" s="472"/>
      <c r="M1026753" s="472"/>
    </row>
    <row r="1026825" spans="12:13" x14ac:dyDescent="0.25">
      <c r="L1026825" s="472"/>
      <c r="M1026825" s="472"/>
    </row>
    <row r="1026826" spans="12:13" x14ac:dyDescent="0.25">
      <c r="L1026826" s="472"/>
      <c r="M1026826" s="472"/>
    </row>
    <row r="1026827" spans="12:13" x14ac:dyDescent="0.25">
      <c r="L1026827" s="472"/>
      <c r="M1026827" s="472"/>
    </row>
    <row r="1026899" spans="12:13" x14ac:dyDescent="0.25">
      <c r="L1026899" s="472"/>
      <c r="M1026899" s="472"/>
    </row>
    <row r="1026900" spans="12:13" x14ac:dyDescent="0.25">
      <c r="L1026900" s="472"/>
      <c r="M1026900" s="472"/>
    </row>
    <row r="1026901" spans="12:13" x14ac:dyDescent="0.25">
      <c r="L1026901" s="472"/>
      <c r="M1026901" s="472"/>
    </row>
    <row r="1026973" spans="12:13" x14ac:dyDescent="0.25">
      <c r="L1026973" s="472"/>
      <c r="M1026973" s="472"/>
    </row>
    <row r="1026974" spans="12:13" x14ac:dyDescent="0.25">
      <c r="L1026974" s="472"/>
      <c r="M1026974" s="472"/>
    </row>
    <row r="1026975" spans="12:13" x14ac:dyDescent="0.25">
      <c r="L1026975" s="472"/>
      <c r="M1026975" s="472"/>
    </row>
    <row r="1027047" spans="12:13" x14ac:dyDescent="0.25">
      <c r="L1027047" s="472"/>
      <c r="M1027047" s="472"/>
    </row>
    <row r="1027048" spans="12:13" x14ac:dyDescent="0.25">
      <c r="L1027048" s="472"/>
      <c r="M1027048" s="472"/>
    </row>
    <row r="1027049" spans="12:13" x14ac:dyDescent="0.25">
      <c r="L1027049" s="472"/>
      <c r="M1027049" s="472"/>
    </row>
    <row r="1027121" spans="12:13" x14ac:dyDescent="0.25">
      <c r="L1027121" s="472"/>
      <c r="M1027121" s="472"/>
    </row>
    <row r="1027122" spans="12:13" x14ac:dyDescent="0.25">
      <c r="L1027122" s="472"/>
      <c r="M1027122" s="472"/>
    </row>
    <row r="1027123" spans="12:13" x14ac:dyDescent="0.25">
      <c r="L1027123" s="472"/>
      <c r="M1027123" s="472"/>
    </row>
    <row r="1027195" spans="12:13" x14ac:dyDescent="0.25">
      <c r="L1027195" s="472"/>
      <c r="M1027195" s="472"/>
    </row>
    <row r="1027196" spans="12:13" x14ac:dyDescent="0.25">
      <c r="L1027196" s="472"/>
      <c r="M1027196" s="472"/>
    </row>
    <row r="1027197" spans="12:13" x14ac:dyDescent="0.25">
      <c r="L1027197" s="472"/>
      <c r="M1027197" s="472"/>
    </row>
    <row r="1027269" spans="12:13" x14ac:dyDescent="0.25">
      <c r="L1027269" s="472"/>
      <c r="M1027269" s="472"/>
    </row>
    <row r="1027270" spans="12:13" x14ac:dyDescent="0.25">
      <c r="L1027270" s="472"/>
      <c r="M1027270" s="472"/>
    </row>
    <row r="1027271" spans="12:13" x14ac:dyDescent="0.25">
      <c r="L1027271" s="472"/>
      <c r="M1027271" s="472"/>
    </row>
    <row r="1027343" spans="12:13" x14ac:dyDescent="0.25">
      <c r="L1027343" s="472"/>
      <c r="M1027343" s="472"/>
    </row>
    <row r="1027344" spans="12:13" x14ac:dyDescent="0.25">
      <c r="L1027344" s="472"/>
      <c r="M1027344" s="472"/>
    </row>
    <row r="1027345" spans="12:13" x14ac:dyDescent="0.25">
      <c r="L1027345" s="472"/>
      <c r="M1027345" s="472"/>
    </row>
    <row r="1027417" spans="12:13" x14ac:dyDescent="0.25">
      <c r="L1027417" s="472"/>
      <c r="M1027417" s="472"/>
    </row>
    <row r="1027418" spans="12:13" x14ac:dyDescent="0.25">
      <c r="L1027418" s="472"/>
      <c r="M1027418" s="472"/>
    </row>
    <row r="1027419" spans="12:13" x14ac:dyDescent="0.25">
      <c r="L1027419" s="472"/>
      <c r="M1027419" s="472"/>
    </row>
    <row r="1027491" spans="12:13" x14ac:dyDescent="0.25">
      <c r="L1027491" s="472"/>
      <c r="M1027491" s="472"/>
    </row>
    <row r="1027492" spans="12:13" x14ac:dyDescent="0.25">
      <c r="L1027492" s="472"/>
      <c r="M1027492" s="472"/>
    </row>
    <row r="1027493" spans="12:13" x14ac:dyDescent="0.25">
      <c r="L1027493" s="472"/>
      <c r="M1027493" s="472"/>
    </row>
    <row r="1027565" spans="12:13" x14ac:dyDescent="0.25">
      <c r="L1027565" s="472"/>
      <c r="M1027565" s="472"/>
    </row>
    <row r="1027566" spans="12:13" x14ac:dyDescent="0.25">
      <c r="L1027566" s="472"/>
      <c r="M1027566" s="472"/>
    </row>
    <row r="1027567" spans="12:13" x14ac:dyDescent="0.25">
      <c r="L1027567" s="472"/>
      <c r="M1027567" s="472"/>
    </row>
    <row r="1027639" spans="12:13" x14ac:dyDescent="0.25">
      <c r="L1027639" s="472"/>
      <c r="M1027639" s="472"/>
    </row>
    <row r="1027640" spans="12:13" x14ac:dyDescent="0.25">
      <c r="L1027640" s="472"/>
      <c r="M1027640" s="472"/>
    </row>
    <row r="1027641" spans="12:13" x14ac:dyDescent="0.25">
      <c r="L1027641" s="472"/>
      <c r="M1027641" s="472"/>
    </row>
    <row r="1027713" spans="12:13" x14ac:dyDescent="0.25">
      <c r="L1027713" s="472"/>
      <c r="M1027713" s="472"/>
    </row>
    <row r="1027714" spans="12:13" x14ac:dyDescent="0.25">
      <c r="L1027714" s="472"/>
      <c r="M1027714" s="472"/>
    </row>
    <row r="1027715" spans="12:13" x14ac:dyDescent="0.25">
      <c r="L1027715" s="472"/>
      <c r="M1027715" s="472"/>
    </row>
    <row r="1027787" spans="12:13" x14ac:dyDescent="0.25">
      <c r="L1027787" s="472"/>
      <c r="M1027787" s="472"/>
    </row>
    <row r="1027788" spans="12:13" x14ac:dyDescent="0.25">
      <c r="L1027788" s="472"/>
      <c r="M1027788" s="472"/>
    </row>
    <row r="1027789" spans="12:13" x14ac:dyDescent="0.25">
      <c r="L1027789" s="472"/>
      <c r="M1027789" s="472"/>
    </row>
    <row r="1027861" spans="12:13" x14ac:dyDescent="0.25">
      <c r="L1027861" s="472"/>
      <c r="M1027861" s="472"/>
    </row>
    <row r="1027862" spans="12:13" x14ac:dyDescent="0.25">
      <c r="L1027862" s="472"/>
      <c r="M1027862" s="472"/>
    </row>
    <row r="1027863" spans="12:13" x14ac:dyDescent="0.25">
      <c r="L1027863" s="472"/>
      <c r="M1027863" s="472"/>
    </row>
    <row r="1027935" spans="12:13" x14ac:dyDescent="0.25">
      <c r="L1027935" s="472"/>
      <c r="M1027935" s="472"/>
    </row>
    <row r="1027936" spans="12:13" x14ac:dyDescent="0.25">
      <c r="L1027936" s="472"/>
      <c r="M1027936" s="472"/>
    </row>
    <row r="1027937" spans="12:13" x14ac:dyDescent="0.25">
      <c r="L1027937" s="472"/>
      <c r="M1027937" s="472"/>
    </row>
    <row r="1028009" spans="12:13" x14ac:dyDescent="0.25">
      <c r="L1028009" s="472"/>
      <c r="M1028009" s="472"/>
    </row>
    <row r="1028010" spans="12:13" x14ac:dyDescent="0.25">
      <c r="L1028010" s="472"/>
      <c r="M1028010" s="472"/>
    </row>
    <row r="1028011" spans="12:13" x14ac:dyDescent="0.25">
      <c r="L1028011" s="472"/>
      <c r="M1028011" s="472"/>
    </row>
    <row r="1028083" spans="12:13" x14ac:dyDescent="0.25">
      <c r="L1028083" s="472"/>
      <c r="M1028083" s="472"/>
    </row>
    <row r="1028084" spans="12:13" x14ac:dyDescent="0.25">
      <c r="L1028084" s="472"/>
      <c r="M1028084" s="472"/>
    </row>
    <row r="1028085" spans="12:13" x14ac:dyDescent="0.25">
      <c r="L1028085" s="472"/>
      <c r="M1028085" s="472"/>
    </row>
    <row r="1028157" spans="12:13" x14ac:dyDescent="0.25">
      <c r="L1028157" s="472"/>
      <c r="M1028157" s="472"/>
    </row>
    <row r="1028158" spans="12:13" x14ac:dyDescent="0.25">
      <c r="L1028158" s="472"/>
      <c r="M1028158" s="472"/>
    </row>
    <row r="1028159" spans="12:13" x14ac:dyDescent="0.25">
      <c r="L1028159" s="472"/>
      <c r="M1028159" s="472"/>
    </row>
    <row r="1028231" spans="12:13" x14ac:dyDescent="0.25">
      <c r="L1028231" s="472"/>
      <c r="M1028231" s="472"/>
    </row>
    <row r="1028232" spans="12:13" x14ac:dyDescent="0.25">
      <c r="L1028232" s="472"/>
      <c r="M1028232" s="472"/>
    </row>
    <row r="1028233" spans="12:13" x14ac:dyDescent="0.25">
      <c r="L1028233" s="472"/>
      <c r="M1028233" s="472"/>
    </row>
    <row r="1028305" spans="12:13" x14ac:dyDescent="0.25">
      <c r="L1028305" s="472"/>
      <c r="M1028305" s="472"/>
    </row>
    <row r="1028306" spans="12:13" x14ac:dyDescent="0.25">
      <c r="L1028306" s="472"/>
      <c r="M1028306" s="472"/>
    </row>
    <row r="1028307" spans="12:13" x14ac:dyDescent="0.25">
      <c r="L1028307" s="472"/>
      <c r="M1028307" s="472"/>
    </row>
    <row r="1028379" spans="12:13" x14ac:dyDescent="0.25">
      <c r="L1028379" s="472"/>
      <c r="M1028379" s="472"/>
    </row>
    <row r="1028380" spans="12:13" x14ac:dyDescent="0.25">
      <c r="L1028380" s="472"/>
      <c r="M1028380" s="472"/>
    </row>
    <row r="1028381" spans="12:13" x14ac:dyDescent="0.25">
      <c r="L1028381" s="472"/>
      <c r="M1028381" s="472"/>
    </row>
    <row r="1028453" spans="12:13" x14ac:dyDescent="0.25">
      <c r="L1028453" s="472"/>
      <c r="M1028453" s="472"/>
    </row>
    <row r="1028454" spans="12:13" x14ac:dyDescent="0.25">
      <c r="L1028454" s="472"/>
      <c r="M1028454" s="472"/>
    </row>
    <row r="1028455" spans="12:13" x14ac:dyDescent="0.25">
      <c r="L1028455" s="472"/>
      <c r="M1028455" s="472"/>
    </row>
    <row r="1028527" spans="12:13" x14ac:dyDescent="0.25">
      <c r="L1028527" s="472"/>
      <c r="M1028527" s="472"/>
    </row>
    <row r="1028528" spans="12:13" x14ac:dyDescent="0.25">
      <c r="L1028528" s="472"/>
      <c r="M1028528" s="472"/>
    </row>
    <row r="1028529" spans="12:13" x14ac:dyDescent="0.25">
      <c r="L1028529" s="472"/>
      <c r="M1028529" s="472"/>
    </row>
    <row r="1028601" spans="12:13" x14ac:dyDescent="0.25">
      <c r="L1028601" s="472"/>
      <c r="M1028601" s="472"/>
    </row>
    <row r="1028602" spans="12:13" x14ac:dyDescent="0.25">
      <c r="L1028602" s="472"/>
      <c r="M1028602" s="472"/>
    </row>
    <row r="1028603" spans="12:13" x14ac:dyDescent="0.25">
      <c r="L1028603" s="472"/>
      <c r="M1028603" s="472"/>
    </row>
    <row r="1028675" spans="12:13" x14ac:dyDescent="0.25">
      <c r="L1028675" s="472"/>
      <c r="M1028675" s="472"/>
    </row>
    <row r="1028676" spans="12:13" x14ac:dyDescent="0.25">
      <c r="L1028676" s="472"/>
      <c r="M1028676" s="472"/>
    </row>
    <row r="1028677" spans="12:13" x14ac:dyDescent="0.25">
      <c r="L1028677" s="472"/>
      <c r="M1028677" s="472"/>
    </row>
    <row r="1028749" spans="12:13" x14ac:dyDescent="0.25">
      <c r="L1028749" s="472"/>
      <c r="M1028749" s="472"/>
    </row>
    <row r="1028750" spans="12:13" x14ac:dyDescent="0.25">
      <c r="L1028750" s="472"/>
      <c r="M1028750" s="472"/>
    </row>
    <row r="1028751" spans="12:13" x14ac:dyDescent="0.25">
      <c r="L1028751" s="472"/>
      <c r="M1028751" s="472"/>
    </row>
    <row r="1028823" spans="12:13" x14ac:dyDescent="0.25">
      <c r="L1028823" s="472"/>
      <c r="M1028823" s="472"/>
    </row>
    <row r="1028824" spans="12:13" x14ac:dyDescent="0.25">
      <c r="L1028824" s="472"/>
      <c r="M1028824" s="472"/>
    </row>
    <row r="1028825" spans="12:13" x14ac:dyDescent="0.25">
      <c r="L1028825" s="472"/>
      <c r="M1028825" s="472"/>
    </row>
    <row r="1028897" spans="12:13" x14ac:dyDescent="0.25">
      <c r="L1028897" s="472"/>
      <c r="M1028897" s="472"/>
    </row>
    <row r="1028898" spans="12:13" x14ac:dyDescent="0.25">
      <c r="L1028898" s="472"/>
      <c r="M1028898" s="472"/>
    </row>
    <row r="1028899" spans="12:13" x14ac:dyDescent="0.25">
      <c r="L1028899" s="472"/>
      <c r="M1028899" s="472"/>
    </row>
    <row r="1028971" spans="12:13" x14ac:dyDescent="0.25">
      <c r="L1028971" s="472"/>
      <c r="M1028971" s="472"/>
    </row>
    <row r="1028972" spans="12:13" x14ac:dyDescent="0.25">
      <c r="L1028972" s="472"/>
      <c r="M1028972" s="472"/>
    </row>
    <row r="1028973" spans="12:13" x14ac:dyDescent="0.25">
      <c r="L1028973" s="472"/>
      <c r="M1028973" s="472"/>
    </row>
    <row r="1029045" spans="12:13" x14ac:dyDescent="0.25">
      <c r="L1029045" s="472"/>
      <c r="M1029045" s="472"/>
    </row>
    <row r="1029046" spans="12:13" x14ac:dyDescent="0.25">
      <c r="L1029046" s="472"/>
      <c r="M1029046" s="472"/>
    </row>
    <row r="1029047" spans="12:13" x14ac:dyDescent="0.25">
      <c r="L1029047" s="472"/>
      <c r="M1029047" s="472"/>
    </row>
    <row r="1029119" spans="12:13" x14ac:dyDescent="0.25">
      <c r="L1029119" s="472"/>
      <c r="M1029119" s="472"/>
    </row>
    <row r="1029120" spans="12:13" x14ac:dyDescent="0.25">
      <c r="L1029120" s="472"/>
      <c r="M1029120" s="472"/>
    </row>
    <row r="1029121" spans="12:13" x14ac:dyDescent="0.25">
      <c r="L1029121" s="472"/>
      <c r="M1029121" s="472"/>
    </row>
    <row r="1029193" spans="12:13" x14ac:dyDescent="0.25">
      <c r="L1029193" s="472"/>
      <c r="M1029193" s="472"/>
    </row>
    <row r="1029194" spans="12:13" x14ac:dyDescent="0.25">
      <c r="L1029194" s="472"/>
      <c r="M1029194" s="472"/>
    </row>
    <row r="1029195" spans="12:13" x14ac:dyDescent="0.25">
      <c r="L1029195" s="472"/>
      <c r="M1029195" s="472"/>
    </row>
    <row r="1029267" spans="12:13" x14ac:dyDescent="0.25">
      <c r="L1029267" s="472"/>
      <c r="M1029267" s="472"/>
    </row>
    <row r="1029268" spans="12:13" x14ac:dyDescent="0.25">
      <c r="L1029268" s="472"/>
      <c r="M1029268" s="472"/>
    </row>
    <row r="1029269" spans="12:13" x14ac:dyDescent="0.25">
      <c r="L1029269" s="472"/>
      <c r="M1029269" s="472"/>
    </row>
    <row r="1029341" spans="12:13" x14ac:dyDescent="0.25">
      <c r="L1029341" s="472"/>
      <c r="M1029341" s="472"/>
    </row>
    <row r="1029342" spans="12:13" x14ac:dyDescent="0.25">
      <c r="L1029342" s="472"/>
      <c r="M1029342" s="472"/>
    </row>
    <row r="1029343" spans="12:13" x14ac:dyDescent="0.25">
      <c r="L1029343" s="472"/>
      <c r="M1029343" s="472"/>
    </row>
    <row r="1029415" spans="12:13" x14ac:dyDescent="0.25">
      <c r="L1029415" s="472"/>
      <c r="M1029415" s="472"/>
    </row>
    <row r="1029416" spans="12:13" x14ac:dyDescent="0.25">
      <c r="L1029416" s="472"/>
      <c r="M1029416" s="472"/>
    </row>
    <row r="1029417" spans="12:13" x14ac:dyDescent="0.25">
      <c r="L1029417" s="472"/>
      <c r="M1029417" s="472"/>
    </row>
    <row r="1029489" spans="12:13" x14ac:dyDescent="0.25">
      <c r="L1029489" s="472"/>
      <c r="M1029489" s="472"/>
    </row>
    <row r="1029490" spans="12:13" x14ac:dyDescent="0.25">
      <c r="L1029490" s="472"/>
      <c r="M1029490" s="472"/>
    </row>
    <row r="1029491" spans="12:13" x14ac:dyDescent="0.25">
      <c r="L1029491" s="472"/>
      <c r="M1029491" s="472"/>
    </row>
    <row r="1029563" spans="12:13" x14ac:dyDescent="0.25">
      <c r="L1029563" s="472"/>
      <c r="M1029563" s="472"/>
    </row>
    <row r="1029564" spans="12:13" x14ac:dyDescent="0.25">
      <c r="L1029564" s="472"/>
      <c r="M1029564" s="472"/>
    </row>
    <row r="1029565" spans="12:13" x14ac:dyDescent="0.25">
      <c r="L1029565" s="472"/>
      <c r="M1029565" s="472"/>
    </row>
    <row r="1029637" spans="12:13" x14ac:dyDescent="0.25">
      <c r="L1029637" s="472"/>
      <c r="M1029637" s="472"/>
    </row>
    <row r="1029638" spans="12:13" x14ac:dyDescent="0.25">
      <c r="L1029638" s="472"/>
      <c r="M1029638" s="472"/>
    </row>
    <row r="1029639" spans="12:13" x14ac:dyDescent="0.25">
      <c r="L1029639" s="472"/>
      <c r="M1029639" s="472"/>
    </row>
    <row r="1029711" spans="12:13" x14ac:dyDescent="0.25">
      <c r="L1029711" s="472"/>
      <c r="M1029711" s="472"/>
    </row>
    <row r="1029712" spans="12:13" x14ac:dyDescent="0.25">
      <c r="L1029712" s="472"/>
      <c r="M1029712" s="472"/>
    </row>
    <row r="1029713" spans="12:13" x14ac:dyDescent="0.25">
      <c r="L1029713" s="472"/>
      <c r="M1029713" s="472"/>
    </row>
    <row r="1029785" spans="12:13" x14ac:dyDescent="0.25">
      <c r="L1029785" s="472"/>
      <c r="M1029785" s="472"/>
    </row>
    <row r="1029786" spans="12:13" x14ac:dyDescent="0.25">
      <c r="L1029786" s="472"/>
      <c r="M1029786" s="472"/>
    </row>
    <row r="1029787" spans="12:13" x14ac:dyDescent="0.25">
      <c r="L1029787" s="472"/>
      <c r="M1029787" s="472"/>
    </row>
    <row r="1029859" spans="12:13" x14ac:dyDescent="0.25">
      <c r="L1029859" s="472"/>
      <c r="M1029859" s="472"/>
    </row>
    <row r="1029860" spans="12:13" x14ac:dyDescent="0.25">
      <c r="L1029860" s="472"/>
      <c r="M1029860" s="472"/>
    </row>
    <row r="1029861" spans="12:13" x14ac:dyDescent="0.25">
      <c r="L1029861" s="472"/>
      <c r="M1029861" s="472"/>
    </row>
    <row r="1029933" spans="12:13" x14ac:dyDescent="0.25">
      <c r="L1029933" s="472"/>
      <c r="M1029933" s="472"/>
    </row>
    <row r="1029934" spans="12:13" x14ac:dyDescent="0.25">
      <c r="L1029934" s="472"/>
      <c r="M1029934" s="472"/>
    </row>
    <row r="1029935" spans="12:13" x14ac:dyDescent="0.25">
      <c r="L1029935" s="472"/>
      <c r="M1029935" s="472"/>
    </row>
    <row r="1030007" spans="12:13" x14ac:dyDescent="0.25">
      <c r="L1030007" s="472"/>
      <c r="M1030007" s="472"/>
    </row>
    <row r="1030008" spans="12:13" x14ac:dyDescent="0.25">
      <c r="L1030008" s="472"/>
      <c r="M1030008" s="472"/>
    </row>
    <row r="1030009" spans="12:13" x14ac:dyDescent="0.25">
      <c r="L1030009" s="472"/>
      <c r="M1030009" s="472"/>
    </row>
    <row r="1030081" spans="12:13" x14ac:dyDescent="0.25">
      <c r="L1030081" s="472"/>
      <c r="M1030081" s="472"/>
    </row>
    <row r="1030082" spans="12:13" x14ac:dyDescent="0.25">
      <c r="L1030082" s="472"/>
      <c r="M1030082" s="472"/>
    </row>
    <row r="1030083" spans="12:13" x14ac:dyDescent="0.25">
      <c r="L1030083" s="472"/>
      <c r="M1030083" s="472"/>
    </row>
    <row r="1030155" spans="12:13" x14ac:dyDescent="0.25">
      <c r="L1030155" s="472"/>
      <c r="M1030155" s="472"/>
    </row>
    <row r="1030156" spans="12:13" x14ac:dyDescent="0.25">
      <c r="L1030156" s="472"/>
      <c r="M1030156" s="472"/>
    </row>
    <row r="1030157" spans="12:13" x14ac:dyDescent="0.25">
      <c r="L1030157" s="472"/>
      <c r="M1030157" s="472"/>
    </row>
    <row r="1030229" spans="12:13" x14ac:dyDescent="0.25">
      <c r="L1030229" s="472"/>
      <c r="M1030229" s="472"/>
    </row>
    <row r="1030230" spans="12:13" x14ac:dyDescent="0.25">
      <c r="L1030230" s="472"/>
      <c r="M1030230" s="472"/>
    </row>
    <row r="1030231" spans="12:13" x14ac:dyDescent="0.25">
      <c r="L1030231" s="472"/>
      <c r="M1030231" s="472"/>
    </row>
    <row r="1030303" spans="12:13" x14ac:dyDescent="0.25">
      <c r="L1030303" s="472"/>
      <c r="M1030303" s="472"/>
    </row>
    <row r="1030304" spans="12:13" x14ac:dyDescent="0.25">
      <c r="L1030304" s="472"/>
      <c r="M1030304" s="472"/>
    </row>
    <row r="1030305" spans="12:13" x14ac:dyDescent="0.25">
      <c r="L1030305" s="472"/>
      <c r="M1030305" s="472"/>
    </row>
    <row r="1030377" spans="12:13" x14ac:dyDescent="0.25">
      <c r="L1030377" s="472"/>
      <c r="M1030377" s="472"/>
    </row>
    <row r="1030378" spans="12:13" x14ac:dyDescent="0.25">
      <c r="L1030378" s="472"/>
      <c r="M1030378" s="472"/>
    </row>
    <row r="1030379" spans="12:13" x14ac:dyDescent="0.25">
      <c r="L1030379" s="472"/>
      <c r="M1030379" s="472"/>
    </row>
    <row r="1030451" spans="12:13" x14ac:dyDescent="0.25">
      <c r="L1030451" s="472"/>
      <c r="M1030451" s="472"/>
    </row>
    <row r="1030452" spans="12:13" x14ac:dyDescent="0.25">
      <c r="L1030452" s="472"/>
      <c r="M1030452" s="472"/>
    </row>
    <row r="1030453" spans="12:13" x14ac:dyDescent="0.25">
      <c r="L1030453" s="472"/>
      <c r="M1030453" s="472"/>
    </row>
    <row r="1030525" spans="12:13" x14ac:dyDescent="0.25">
      <c r="L1030525" s="472"/>
      <c r="M1030525" s="472"/>
    </row>
    <row r="1030526" spans="12:13" x14ac:dyDescent="0.25">
      <c r="L1030526" s="472"/>
      <c r="M1030526" s="472"/>
    </row>
    <row r="1030527" spans="12:13" x14ac:dyDescent="0.25">
      <c r="L1030527" s="472"/>
      <c r="M1030527" s="472"/>
    </row>
    <row r="1030599" spans="12:13" x14ac:dyDescent="0.25">
      <c r="L1030599" s="472"/>
      <c r="M1030599" s="472"/>
    </row>
    <row r="1030600" spans="12:13" x14ac:dyDescent="0.25">
      <c r="L1030600" s="472"/>
      <c r="M1030600" s="472"/>
    </row>
    <row r="1030601" spans="12:13" x14ac:dyDescent="0.25">
      <c r="L1030601" s="472"/>
      <c r="M1030601" s="472"/>
    </row>
    <row r="1030673" spans="12:13" x14ac:dyDescent="0.25">
      <c r="L1030673" s="472"/>
      <c r="M1030673" s="472"/>
    </row>
    <row r="1030674" spans="12:13" x14ac:dyDescent="0.25">
      <c r="L1030674" s="472"/>
      <c r="M1030674" s="472"/>
    </row>
    <row r="1030675" spans="12:13" x14ac:dyDescent="0.25">
      <c r="L1030675" s="472"/>
      <c r="M1030675" s="472"/>
    </row>
    <row r="1030747" spans="12:13" x14ac:dyDescent="0.25">
      <c r="L1030747" s="472"/>
      <c r="M1030747" s="472"/>
    </row>
    <row r="1030748" spans="12:13" x14ac:dyDescent="0.25">
      <c r="L1030748" s="472"/>
      <c r="M1030748" s="472"/>
    </row>
    <row r="1030749" spans="12:13" x14ac:dyDescent="0.25">
      <c r="L1030749" s="472"/>
      <c r="M1030749" s="472"/>
    </row>
    <row r="1030821" spans="12:13" x14ac:dyDescent="0.25">
      <c r="L1030821" s="472"/>
      <c r="M1030821" s="472"/>
    </row>
    <row r="1030822" spans="12:13" x14ac:dyDescent="0.25">
      <c r="L1030822" s="472"/>
      <c r="M1030822" s="472"/>
    </row>
    <row r="1030823" spans="12:13" x14ac:dyDescent="0.25">
      <c r="L1030823" s="472"/>
      <c r="M1030823" s="472"/>
    </row>
    <row r="1030895" spans="12:13" x14ac:dyDescent="0.25">
      <c r="L1030895" s="472"/>
      <c r="M1030895" s="472"/>
    </row>
    <row r="1030896" spans="12:13" x14ac:dyDescent="0.25">
      <c r="L1030896" s="472"/>
      <c r="M1030896" s="472"/>
    </row>
    <row r="1030897" spans="12:13" x14ac:dyDescent="0.25">
      <c r="L1030897" s="472"/>
      <c r="M1030897" s="472"/>
    </row>
    <row r="1030969" spans="12:13" x14ac:dyDescent="0.25">
      <c r="L1030969" s="472"/>
      <c r="M1030969" s="472"/>
    </row>
    <row r="1030970" spans="12:13" x14ac:dyDescent="0.25">
      <c r="L1030970" s="472"/>
      <c r="M1030970" s="472"/>
    </row>
    <row r="1030971" spans="12:13" x14ac:dyDescent="0.25">
      <c r="L1030971" s="472"/>
      <c r="M1030971" s="472"/>
    </row>
    <row r="1031043" spans="12:13" x14ac:dyDescent="0.25">
      <c r="L1031043" s="472"/>
      <c r="M1031043" s="472"/>
    </row>
    <row r="1031044" spans="12:13" x14ac:dyDescent="0.25">
      <c r="L1031044" s="472"/>
      <c r="M1031044" s="472"/>
    </row>
    <row r="1031045" spans="12:13" x14ac:dyDescent="0.25">
      <c r="L1031045" s="472"/>
      <c r="M1031045" s="472"/>
    </row>
    <row r="1031117" spans="12:13" x14ac:dyDescent="0.25">
      <c r="L1031117" s="472"/>
      <c r="M1031117" s="472"/>
    </row>
    <row r="1031118" spans="12:13" x14ac:dyDescent="0.25">
      <c r="L1031118" s="472"/>
      <c r="M1031118" s="472"/>
    </row>
    <row r="1031119" spans="12:13" x14ac:dyDescent="0.25">
      <c r="L1031119" s="472"/>
      <c r="M1031119" s="472"/>
    </row>
    <row r="1031191" spans="12:13" x14ac:dyDescent="0.25">
      <c r="L1031191" s="472"/>
      <c r="M1031191" s="472"/>
    </row>
    <row r="1031192" spans="12:13" x14ac:dyDescent="0.25">
      <c r="L1031192" s="472"/>
      <c r="M1031192" s="472"/>
    </row>
    <row r="1031193" spans="12:13" x14ac:dyDescent="0.25">
      <c r="L1031193" s="472"/>
      <c r="M1031193" s="472"/>
    </row>
    <row r="1031265" spans="12:13" x14ac:dyDescent="0.25">
      <c r="L1031265" s="472"/>
      <c r="M1031265" s="472"/>
    </row>
    <row r="1031266" spans="12:13" x14ac:dyDescent="0.25">
      <c r="L1031266" s="472"/>
      <c r="M1031266" s="472"/>
    </row>
    <row r="1031267" spans="12:13" x14ac:dyDescent="0.25">
      <c r="L1031267" s="472"/>
      <c r="M1031267" s="472"/>
    </row>
    <row r="1031339" spans="12:13" x14ac:dyDescent="0.25">
      <c r="L1031339" s="472"/>
      <c r="M1031339" s="472"/>
    </row>
    <row r="1031340" spans="12:13" x14ac:dyDescent="0.25">
      <c r="L1031340" s="472"/>
      <c r="M1031340" s="472"/>
    </row>
    <row r="1031341" spans="12:13" x14ac:dyDescent="0.25">
      <c r="L1031341" s="472"/>
      <c r="M1031341" s="472"/>
    </row>
    <row r="1031413" spans="12:13" x14ac:dyDescent="0.25">
      <c r="L1031413" s="472"/>
      <c r="M1031413" s="472"/>
    </row>
    <row r="1031414" spans="12:13" x14ac:dyDescent="0.25">
      <c r="L1031414" s="472"/>
      <c r="M1031414" s="472"/>
    </row>
    <row r="1031415" spans="12:13" x14ac:dyDescent="0.25">
      <c r="L1031415" s="472"/>
      <c r="M1031415" s="472"/>
    </row>
    <row r="1031487" spans="12:13" x14ac:dyDescent="0.25">
      <c r="L1031487" s="472"/>
      <c r="M1031487" s="472"/>
    </row>
    <row r="1031488" spans="12:13" x14ac:dyDescent="0.25">
      <c r="L1031488" s="472"/>
      <c r="M1031488" s="472"/>
    </row>
    <row r="1031489" spans="12:13" x14ac:dyDescent="0.25">
      <c r="L1031489" s="472"/>
      <c r="M1031489" s="472"/>
    </row>
    <row r="1031561" spans="12:13" x14ac:dyDescent="0.25">
      <c r="L1031561" s="472"/>
      <c r="M1031561" s="472"/>
    </row>
    <row r="1031562" spans="12:13" x14ac:dyDescent="0.25">
      <c r="L1031562" s="472"/>
      <c r="M1031562" s="472"/>
    </row>
    <row r="1031563" spans="12:13" x14ac:dyDescent="0.25">
      <c r="L1031563" s="472"/>
      <c r="M1031563" s="472"/>
    </row>
    <row r="1031635" spans="12:13" x14ac:dyDescent="0.25">
      <c r="L1031635" s="472"/>
      <c r="M1031635" s="472"/>
    </row>
    <row r="1031636" spans="12:13" x14ac:dyDescent="0.25">
      <c r="L1031636" s="472"/>
      <c r="M1031636" s="472"/>
    </row>
    <row r="1031637" spans="12:13" x14ac:dyDescent="0.25">
      <c r="L1031637" s="472"/>
      <c r="M1031637" s="472"/>
    </row>
    <row r="1031709" spans="12:13" x14ac:dyDescent="0.25">
      <c r="L1031709" s="472"/>
      <c r="M1031709" s="472"/>
    </row>
    <row r="1031710" spans="12:13" x14ac:dyDescent="0.25">
      <c r="L1031710" s="472"/>
      <c r="M1031710" s="472"/>
    </row>
    <row r="1031711" spans="12:13" x14ac:dyDescent="0.25">
      <c r="L1031711" s="472"/>
      <c r="M1031711" s="472"/>
    </row>
    <row r="1031783" spans="12:13" x14ac:dyDescent="0.25">
      <c r="L1031783" s="472"/>
      <c r="M1031783" s="472"/>
    </row>
    <row r="1031784" spans="12:13" x14ac:dyDescent="0.25">
      <c r="L1031784" s="472"/>
      <c r="M1031784" s="472"/>
    </row>
    <row r="1031785" spans="12:13" x14ac:dyDescent="0.25">
      <c r="L1031785" s="472"/>
      <c r="M1031785" s="472"/>
    </row>
    <row r="1031857" spans="12:13" x14ac:dyDescent="0.25">
      <c r="L1031857" s="472"/>
      <c r="M1031857" s="472"/>
    </row>
    <row r="1031858" spans="12:13" x14ac:dyDescent="0.25">
      <c r="L1031858" s="472"/>
      <c r="M1031858" s="472"/>
    </row>
    <row r="1031859" spans="12:13" x14ac:dyDescent="0.25">
      <c r="L1031859" s="472"/>
      <c r="M1031859" s="472"/>
    </row>
    <row r="1031931" spans="12:13" x14ac:dyDescent="0.25">
      <c r="L1031931" s="472"/>
      <c r="M1031931" s="472"/>
    </row>
    <row r="1031932" spans="12:13" x14ac:dyDescent="0.25">
      <c r="L1031932" s="472"/>
      <c r="M1031932" s="472"/>
    </row>
    <row r="1031933" spans="12:13" x14ac:dyDescent="0.25">
      <c r="L1031933" s="472"/>
      <c r="M1031933" s="472"/>
    </row>
    <row r="1032005" spans="12:13" x14ac:dyDescent="0.25">
      <c r="L1032005" s="472"/>
      <c r="M1032005" s="472"/>
    </row>
    <row r="1032006" spans="12:13" x14ac:dyDescent="0.25">
      <c r="L1032006" s="472"/>
      <c r="M1032006" s="472"/>
    </row>
    <row r="1032007" spans="12:13" x14ac:dyDescent="0.25">
      <c r="L1032007" s="472"/>
      <c r="M1032007" s="472"/>
    </row>
    <row r="1032079" spans="12:13" x14ac:dyDescent="0.25">
      <c r="L1032079" s="472"/>
      <c r="M1032079" s="472"/>
    </row>
    <row r="1032080" spans="12:13" x14ac:dyDescent="0.25">
      <c r="L1032080" s="472"/>
      <c r="M1032080" s="472"/>
    </row>
    <row r="1032081" spans="12:13" x14ac:dyDescent="0.25">
      <c r="L1032081" s="472"/>
      <c r="M1032081" s="472"/>
    </row>
    <row r="1032153" spans="12:13" x14ac:dyDescent="0.25">
      <c r="L1032153" s="472"/>
      <c r="M1032153" s="472"/>
    </row>
    <row r="1032154" spans="12:13" x14ac:dyDescent="0.25">
      <c r="L1032154" s="472"/>
      <c r="M1032154" s="472"/>
    </row>
    <row r="1032155" spans="12:13" x14ac:dyDescent="0.25">
      <c r="L1032155" s="472"/>
      <c r="M1032155" s="472"/>
    </row>
    <row r="1032227" spans="12:13" x14ac:dyDescent="0.25">
      <c r="L1032227" s="472"/>
      <c r="M1032227" s="472"/>
    </row>
    <row r="1032228" spans="12:13" x14ac:dyDescent="0.25">
      <c r="L1032228" s="472"/>
      <c r="M1032228" s="472"/>
    </row>
    <row r="1032229" spans="12:13" x14ac:dyDescent="0.25">
      <c r="L1032229" s="472"/>
      <c r="M1032229" s="472"/>
    </row>
    <row r="1032301" spans="12:13" x14ac:dyDescent="0.25">
      <c r="L1032301" s="472"/>
      <c r="M1032301" s="472"/>
    </row>
    <row r="1032302" spans="12:13" x14ac:dyDescent="0.25">
      <c r="L1032302" s="472"/>
      <c r="M1032302" s="472"/>
    </row>
    <row r="1032303" spans="12:13" x14ac:dyDescent="0.25">
      <c r="L1032303" s="472"/>
      <c r="M1032303" s="472"/>
    </row>
    <row r="1032375" spans="12:13" x14ac:dyDescent="0.25">
      <c r="L1032375" s="472"/>
      <c r="M1032375" s="472"/>
    </row>
    <row r="1032376" spans="12:13" x14ac:dyDescent="0.25">
      <c r="L1032376" s="472"/>
      <c r="M1032376" s="472"/>
    </row>
    <row r="1032377" spans="12:13" x14ac:dyDescent="0.25">
      <c r="L1032377" s="472"/>
      <c r="M1032377" s="472"/>
    </row>
    <row r="1032449" spans="12:13" x14ac:dyDescent="0.25">
      <c r="L1032449" s="472"/>
      <c r="M1032449" s="472"/>
    </row>
    <row r="1032450" spans="12:13" x14ac:dyDescent="0.25">
      <c r="L1032450" s="472"/>
      <c r="M1032450" s="472"/>
    </row>
    <row r="1032451" spans="12:13" x14ac:dyDescent="0.25">
      <c r="L1032451" s="472"/>
      <c r="M1032451" s="472"/>
    </row>
    <row r="1032523" spans="12:13" x14ac:dyDescent="0.25">
      <c r="L1032523" s="472"/>
      <c r="M1032523" s="472"/>
    </row>
    <row r="1032524" spans="12:13" x14ac:dyDescent="0.25">
      <c r="L1032524" s="472"/>
      <c r="M1032524" s="472"/>
    </row>
    <row r="1032525" spans="12:13" x14ac:dyDescent="0.25">
      <c r="L1032525" s="472"/>
      <c r="M1032525" s="472"/>
    </row>
    <row r="1032597" spans="12:13" x14ac:dyDescent="0.25">
      <c r="L1032597" s="472"/>
      <c r="M1032597" s="472"/>
    </row>
    <row r="1032598" spans="12:13" x14ac:dyDescent="0.25">
      <c r="L1032598" s="472"/>
      <c r="M1032598" s="472"/>
    </row>
    <row r="1032599" spans="12:13" x14ac:dyDescent="0.25">
      <c r="L1032599" s="472"/>
      <c r="M1032599" s="472"/>
    </row>
    <row r="1032671" spans="12:13" x14ac:dyDescent="0.25">
      <c r="L1032671" s="472"/>
      <c r="M1032671" s="472"/>
    </row>
    <row r="1032672" spans="12:13" x14ac:dyDescent="0.25">
      <c r="L1032672" s="472"/>
      <c r="M1032672" s="472"/>
    </row>
    <row r="1032673" spans="12:13" x14ac:dyDescent="0.25">
      <c r="L1032673" s="472"/>
      <c r="M1032673" s="472"/>
    </row>
    <row r="1032745" spans="12:13" x14ac:dyDescent="0.25">
      <c r="L1032745" s="472"/>
      <c r="M1032745" s="472"/>
    </row>
    <row r="1032746" spans="12:13" x14ac:dyDescent="0.25">
      <c r="L1032746" s="472"/>
      <c r="M1032746" s="472"/>
    </row>
    <row r="1032747" spans="12:13" x14ac:dyDescent="0.25">
      <c r="L1032747" s="472"/>
      <c r="M1032747" s="472"/>
    </row>
    <row r="1032819" spans="12:13" x14ac:dyDescent="0.25">
      <c r="L1032819" s="472"/>
      <c r="M1032819" s="472"/>
    </row>
    <row r="1032820" spans="12:13" x14ac:dyDescent="0.25">
      <c r="L1032820" s="472"/>
      <c r="M1032820" s="472"/>
    </row>
    <row r="1032821" spans="12:13" x14ac:dyDescent="0.25">
      <c r="L1032821" s="472"/>
      <c r="M1032821" s="472"/>
    </row>
    <row r="1032893" spans="12:13" x14ac:dyDescent="0.25">
      <c r="L1032893" s="472"/>
      <c r="M1032893" s="472"/>
    </row>
    <row r="1032894" spans="12:13" x14ac:dyDescent="0.25">
      <c r="L1032894" s="472"/>
      <c r="M1032894" s="472"/>
    </row>
    <row r="1032895" spans="12:13" x14ac:dyDescent="0.25">
      <c r="L1032895" s="472"/>
      <c r="M1032895" s="472"/>
    </row>
    <row r="1032967" spans="12:13" x14ac:dyDescent="0.25">
      <c r="L1032967" s="472"/>
      <c r="M1032967" s="472"/>
    </row>
    <row r="1032968" spans="12:13" x14ac:dyDescent="0.25">
      <c r="L1032968" s="472"/>
      <c r="M1032968" s="472"/>
    </row>
    <row r="1032969" spans="12:13" x14ac:dyDescent="0.25">
      <c r="L1032969" s="472"/>
      <c r="M1032969" s="472"/>
    </row>
    <row r="1033041" spans="12:13" x14ac:dyDescent="0.25">
      <c r="L1033041" s="472"/>
      <c r="M1033041" s="472"/>
    </row>
    <row r="1033042" spans="12:13" x14ac:dyDescent="0.25">
      <c r="L1033042" s="472"/>
      <c r="M1033042" s="472"/>
    </row>
    <row r="1033043" spans="12:13" x14ac:dyDescent="0.25">
      <c r="L1033043" s="472"/>
      <c r="M1033043" s="472"/>
    </row>
    <row r="1033115" spans="12:13" x14ac:dyDescent="0.25">
      <c r="L1033115" s="472"/>
      <c r="M1033115" s="472"/>
    </row>
    <row r="1033116" spans="12:13" x14ac:dyDescent="0.25">
      <c r="L1033116" s="472"/>
      <c r="M1033116" s="472"/>
    </row>
    <row r="1033117" spans="12:13" x14ac:dyDescent="0.25">
      <c r="L1033117" s="472"/>
      <c r="M1033117" s="472"/>
    </row>
    <row r="1033189" spans="12:13" x14ac:dyDescent="0.25">
      <c r="L1033189" s="472"/>
      <c r="M1033189" s="472"/>
    </row>
    <row r="1033190" spans="12:13" x14ac:dyDescent="0.25">
      <c r="L1033190" s="472"/>
      <c r="M1033190" s="472"/>
    </row>
    <row r="1033191" spans="12:13" x14ac:dyDescent="0.25">
      <c r="L1033191" s="472"/>
      <c r="M1033191" s="472"/>
    </row>
    <row r="1033263" spans="12:13" x14ac:dyDescent="0.25">
      <c r="L1033263" s="472"/>
      <c r="M1033263" s="472"/>
    </row>
    <row r="1033264" spans="12:13" x14ac:dyDescent="0.25">
      <c r="L1033264" s="472"/>
      <c r="M1033264" s="472"/>
    </row>
    <row r="1033265" spans="12:13" x14ac:dyDescent="0.25">
      <c r="L1033265" s="472"/>
      <c r="M1033265" s="472"/>
    </row>
    <row r="1033337" spans="12:13" x14ac:dyDescent="0.25">
      <c r="L1033337" s="472"/>
      <c r="M1033337" s="472"/>
    </row>
    <row r="1033338" spans="12:13" x14ac:dyDescent="0.25">
      <c r="L1033338" s="472"/>
      <c r="M1033338" s="472"/>
    </row>
    <row r="1033339" spans="12:13" x14ac:dyDescent="0.25">
      <c r="L1033339" s="472"/>
      <c r="M1033339" s="472"/>
    </row>
    <row r="1033411" spans="12:13" x14ac:dyDescent="0.25">
      <c r="L1033411" s="472"/>
      <c r="M1033411" s="472"/>
    </row>
    <row r="1033412" spans="12:13" x14ac:dyDescent="0.25">
      <c r="L1033412" s="472"/>
      <c r="M1033412" s="472"/>
    </row>
    <row r="1033413" spans="12:13" x14ac:dyDescent="0.25">
      <c r="L1033413" s="472"/>
      <c r="M1033413" s="472"/>
    </row>
    <row r="1033485" spans="12:13" x14ac:dyDescent="0.25">
      <c r="L1033485" s="472"/>
      <c r="M1033485" s="472"/>
    </row>
    <row r="1033486" spans="12:13" x14ac:dyDescent="0.25">
      <c r="L1033486" s="472"/>
      <c r="M1033486" s="472"/>
    </row>
    <row r="1033487" spans="12:13" x14ac:dyDescent="0.25">
      <c r="L1033487" s="472"/>
      <c r="M1033487" s="472"/>
    </row>
    <row r="1033559" spans="12:13" x14ac:dyDescent="0.25">
      <c r="L1033559" s="472"/>
      <c r="M1033559" s="472"/>
    </row>
    <row r="1033560" spans="12:13" x14ac:dyDescent="0.25">
      <c r="L1033560" s="472"/>
      <c r="M1033560" s="472"/>
    </row>
    <row r="1033561" spans="12:13" x14ac:dyDescent="0.25">
      <c r="L1033561" s="472"/>
      <c r="M1033561" s="472"/>
    </row>
    <row r="1033633" spans="12:13" x14ac:dyDescent="0.25">
      <c r="L1033633" s="472"/>
      <c r="M1033633" s="472"/>
    </row>
    <row r="1033634" spans="12:13" x14ac:dyDescent="0.25">
      <c r="L1033634" s="472"/>
      <c r="M1033634" s="472"/>
    </row>
    <row r="1033635" spans="12:13" x14ac:dyDescent="0.25">
      <c r="L1033635" s="472"/>
      <c r="M1033635" s="472"/>
    </row>
    <row r="1033707" spans="12:13" x14ac:dyDescent="0.25">
      <c r="L1033707" s="472"/>
      <c r="M1033707" s="472"/>
    </row>
    <row r="1033708" spans="12:13" x14ac:dyDescent="0.25">
      <c r="L1033708" s="472"/>
      <c r="M1033708" s="472"/>
    </row>
    <row r="1033709" spans="12:13" x14ac:dyDescent="0.25">
      <c r="L1033709" s="472"/>
      <c r="M1033709" s="472"/>
    </row>
    <row r="1033781" spans="12:13" x14ac:dyDescent="0.25">
      <c r="L1033781" s="472"/>
      <c r="M1033781" s="472"/>
    </row>
    <row r="1033782" spans="12:13" x14ac:dyDescent="0.25">
      <c r="L1033782" s="472"/>
      <c r="M1033782" s="472"/>
    </row>
    <row r="1033783" spans="12:13" x14ac:dyDescent="0.25">
      <c r="L1033783" s="472"/>
      <c r="M1033783" s="472"/>
    </row>
    <row r="1033855" spans="12:13" x14ac:dyDescent="0.25">
      <c r="L1033855" s="472"/>
      <c r="M1033855" s="472"/>
    </row>
    <row r="1033856" spans="12:13" x14ac:dyDescent="0.25">
      <c r="L1033856" s="472"/>
      <c r="M1033856" s="472"/>
    </row>
    <row r="1033857" spans="12:13" x14ac:dyDescent="0.25">
      <c r="L1033857" s="472"/>
      <c r="M1033857" s="472"/>
    </row>
    <row r="1033929" spans="12:13" x14ac:dyDescent="0.25">
      <c r="L1033929" s="472"/>
      <c r="M1033929" s="472"/>
    </row>
    <row r="1033930" spans="12:13" x14ac:dyDescent="0.25">
      <c r="L1033930" s="472"/>
      <c r="M1033930" s="472"/>
    </row>
    <row r="1033931" spans="12:13" x14ac:dyDescent="0.25">
      <c r="L1033931" s="472"/>
      <c r="M1033931" s="472"/>
    </row>
    <row r="1034003" spans="12:13" x14ac:dyDescent="0.25">
      <c r="L1034003" s="472"/>
      <c r="M1034003" s="472"/>
    </row>
    <row r="1034004" spans="12:13" x14ac:dyDescent="0.25">
      <c r="L1034004" s="472"/>
      <c r="M1034004" s="472"/>
    </row>
    <row r="1034005" spans="12:13" x14ac:dyDescent="0.25">
      <c r="L1034005" s="472"/>
      <c r="M1034005" s="472"/>
    </row>
    <row r="1034077" spans="12:13" x14ac:dyDescent="0.25">
      <c r="L1034077" s="472"/>
      <c r="M1034077" s="472"/>
    </row>
    <row r="1034078" spans="12:13" x14ac:dyDescent="0.25">
      <c r="L1034078" s="472"/>
      <c r="M1034078" s="472"/>
    </row>
    <row r="1034079" spans="12:13" x14ac:dyDescent="0.25">
      <c r="L1034079" s="472"/>
      <c r="M1034079" s="472"/>
    </row>
    <row r="1034151" spans="12:13" x14ac:dyDescent="0.25">
      <c r="L1034151" s="472"/>
      <c r="M1034151" s="472"/>
    </row>
    <row r="1034152" spans="12:13" x14ac:dyDescent="0.25">
      <c r="L1034152" s="472"/>
      <c r="M1034152" s="472"/>
    </row>
    <row r="1034153" spans="12:13" x14ac:dyDescent="0.25">
      <c r="L1034153" s="472"/>
      <c r="M1034153" s="472"/>
    </row>
    <row r="1034225" spans="12:13" x14ac:dyDescent="0.25">
      <c r="L1034225" s="472"/>
      <c r="M1034225" s="472"/>
    </row>
    <row r="1034226" spans="12:13" x14ac:dyDescent="0.25">
      <c r="L1034226" s="472"/>
      <c r="M1034226" s="472"/>
    </row>
    <row r="1034227" spans="12:13" x14ac:dyDescent="0.25">
      <c r="L1034227" s="472"/>
      <c r="M1034227" s="472"/>
    </row>
    <row r="1034299" spans="12:13" x14ac:dyDescent="0.25">
      <c r="L1034299" s="472"/>
      <c r="M1034299" s="472"/>
    </row>
    <row r="1034300" spans="12:13" x14ac:dyDescent="0.25">
      <c r="L1034300" s="472"/>
      <c r="M1034300" s="472"/>
    </row>
    <row r="1034301" spans="12:13" x14ac:dyDescent="0.25">
      <c r="L1034301" s="472"/>
      <c r="M1034301" s="472"/>
    </row>
    <row r="1034373" spans="12:13" x14ac:dyDescent="0.25">
      <c r="L1034373" s="472"/>
      <c r="M1034373" s="472"/>
    </row>
    <row r="1034374" spans="12:13" x14ac:dyDescent="0.25">
      <c r="L1034374" s="472"/>
      <c r="M1034374" s="472"/>
    </row>
    <row r="1034375" spans="12:13" x14ac:dyDescent="0.25">
      <c r="L1034375" s="472"/>
      <c r="M1034375" s="472"/>
    </row>
    <row r="1034447" spans="12:13" x14ac:dyDescent="0.25">
      <c r="L1034447" s="472"/>
      <c r="M1034447" s="472"/>
    </row>
    <row r="1034448" spans="12:13" x14ac:dyDescent="0.25">
      <c r="L1034448" s="472"/>
      <c r="M1034448" s="472"/>
    </row>
    <row r="1034449" spans="12:13" x14ac:dyDescent="0.25">
      <c r="L1034449" s="472"/>
      <c r="M1034449" s="472"/>
    </row>
    <row r="1034521" spans="12:13" x14ac:dyDescent="0.25">
      <c r="L1034521" s="472"/>
      <c r="M1034521" s="472"/>
    </row>
    <row r="1034522" spans="12:13" x14ac:dyDescent="0.25">
      <c r="L1034522" s="472"/>
      <c r="M1034522" s="472"/>
    </row>
    <row r="1034523" spans="12:13" x14ac:dyDescent="0.25">
      <c r="L1034523" s="472"/>
      <c r="M1034523" s="472"/>
    </row>
    <row r="1034595" spans="12:13" x14ac:dyDescent="0.25">
      <c r="L1034595" s="472"/>
      <c r="M1034595" s="472"/>
    </row>
    <row r="1034596" spans="12:13" x14ac:dyDescent="0.25">
      <c r="L1034596" s="472"/>
      <c r="M1034596" s="472"/>
    </row>
    <row r="1034597" spans="12:13" x14ac:dyDescent="0.25">
      <c r="L1034597" s="472"/>
      <c r="M1034597" s="472"/>
    </row>
    <row r="1034669" spans="12:13" x14ac:dyDescent="0.25">
      <c r="L1034669" s="472"/>
      <c r="M1034669" s="472"/>
    </row>
    <row r="1034670" spans="12:13" x14ac:dyDescent="0.25">
      <c r="L1034670" s="472"/>
      <c r="M1034670" s="472"/>
    </row>
    <row r="1034671" spans="12:13" x14ac:dyDescent="0.25">
      <c r="L1034671" s="472"/>
      <c r="M1034671" s="472"/>
    </row>
    <row r="1034743" spans="12:13" x14ac:dyDescent="0.25">
      <c r="L1034743" s="472"/>
      <c r="M1034743" s="472"/>
    </row>
    <row r="1034744" spans="12:13" x14ac:dyDescent="0.25">
      <c r="L1034744" s="472"/>
      <c r="M1034744" s="472"/>
    </row>
    <row r="1034745" spans="12:13" x14ac:dyDescent="0.25">
      <c r="L1034745" s="472"/>
      <c r="M1034745" s="472"/>
    </row>
    <row r="1034817" spans="12:13" x14ac:dyDescent="0.25">
      <c r="L1034817" s="472"/>
      <c r="M1034817" s="472"/>
    </row>
    <row r="1034818" spans="12:13" x14ac:dyDescent="0.25">
      <c r="L1034818" s="472"/>
      <c r="M1034818" s="472"/>
    </row>
    <row r="1034819" spans="12:13" x14ac:dyDescent="0.25">
      <c r="L1034819" s="472"/>
      <c r="M1034819" s="472"/>
    </row>
    <row r="1034891" spans="12:13" x14ac:dyDescent="0.25">
      <c r="L1034891" s="472"/>
      <c r="M1034891" s="472"/>
    </row>
    <row r="1034892" spans="12:13" x14ac:dyDescent="0.25">
      <c r="L1034892" s="472"/>
      <c r="M1034892" s="472"/>
    </row>
    <row r="1034893" spans="12:13" x14ac:dyDescent="0.25">
      <c r="L1034893" s="472"/>
      <c r="M1034893" s="472"/>
    </row>
    <row r="1034965" spans="12:13" x14ac:dyDescent="0.25">
      <c r="L1034965" s="472"/>
      <c r="M1034965" s="472"/>
    </row>
    <row r="1034966" spans="12:13" x14ac:dyDescent="0.25">
      <c r="L1034966" s="472"/>
      <c r="M1034966" s="472"/>
    </row>
    <row r="1034967" spans="12:13" x14ac:dyDescent="0.25">
      <c r="L1034967" s="472"/>
      <c r="M1034967" s="472"/>
    </row>
    <row r="1035039" spans="12:13" x14ac:dyDescent="0.25">
      <c r="L1035039" s="472"/>
      <c r="M1035039" s="472"/>
    </row>
    <row r="1035040" spans="12:13" x14ac:dyDescent="0.25">
      <c r="L1035040" s="472"/>
      <c r="M1035040" s="472"/>
    </row>
    <row r="1035041" spans="12:13" x14ac:dyDescent="0.25">
      <c r="L1035041" s="472"/>
      <c r="M1035041" s="472"/>
    </row>
    <row r="1035113" spans="12:13" x14ac:dyDescent="0.25">
      <c r="L1035113" s="472"/>
      <c r="M1035113" s="472"/>
    </row>
    <row r="1035114" spans="12:13" x14ac:dyDescent="0.25">
      <c r="L1035114" s="472"/>
      <c r="M1035114" s="472"/>
    </row>
    <row r="1035115" spans="12:13" x14ac:dyDescent="0.25">
      <c r="L1035115" s="472"/>
      <c r="M1035115" s="472"/>
    </row>
    <row r="1035187" spans="12:13" x14ac:dyDescent="0.25">
      <c r="L1035187" s="472"/>
      <c r="M1035187" s="472"/>
    </row>
    <row r="1035188" spans="12:13" x14ac:dyDescent="0.25">
      <c r="L1035188" s="472"/>
      <c r="M1035188" s="472"/>
    </row>
    <row r="1035189" spans="12:13" x14ac:dyDescent="0.25">
      <c r="L1035189" s="472"/>
      <c r="M1035189" s="472"/>
    </row>
    <row r="1035261" spans="12:13" x14ac:dyDescent="0.25">
      <c r="L1035261" s="472"/>
      <c r="M1035261" s="472"/>
    </row>
    <row r="1035262" spans="12:13" x14ac:dyDescent="0.25">
      <c r="L1035262" s="472"/>
      <c r="M1035262" s="472"/>
    </row>
    <row r="1035263" spans="12:13" x14ac:dyDescent="0.25">
      <c r="L1035263" s="472"/>
      <c r="M1035263" s="472"/>
    </row>
    <row r="1035335" spans="12:13" x14ac:dyDescent="0.25">
      <c r="L1035335" s="472"/>
      <c r="M1035335" s="472"/>
    </row>
    <row r="1035336" spans="12:13" x14ac:dyDescent="0.25">
      <c r="L1035336" s="472"/>
      <c r="M1035336" s="472"/>
    </row>
    <row r="1035337" spans="12:13" x14ac:dyDescent="0.25">
      <c r="L1035337" s="472"/>
      <c r="M1035337" s="472"/>
    </row>
    <row r="1035409" spans="12:13" x14ac:dyDescent="0.25">
      <c r="L1035409" s="472"/>
      <c r="M1035409" s="472"/>
    </row>
    <row r="1035410" spans="12:13" x14ac:dyDescent="0.25">
      <c r="L1035410" s="472"/>
      <c r="M1035410" s="472"/>
    </row>
    <row r="1035411" spans="12:13" x14ac:dyDescent="0.25">
      <c r="L1035411" s="472"/>
      <c r="M1035411" s="472"/>
    </row>
    <row r="1035483" spans="12:13" x14ac:dyDescent="0.25">
      <c r="L1035483" s="472"/>
      <c r="M1035483" s="472"/>
    </row>
    <row r="1035484" spans="12:13" x14ac:dyDescent="0.25">
      <c r="L1035484" s="472"/>
      <c r="M1035484" s="472"/>
    </row>
    <row r="1035485" spans="12:13" x14ac:dyDescent="0.25">
      <c r="L1035485" s="472"/>
      <c r="M1035485" s="472"/>
    </row>
    <row r="1035557" spans="12:13" x14ac:dyDescent="0.25">
      <c r="L1035557" s="472"/>
      <c r="M1035557" s="472"/>
    </row>
    <row r="1035558" spans="12:13" x14ac:dyDescent="0.25">
      <c r="L1035558" s="472"/>
      <c r="M1035558" s="472"/>
    </row>
    <row r="1035559" spans="12:13" x14ac:dyDescent="0.25">
      <c r="L1035559" s="472"/>
      <c r="M1035559" s="472"/>
    </row>
    <row r="1035631" spans="12:13" x14ac:dyDescent="0.25">
      <c r="L1035631" s="472"/>
      <c r="M1035631" s="472"/>
    </row>
    <row r="1035632" spans="12:13" x14ac:dyDescent="0.25">
      <c r="L1035632" s="472"/>
      <c r="M1035632" s="472"/>
    </row>
    <row r="1035633" spans="12:13" x14ac:dyDescent="0.25">
      <c r="L1035633" s="472"/>
      <c r="M1035633" s="472"/>
    </row>
    <row r="1035705" spans="12:13" x14ac:dyDescent="0.25">
      <c r="L1035705" s="472"/>
      <c r="M1035705" s="472"/>
    </row>
    <row r="1035706" spans="12:13" x14ac:dyDescent="0.25">
      <c r="L1035706" s="472"/>
      <c r="M1035706" s="472"/>
    </row>
    <row r="1035707" spans="12:13" x14ac:dyDescent="0.25">
      <c r="L1035707" s="472"/>
      <c r="M1035707" s="472"/>
    </row>
    <row r="1035779" spans="12:13" x14ac:dyDescent="0.25">
      <c r="L1035779" s="472"/>
      <c r="M1035779" s="472"/>
    </row>
    <row r="1035780" spans="12:13" x14ac:dyDescent="0.25">
      <c r="L1035780" s="472"/>
      <c r="M1035780" s="472"/>
    </row>
    <row r="1035781" spans="12:13" x14ac:dyDescent="0.25">
      <c r="L1035781" s="472"/>
      <c r="M1035781" s="472"/>
    </row>
    <row r="1035853" spans="12:13" x14ac:dyDescent="0.25">
      <c r="L1035853" s="472"/>
      <c r="M1035853" s="472"/>
    </row>
    <row r="1035854" spans="12:13" x14ac:dyDescent="0.25">
      <c r="L1035854" s="472"/>
      <c r="M1035854" s="472"/>
    </row>
    <row r="1035855" spans="12:13" x14ac:dyDescent="0.25">
      <c r="L1035855" s="472"/>
      <c r="M1035855" s="472"/>
    </row>
    <row r="1035927" spans="12:13" x14ac:dyDescent="0.25">
      <c r="L1035927" s="472"/>
      <c r="M1035927" s="472"/>
    </row>
    <row r="1035928" spans="12:13" x14ac:dyDescent="0.25">
      <c r="L1035928" s="472"/>
      <c r="M1035928" s="472"/>
    </row>
    <row r="1035929" spans="12:13" x14ac:dyDescent="0.25">
      <c r="L1035929" s="472"/>
      <c r="M1035929" s="472"/>
    </row>
    <row r="1036001" spans="12:13" x14ac:dyDescent="0.25">
      <c r="L1036001" s="472"/>
      <c r="M1036001" s="472"/>
    </row>
    <row r="1036002" spans="12:13" x14ac:dyDescent="0.25">
      <c r="L1036002" s="472"/>
      <c r="M1036002" s="472"/>
    </row>
    <row r="1036003" spans="12:13" x14ac:dyDescent="0.25">
      <c r="L1036003" s="472"/>
      <c r="M1036003" s="472"/>
    </row>
    <row r="1036075" spans="12:13" x14ac:dyDescent="0.25">
      <c r="L1036075" s="472"/>
      <c r="M1036075" s="472"/>
    </row>
    <row r="1036076" spans="12:13" x14ac:dyDescent="0.25">
      <c r="L1036076" s="472"/>
      <c r="M1036076" s="472"/>
    </row>
    <row r="1036077" spans="12:13" x14ac:dyDescent="0.25">
      <c r="L1036077" s="472"/>
      <c r="M1036077" s="472"/>
    </row>
    <row r="1036149" spans="12:13" x14ac:dyDescent="0.25">
      <c r="L1036149" s="472"/>
      <c r="M1036149" s="472"/>
    </row>
    <row r="1036150" spans="12:13" x14ac:dyDescent="0.25">
      <c r="L1036150" s="472"/>
      <c r="M1036150" s="472"/>
    </row>
    <row r="1036151" spans="12:13" x14ac:dyDescent="0.25">
      <c r="L1036151" s="472"/>
      <c r="M1036151" s="472"/>
    </row>
    <row r="1036223" spans="12:13" x14ac:dyDescent="0.25">
      <c r="L1036223" s="472"/>
      <c r="M1036223" s="472"/>
    </row>
    <row r="1036224" spans="12:13" x14ac:dyDescent="0.25">
      <c r="L1036224" s="472"/>
      <c r="M1036224" s="472"/>
    </row>
    <row r="1036225" spans="12:13" x14ac:dyDescent="0.25">
      <c r="L1036225" s="472"/>
      <c r="M1036225" s="472"/>
    </row>
    <row r="1036297" spans="12:13" x14ac:dyDescent="0.25">
      <c r="L1036297" s="472"/>
      <c r="M1036297" s="472"/>
    </row>
    <row r="1036298" spans="12:13" x14ac:dyDescent="0.25">
      <c r="L1036298" s="472"/>
      <c r="M1036298" s="472"/>
    </row>
    <row r="1036299" spans="12:13" x14ac:dyDescent="0.25">
      <c r="L1036299" s="472"/>
      <c r="M1036299" s="472"/>
    </row>
    <row r="1036371" spans="12:13" x14ac:dyDescent="0.25">
      <c r="L1036371" s="472"/>
      <c r="M1036371" s="472"/>
    </row>
    <row r="1036372" spans="12:13" x14ac:dyDescent="0.25">
      <c r="L1036372" s="472"/>
      <c r="M1036372" s="472"/>
    </row>
    <row r="1036373" spans="12:13" x14ac:dyDescent="0.25">
      <c r="L1036373" s="472"/>
      <c r="M1036373" s="472"/>
    </row>
    <row r="1036445" spans="12:13" x14ac:dyDescent="0.25">
      <c r="L1036445" s="472"/>
      <c r="M1036445" s="472"/>
    </row>
    <row r="1036446" spans="12:13" x14ac:dyDescent="0.25">
      <c r="L1036446" s="472"/>
      <c r="M1036446" s="472"/>
    </row>
    <row r="1036447" spans="12:13" x14ac:dyDescent="0.25">
      <c r="L1036447" s="472"/>
      <c r="M1036447" s="472"/>
    </row>
    <row r="1036519" spans="12:13" x14ac:dyDescent="0.25">
      <c r="L1036519" s="472"/>
      <c r="M1036519" s="472"/>
    </row>
    <row r="1036520" spans="12:13" x14ac:dyDescent="0.25">
      <c r="L1036520" s="472"/>
      <c r="M1036520" s="472"/>
    </row>
    <row r="1036521" spans="12:13" x14ac:dyDescent="0.25">
      <c r="L1036521" s="472"/>
      <c r="M1036521" s="472"/>
    </row>
    <row r="1036593" spans="12:13" x14ac:dyDescent="0.25">
      <c r="L1036593" s="472"/>
      <c r="M1036593" s="472"/>
    </row>
    <row r="1036594" spans="12:13" x14ac:dyDescent="0.25">
      <c r="L1036594" s="472"/>
      <c r="M1036594" s="472"/>
    </row>
    <row r="1036595" spans="12:13" x14ac:dyDescent="0.25">
      <c r="L1036595" s="472"/>
      <c r="M1036595" s="472"/>
    </row>
    <row r="1036667" spans="12:13" x14ac:dyDescent="0.25">
      <c r="L1036667" s="472"/>
      <c r="M1036667" s="472"/>
    </row>
    <row r="1036668" spans="12:13" x14ac:dyDescent="0.25">
      <c r="L1036668" s="472"/>
      <c r="M1036668" s="472"/>
    </row>
    <row r="1036669" spans="12:13" x14ac:dyDescent="0.25">
      <c r="L1036669" s="472"/>
      <c r="M1036669" s="472"/>
    </row>
    <row r="1036741" spans="12:13" x14ac:dyDescent="0.25">
      <c r="L1036741" s="472"/>
      <c r="M1036741" s="472"/>
    </row>
    <row r="1036742" spans="12:13" x14ac:dyDescent="0.25">
      <c r="L1036742" s="472"/>
      <c r="M1036742" s="472"/>
    </row>
    <row r="1036743" spans="12:13" x14ac:dyDescent="0.25">
      <c r="L1036743" s="472"/>
      <c r="M1036743" s="472"/>
    </row>
    <row r="1036815" spans="12:13" x14ac:dyDescent="0.25">
      <c r="L1036815" s="472"/>
      <c r="M1036815" s="472"/>
    </row>
    <row r="1036816" spans="12:13" x14ac:dyDescent="0.25">
      <c r="L1036816" s="472"/>
      <c r="M1036816" s="472"/>
    </row>
    <row r="1036817" spans="12:13" x14ac:dyDescent="0.25">
      <c r="L1036817" s="472"/>
      <c r="M1036817" s="472"/>
    </row>
    <row r="1036889" spans="12:13" x14ac:dyDescent="0.25">
      <c r="L1036889" s="472"/>
      <c r="M1036889" s="472"/>
    </row>
    <row r="1036890" spans="12:13" x14ac:dyDescent="0.25">
      <c r="L1036890" s="472"/>
      <c r="M1036890" s="472"/>
    </row>
    <row r="1036891" spans="12:13" x14ac:dyDescent="0.25">
      <c r="L1036891" s="472"/>
      <c r="M1036891" s="472"/>
    </row>
    <row r="1036963" spans="12:13" x14ac:dyDescent="0.25">
      <c r="L1036963" s="472"/>
      <c r="M1036963" s="472"/>
    </row>
    <row r="1036964" spans="12:13" x14ac:dyDescent="0.25">
      <c r="L1036964" s="472"/>
      <c r="M1036964" s="472"/>
    </row>
    <row r="1036965" spans="12:13" x14ac:dyDescent="0.25">
      <c r="L1036965" s="472"/>
      <c r="M1036965" s="472"/>
    </row>
    <row r="1037037" spans="12:13" x14ac:dyDescent="0.25">
      <c r="L1037037" s="472"/>
      <c r="M1037037" s="472"/>
    </row>
    <row r="1037038" spans="12:13" x14ac:dyDescent="0.25">
      <c r="L1037038" s="472"/>
      <c r="M1037038" s="472"/>
    </row>
    <row r="1037039" spans="12:13" x14ac:dyDescent="0.25">
      <c r="L1037039" s="472"/>
      <c r="M1037039" s="472"/>
    </row>
    <row r="1037111" spans="12:13" x14ac:dyDescent="0.25">
      <c r="L1037111" s="472"/>
      <c r="M1037111" s="472"/>
    </row>
    <row r="1037112" spans="12:13" x14ac:dyDescent="0.25">
      <c r="L1037112" s="472"/>
      <c r="M1037112" s="472"/>
    </row>
    <row r="1037113" spans="12:13" x14ac:dyDescent="0.25">
      <c r="L1037113" s="472"/>
      <c r="M1037113" s="472"/>
    </row>
    <row r="1037185" spans="12:13" x14ac:dyDescent="0.25">
      <c r="L1037185" s="472"/>
      <c r="M1037185" s="472"/>
    </row>
    <row r="1037186" spans="12:13" x14ac:dyDescent="0.25">
      <c r="L1037186" s="472"/>
      <c r="M1037186" s="472"/>
    </row>
    <row r="1037187" spans="12:13" x14ac:dyDescent="0.25">
      <c r="L1037187" s="472"/>
      <c r="M1037187" s="472"/>
    </row>
    <row r="1037259" spans="12:13" x14ac:dyDescent="0.25">
      <c r="L1037259" s="472"/>
      <c r="M1037259" s="472"/>
    </row>
    <row r="1037260" spans="12:13" x14ac:dyDescent="0.25">
      <c r="L1037260" s="472"/>
      <c r="M1037260" s="472"/>
    </row>
    <row r="1037261" spans="12:13" x14ac:dyDescent="0.25">
      <c r="L1037261" s="472"/>
      <c r="M1037261" s="472"/>
    </row>
    <row r="1037333" spans="12:13" x14ac:dyDescent="0.25">
      <c r="L1037333" s="472"/>
      <c r="M1037333" s="472"/>
    </row>
    <row r="1037334" spans="12:13" x14ac:dyDescent="0.25">
      <c r="L1037334" s="472"/>
      <c r="M1037334" s="472"/>
    </row>
    <row r="1037335" spans="12:13" x14ac:dyDescent="0.25">
      <c r="L1037335" s="472"/>
      <c r="M1037335" s="472"/>
    </row>
    <row r="1037407" spans="12:13" x14ac:dyDescent="0.25">
      <c r="L1037407" s="472"/>
      <c r="M1037407" s="472"/>
    </row>
    <row r="1037408" spans="12:13" x14ac:dyDescent="0.25">
      <c r="L1037408" s="472"/>
      <c r="M1037408" s="472"/>
    </row>
    <row r="1037409" spans="12:13" x14ac:dyDescent="0.25">
      <c r="L1037409" s="472"/>
      <c r="M1037409" s="472"/>
    </row>
    <row r="1037481" spans="12:13" x14ac:dyDescent="0.25">
      <c r="L1037481" s="472"/>
      <c r="M1037481" s="472"/>
    </row>
    <row r="1037482" spans="12:13" x14ac:dyDescent="0.25">
      <c r="L1037482" s="472"/>
      <c r="M1037482" s="472"/>
    </row>
    <row r="1037483" spans="12:13" x14ac:dyDescent="0.25">
      <c r="L1037483" s="472"/>
      <c r="M1037483" s="472"/>
    </row>
    <row r="1037555" spans="12:13" x14ac:dyDescent="0.25">
      <c r="L1037555" s="472"/>
      <c r="M1037555" s="472"/>
    </row>
    <row r="1037556" spans="12:13" x14ac:dyDescent="0.25">
      <c r="L1037556" s="472"/>
      <c r="M1037556" s="472"/>
    </row>
    <row r="1037557" spans="12:13" x14ac:dyDescent="0.25">
      <c r="L1037557" s="472"/>
      <c r="M1037557" s="472"/>
    </row>
    <row r="1037629" spans="12:13" x14ac:dyDescent="0.25">
      <c r="L1037629" s="472"/>
      <c r="M1037629" s="472"/>
    </row>
    <row r="1037630" spans="12:13" x14ac:dyDescent="0.25">
      <c r="L1037630" s="472"/>
      <c r="M1037630" s="472"/>
    </row>
    <row r="1037631" spans="12:13" x14ac:dyDescent="0.25">
      <c r="L1037631" s="472"/>
      <c r="M1037631" s="472"/>
    </row>
    <row r="1037703" spans="12:13" x14ac:dyDescent="0.25">
      <c r="L1037703" s="472"/>
      <c r="M1037703" s="472"/>
    </row>
    <row r="1037704" spans="12:13" x14ac:dyDescent="0.25">
      <c r="L1037704" s="472"/>
      <c r="M1037704" s="472"/>
    </row>
    <row r="1037705" spans="12:13" x14ac:dyDescent="0.25">
      <c r="L1037705" s="472"/>
      <c r="M1037705" s="472"/>
    </row>
    <row r="1037777" spans="12:13" x14ac:dyDescent="0.25">
      <c r="L1037777" s="472"/>
      <c r="M1037777" s="472"/>
    </row>
    <row r="1037778" spans="12:13" x14ac:dyDescent="0.25">
      <c r="L1037778" s="472"/>
      <c r="M1037778" s="472"/>
    </row>
    <row r="1037779" spans="12:13" x14ac:dyDescent="0.25">
      <c r="L1037779" s="472"/>
      <c r="M1037779" s="472"/>
    </row>
    <row r="1037851" spans="12:13" x14ac:dyDescent="0.25">
      <c r="L1037851" s="472"/>
      <c r="M1037851" s="472"/>
    </row>
    <row r="1037852" spans="12:13" x14ac:dyDescent="0.25">
      <c r="L1037852" s="472"/>
      <c r="M1037852" s="472"/>
    </row>
    <row r="1037853" spans="12:13" x14ac:dyDescent="0.25">
      <c r="L1037853" s="472"/>
      <c r="M1037853" s="472"/>
    </row>
    <row r="1037925" spans="12:13" x14ac:dyDescent="0.25">
      <c r="L1037925" s="472"/>
      <c r="M1037925" s="472"/>
    </row>
    <row r="1037926" spans="12:13" x14ac:dyDescent="0.25">
      <c r="L1037926" s="472"/>
      <c r="M1037926" s="472"/>
    </row>
    <row r="1037927" spans="12:13" x14ac:dyDescent="0.25">
      <c r="L1037927" s="472"/>
      <c r="M1037927" s="472"/>
    </row>
    <row r="1037999" spans="12:13" x14ac:dyDescent="0.25">
      <c r="L1037999" s="472"/>
      <c r="M1037999" s="472"/>
    </row>
    <row r="1038000" spans="12:13" x14ac:dyDescent="0.25">
      <c r="L1038000" s="472"/>
      <c r="M1038000" s="472"/>
    </row>
    <row r="1038001" spans="12:13" x14ac:dyDescent="0.25">
      <c r="L1038001" s="472"/>
      <c r="M1038001" s="472"/>
    </row>
    <row r="1038073" spans="12:13" x14ac:dyDescent="0.25">
      <c r="L1038073" s="472"/>
      <c r="M1038073" s="472"/>
    </row>
    <row r="1038074" spans="12:13" x14ac:dyDescent="0.25">
      <c r="L1038074" s="472"/>
      <c r="M1038074" s="472"/>
    </row>
    <row r="1038075" spans="12:13" x14ac:dyDescent="0.25">
      <c r="L1038075" s="472"/>
      <c r="M1038075" s="472"/>
    </row>
    <row r="1038147" spans="12:13" x14ac:dyDescent="0.25">
      <c r="L1038147" s="472"/>
      <c r="M1038147" s="472"/>
    </row>
    <row r="1038148" spans="12:13" x14ac:dyDescent="0.25">
      <c r="L1038148" s="472"/>
      <c r="M1038148" s="472"/>
    </row>
    <row r="1038149" spans="12:13" x14ac:dyDescent="0.25">
      <c r="L1038149" s="472"/>
      <c r="M1038149" s="472"/>
    </row>
    <row r="1038221" spans="12:13" x14ac:dyDescent="0.25">
      <c r="L1038221" s="472"/>
      <c r="M1038221" s="472"/>
    </row>
    <row r="1038222" spans="12:13" x14ac:dyDescent="0.25">
      <c r="L1038222" s="472"/>
      <c r="M1038222" s="472"/>
    </row>
    <row r="1038223" spans="12:13" x14ac:dyDescent="0.25">
      <c r="L1038223" s="472"/>
      <c r="M1038223" s="472"/>
    </row>
    <row r="1038295" spans="12:13" x14ac:dyDescent="0.25">
      <c r="L1038295" s="472"/>
      <c r="M1038295" s="472"/>
    </row>
    <row r="1038296" spans="12:13" x14ac:dyDescent="0.25">
      <c r="L1038296" s="472"/>
      <c r="M1038296" s="472"/>
    </row>
    <row r="1038297" spans="12:13" x14ac:dyDescent="0.25">
      <c r="L1038297" s="472"/>
      <c r="M1038297" s="472"/>
    </row>
    <row r="1038369" spans="12:13" x14ac:dyDescent="0.25">
      <c r="L1038369" s="472"/>
      <c r="M1038369" s="472"/>
    </row>
    <row r="1038370" spans="12:13" x14ac:dyDescent="0.25">
      <c r="L1038370" s="472"/>
      <c r="M1038370" s="472"/>
    </row>
    <row r="1038371" spans="12:13" x14ac:dyDescent="0.25">
      <c r="L1038371" s="472"/>
      <c r="M1038371" s="472"/>
    </row>
    <row r="1038443" spans="12:13" x14ac:dyDescent="0.25">
      <c r="L1038443" s="472"/>
      <c r="M1038443" s="472"/>
    </row>
    <row r="1038444" spans="12:13" x14ac:dyDescent="0.25">
      <c r="L1038444" s="472"/>
      <c r="M1038444" s="472"/>
    </row>
    <row r="1038445" spans="12:13" x14ac:dyDescent="0.25">
      <c r="L1038445" s="472"/>
      <c r="M1038445" s="472"/>
    </row>
    <row r="1038517" spans="12:13" x14ac:dyDescent="0.25">
      <c r="L1038517" s="472"/>
      <c r="M1038517" s="472"/>
    </row>
    <row r="1038518" spans="12:13" x14ac:dyDescent="0.25">
      <c r="L1038518" s="472"/>
      <c r="M1038518" s="472"/>
    </row>
    <row r="1038519" spans="12:13" x14ac:dyDescent="0.25">
      <c r="L1038519" s="472"/>
      <c r="M1038519" s="472"/>
    </row>
    <row r="1038591" spans="12:13" x14ac:dyDescent="0.25">
      <c r="L1038591" s="472"/>
      <c r="M1038591" s="472"/>
    </row>
    <row r="1038592" spans="12:13" x14ac:dyDescent="0.25">
      <c r="L1038592" s="472"/>
      <c r="M1038592" s="472"/>
    </row>
    <row r="1038593" spans="12:13" x14ac:dyDescent="0.25">
      <c r="L1038593" s="472"/>
      <c r="M1038593" s="472"/>
    </row>
    <row r="1038665" spans="12:13" x14ac:dyDescent="0.25">
      <c r="L1038665" s="472"/>
      <c r="M1038665" s="472"/>
    </row>
    <row r="1038666" spans="12:13" x14ac:dyDescent="0.25">
      <c r="L1038666" s="472"/>
      <c r="M1038666" s="472"/>
    </row>
    <row r="1038667" spans="12:13" x14ac:dyDescent="0.25">
      <c r="L1038667" s="472"/>
      <c r="M1038667" s="472"/>
    </row>
    <row r="1038739" spans="12:13" x14ac:dyDescent="0.25">
      <c r="L1038739" s="472"/>
      <c r="M1038739" s="472"/>
    </row>
    <row r="1038740" spans="12:13" x14ac:dyDescent="0.25">
      <c r="L1038740" s="472"/>
      <c r="M1038740" s="472"/>
    </row>
    <row r="1038741" spans="12:13" x14ac:dyDescent="0.25">
      <c r="L1038741" s="472"/>
      <c r="M1038741" s="472"/>
    </row>
    <row r="1038813" spans="12:13" x14ac:dyDescent="0.25">
      <c r="L1038813" s="472"/>
      <c r="M1038813" s="472"/>
    </row>
    <row r="1038814" spans="12:13" x14ac:dyDescent="0.25">
      <c r="L1038814" s="472"/>
      <c r="M1038814" s="472"/>
    </row>
    <row r="1038815" spans="12:13" x14ac:dyDescent="0.25">
      <c r="L1038815" s="472"/>
      <c r="M1038815" s="472"/>
    </row>
    <row r="1038887" spans="12:13" x14ac:dyDescent="0.25">
      <c r="L1038887" s="472"/>
      <c r="M1038887" s="472"/>
    </row>
    <row r="1038888" spans="12:13" x14ac:dyDescent="0.25">
      <c r="L1038888" s="472"/>
      <c r="M1038888" s="472"/>
    </row>
    <row r="1038889" spans="12:13" x14ac:dyDescent="0.25">
      <c r="L1038889" s="472"/>
      <c r="M1038889" s="472"/>
    </row>
    <row r="1038961" spans="12:13" x14ac:dyDescent="0.25">
      <c r="L1038961" s="472"/>
      <c r="M1038961" s="472"/>
    </row>
    <row r="1038962" spans="12:13" x14ac:dyDescent="0.25">
      <c r="L1038962" s="472"/>
      <c r="M1038962" s="472"/>
    </row>
    <row r="1038963" spans="12:13" x14ac:dyDescent="0.25">
      <c r="L1038963" s="472"/>
      <c r="M1038963" s="472"/>
    </row>
    <row r="1039035" spans="12:13" x14ac:dyDescent="0.25">
      <c r="L1039035" s="472"/>
      <c r="M1039035" s="472"/>
    </row>
    <row r="1039036" spans="12:13" x14ac:dyDescent="0.25">
      <c r="L1039036" s="472"/>
      <c r="M1039036" s="472"/>
    </row>
    <row r="1039037" spans="12:13" x14ac:dyDescent="0.25">
      <c r="L1039037" s="472"/>
      <c r="M1039037" s="472"/>
    </row>
    <row r="1039109" spans="12:13" x14ac:dyDescent="0.25">
      <c r="L1039109" s="472"/>
      <c r="M1039109" s="472"/>
    </row>
    <row r="1039110" spans="12:13" x14ac:dyDescent="0.25">
      <c r="L1039110" s="472"/>
      <c r="M1039110" s="472"/>
    </row>
    <row r="1039111" spans="12:13" x14ac:dyDescent="0.25">
      <c r="L1039111" s="472"/>
      <c r="M1039111" s="472"/>
    </row>
    <row r="1039183" spans="12:13" x14ac:dyDescent="0.25">
      <c r="L1039183" s="472"/>
      <c r="M1039183" s="472"/>
    </row>
    <row r="1039184" spans="12:13" x14ac:dyDescent="0.25">
      <c r="L1039184" s="472"/>
      <c r="M1039184" s="472"/>
    </row>
    <row r="1039185" spans="12:13" x14ac:dyDescent="0.25">
      <c r="L1039185" s="472"/>
      <c r="M1039185" s="472"/>
    </row>
    <row r="1039257" spans="12:13" x14ac:dyDescent="0.25">
      <c r="L1039257" s="472"/>
      <c r="M1039257" s="472"/>
    </row>
    <row r="1039258" spans="12:13" x14ac:dyDescent="0.25">
      <c r="L1039258" s="472"/>
      <c r="M1039258" s="472"/>
    </row>
    <row r="1039259" spans="12:13" x14ac:dyDescent="0.25">
      <c r="L1039259" s="472"/>
      <c r="M1039259" s="472"/>
    </row>
    <row r="1039331" spans="12:13" x14ac:dyDescent="0.25">
      <c r="L1039331" s="472"/>
      <c r="M1039331" s="472"/>
    </row>
    <row r="1039332" spans="12:13" x14ac:dyDescent="0.25">
      <c r="L1039332" s="472"/>
      <c r="M1039332" s="472"/>
    </row>
    <row r="1039333" spans="12:13" x14ac:dyDescent="0.25">
      <c r="L1039333" s="472"/>
      <c r="M1039333" s="472"/>
    </row>
    <row r="1039405" spans="12:13" x14ac:dyDescent="0.25">
      <c r="L1039405" s="472"/>
      <c r="M1039405" s="472"/>
    </row>
    <row r="1039406" spans="12:13" x14ac:dyDescent="0.25">
      <c r="L1039406" s="472"/>
      <c r="M1039406" s="472"/>
    </row>
    <row r="1039407" spans="12:13" x14ac:dyDescent="0.25">
      <c r="L1039407" s="472"/>
      <c r="M1039407" s="472"/>
    </row>
    <row r="1039479" spans="12:13" x14ac:dyDescent="0.25">
      <c r="L1039479" s="472"/>
      <c r="M1039479" s="472"/>
    </row>
    <row r="1039480" spans="12:13" x14ac:dyDescent="0.25">
      <c r="L1039480" s="472"/>
      <c r="M1039480" s="472"/>
    </row>
    <row r="1039481" spans="12:13" x14ac:dyDescent="0.25">
      <c r="L1039481" s="472"/>
      <c r="M1039481" s="472"/>
    </row>
    <row r="1039553" spans="12:13" x14ac:dyDescent="0.25">
      <c r="L1039553" s="472"/>
      <c r="M1039553" s="472"/>
    </row>
    <row r="1039554" spans="12:13" x14ac:dyDescent="0.25">
      <c r="L1039554" s="472"/>
      <c r="M1039554" s="472"/>
    </row>
    <row r="1039555" spans="12:13" x14ac:dyDescent="0.25">
      <c r="L1039555" s="472"/>
      <c r="M1039555" s="472"/>
    </row>
    <row r="1039627" spans="12:13" x14ac:dyDescent="0.25">
      <c r="L1039627" s="472"/>
      <c r="M1039627" s="472"/>
    </row>
    <row r="1039628" spans="12:13" x14ac:dyDescent="0.25">
      <c r="L1039628" s="472"/>
      <c r="M1039628" s="472"/>
    </row>
    <row r="1039629" spans="12:13" x14ac:dyDescent="0.25">
      <c r="L1039629" s="472"/>
      <c r="M1039629" s="472"/>
    </row>
    <row r="1039701" spans="12:13" x14ac:dyDescent="0.25">
      <c r="L1039701" s="472"/>
      <c r="M1039701" s="472"/>
    </row>
    <row r="1039702" spans="12:13" x14ac:dyDescent="0.25">
      <c r="L1039702" s="472"/>
      <c r="M1039702" s="472"/>
    </row>
    <row r="1039703" spans="12:13" x14ac:dyDescent="0.25">
      <c r="L1039703" s="472"/>
      <c r="M1039703" s="472"/>
    </row>
    <row r="1039775" spans="12:13" x14ac:dyDescent="0.25">
      <c r="L1039775" s="472"/>
      <c r="M1039775" s="472"/>
    </row>
    <row r="1039776" spans="12:13" x14ac:dyDescent="0.25">
      <c r="L1039776" s="472"/>
      <c r="M1039776" s="472"/>
    </row>
    <row r="1039777" spans="12:13" x14ac:dyDescent="0.25">
      <c r="L1039777" s="472"/>
      <c r="M1039777" s="472"/>
    </row>
    <row r="1039849" spans="12:13" x14ac:dyDescent="0.25">
      <c r="L1039849" s="472"/>
      <c r="M1039849" s="472"/>
    </row>
    <row r="1039850" spans="12:13" x14ac:dyDescent="0.25">
      <c r="L1039850" s="472"/>
      <c r="M1039850" s="472"/>
    </row>
    <row r="1039851" spans="12:13" x14ac:dyDescent="0.25">
      <c r="L1039851" s="472"/>
      <c r="M1039851" s="472"/>
    </row>
    <row r="1039923" spans="12:13" x14ac:dyDescent="0.25">
      <c r="L1039923" s="472"/>
      <c r="M1039923" s="472"/>
    </row>
    <row r="1039924" spans="12:13" x14ac:dyDescent="0.25">
      <c r="L1039924" s="472"/>
      <c r="M1039924" s="472"/>
    </row>
    <row r="1039925" spans="12:13" x14ac:dyDescent="0.25">
      <c r="L1039925" s="472"/>
      <c r="M1039925" s="472"/>
    </row>
    <row r="1039997" spans="12:13" x14ac:dyDescent="0.25">
      <c r="L1039997" s="472"/>
      <c r="M1039997" s="472"/>
    </row>
    <row r="1039998" spans="12:13" x14ac:dyDescent="0.25">
      <c r="L1039998" s="472"/>
      <c r="M1039998" s="472"/>
    </row>
    <row r="1039999" spans="12:13" x14ac:dyDescent="0.25">
      <c r="L1039999" s="472"/>
      <c r="M1039999" s="472"/>
    </row>
    <row r="1040071" spans="12:13" x14ac:dyDescent="0.25">
      <c r="L1040071" s="472"/>
      <c r="M1040071" s="472"/>
    </row>
    <row r="1040072" spans="12:13" x14ac:dyDescent="0.25">
      <c r="L1040072" s="472"/>
      <c r="M1040072" s="472"/>
    </row>
    <row r="1040073" spans="12:13" x14ac:dyDescent="0.25">
      <c r="L1040073" s="472"/>
      <c r="M1040073" s="472"/>
    </row>
    <row r="1040145" spans="12:13" x14ac:dyDescent="0.25">
      <c r="L1040145" s="472"/>
      <c r="M1040145" s="472"/>
    </row>
    <row r="1040146" spans="12:13" x14ac:dyDescent="0.25">
      <c r="L1040146" s="472"/>
      <c r="M1040146" s="472"/>
    </row>
    <row r="1040147" spans="12:13" x14ac:dyDescent="0.25">
      <c r="L1040147" s="472"/>
      <c r="M1040147" s="472"/>
    </row>
    <row r="1040219" spans="12:13" x14ac:dyDescent="0.25">
      <c r="L1040219" s="472"/>
      <c r="M1040219" s="472"/>
    </row>
    <row r="1040220" spans="12:13" x14ac:dyDescent="0.25">
      <c r="L1040220" s="472"/>
      <c r="M1040220" s="472"/>
    </row>
    <row r="1040221" spans="12:13" x14ac:dyDescent="0.25">
      <c r="L1040221" s="472"/>
      <c r="M1040221" s="472"/>
    </row>
    <row r="1040293" spans="12:13" x14ac:dyDescent="0.25">
      <c r="L1040293" s="472"/>
      <c r="M1040293" s="472"/>
    </row>
    <row r="1040294" spans="12:13" x14ac:dyDescent="0.25">
      <c r="L1040294" s="472"/>
      <c r="M1040294" s="472"/>
    </row>
    <row r="1040295" spans="12:13" x14ac:dyDescent="0.25">
      <c r="L1040295" s="472"/>
      <c r="M1040295" s="472"/>
    </row>
    <row r="1040367" spans="12:13" x14ac:dyDescent="0.25">
      <c r="L1040367" s="472"/>
      <c r="M1040367" s="472"/>
    </row>
    <row r="1040368" spans="12:13" x14ac:dyDescent="0.25">
      <c r="L1040368" s="472"/>
      <c r="M1040368" s="472"/>
    </row>
    <row r="1040369" spans="12:13" x14ac:dyDescent="0.25">
      <c r="L1040369" s="472"/>
      <c r="M1040369" s="472"/>
    </row>
    <row r="1040441" spans="12:13" x14ac:dyDescent="0.25">
      <c r="L1040441" s="472"/>
      <c r="M1040441" s="472"/>
    </row>
    <row r="1040442" spans="12:13" x14ac:dyDescent="0.25">
      <c r="L1040442" s="472"/>
      <c r="M1040442" s="472"/>
    </row>
    <row r="1040443" spans="12:13" x14ac:dyDescent="0.25">
      <c r="L1040443" s="472"/>
      <c r="M1040443" s="472"/>
    </row>
    <row r="1040515" spans="12:13" x14ac:dyDescent="0.25">
      <c r="L1040515" s="472"/>
      <c r="M1040515" s="472"/>
    </row>
    <row r="1040516" spans="12:13" x14ac:dyDescent="0.25">
      <c r="L1040516" s="472"/>
      <c r="M1040516" s="472"/>
    </row>
    <row r="1040517" spans="12:13" x14ac:dyDescent="0.25">
      <c r="L1040517" s="472"/>
      <c r="M1040517" s="472"/>
    </row>
    <row r="1040589" spans="12:13" x14ac:dyDescent="0.25">
      <c r="L1040589" s="472"/>
      <c r="M1040589" s="472"/>
    </row>
    <row r="1040590" spans="12:13" x14ac:dyDescent="0.25">
      <c r="L1040590" s="472"/>
      <c r="M1040590" s="472"/>
    </row>
    <row r="1040591" spans="12:13" x14ac:dyDescent="0.25">
      <c r="L1040591" s="472"/>
      <c r="M1040591" s="472"/>
    </row>
    <row r="1040663" spans="12:13" x14ac:dyDescent="0.25">
      <c r="L1040663" s="472"/>
      <c r="M1040663" s="472"/>
    </row>
    <row r="1040664" spans="12:13" x14ac:dyDescent="0.25">
      <c r="L1040664" s="472"/>
      <c r="M1040664" s="472"/>
    </row>
    <row r="1040665" spans="12:13" x14ac:dyDescent="0.25">
      <c r="L1040665" s="472"/>
      <c r="M1040665" s="472"/>
    </row>
    <row r="1040737" spans="12:13" x14ac:dyDescent="0.25">
      <c r="L1040737" s="472"/>
      <c r="M1040737" s="472"/>
    </row>
    <row r="1040738" spans="12:13" x14ac:dyDescent="0.25">
      <c r="L1040738" s="472"/>
      <c r="M1040738" s="472"/>
    </row>
    <row r="1040739" spans="12:13" x14ac:dyDescent="0.25">
      <c r="L1040739" s="472"/>
      <c r="M1040739" s="472"/>
    </row>
    <row r="1040811" spans="12:13" x14ac:dyDescent="0.25">
      <c r="L1040811" s="472"/>
      <c r="M1040811" s="472"/>
    </row>
    <row r="1040812" spans="12:13" x14ac:dyDescent="0.25">
      <c r="L1040812" s="472"/>
      <c r="M1040812" s="472"/>
    </row>
    <row r="1040813" spans="12:13" x14ac:dyDescent="0.25">
      <c r="L1040813" s="472"/>
      <c r="M1040813" s="472"/>
    </row>
    <row r="1040885" spans="12:13" x14ac:dyDescent="0.25">
      <c r="L1040885" s="472"/>
      <c r="M1040885" s="472"/>
    </row>
    <row r="1040886" spans="12:13" x14ac:dyDescent="0.25">
      <c r="L1040886" s="472"/>
      <c r="M1040886" s="472"/>
    </row>
    <row r="1040887" spans="12:13" x14ac:dyDescent="0.25">
      <c r="L1040887" s="472"/>
      <c r="M1040887" s="472"/>
    </row>
    <row r="1040959" spans="12:13" x14ac:dyDescent="0.25">
      <c r="L1040959" s="472"/>
      <c r="M1040959" s="472"/>
    </row>
    <row r="1040960" spans="12:13" x14ac:dyDescent="0.25">
      <c r="L1040960" s="472"/>
      <c r="M1040960" s="472"/>
    </row>
    <row r="1040961" spans="12:13" x14ac:dyDescent="0.25">
      <c r="L1040961" s="472"/>
      <c r="M1040961" s="472"/>
    </row>
    <row r="1041033" spans="12:13" x14ac:dyDescent="0.25">
      <c r="L1041033" s="472"/>
      <c r="M1041033" s="472"/>
    </row>
    <row r="1041034" spans="12:13" x14ac:dyDescent="0.25">
      <c r="L1041034" s="472"/>
      <c r="M1041034" s="472"/>
    </row>
    <row r="1041035" spans="12:13" x14ac:dyDescent="0.25">
      <c r="L1041035" s="472"/>
      <c r="M1041035" s="472"/>
    </row>
    <row r="1041107" spans="12:13" x14ac:dyDescent="0.25">
      <c r="L1041107" s="472"/>
      <c r="M1041107" s="472"/>
    </row>
    <row r="1041108" spans="12:13" x14ac:dyDescent="0.25">
      <c r="L1041108" s="472"/>
      <c r="M1041108" s="472"/>
    </row>
    <row r="1041109" spans="12:13" x14ac:dyDescent="0.25">
      <c r="L1041109" s="472"/>
      <c r="M1041109" s="472"/>
    </row>
    <row r="1041181" spans="12:13" x14ac:dyDescent="0.25">
      <c r="L1041181" s="472"/>
      <c r="M1041181" s="472"/>
    </row>
    <row r="1041182" spans="12:13" x14ac:dyDescent="0.25">
      <c r="L1041182" s="472"/>
      <c r="M1041182" s="472"/>
    </row>
    <row r="1041183" spans="12:13" x14ac:dyDescent="0.25">
      <c r="L1041183" s="472"/>
      <c r="M1041183" s="472"/>
    </row>
    <row r="1041255" spans="12:13" x14ac:dyDescent="0.25">
      <c r="L1041255" s="472"/>
      <c r="M1041255" s="472"/>
    </row>
    <row r="1041256" spans="12:13" x14ac:dyDescent="0.25">
      <c r="L1041256" s="472"/>
      <c r="M1041256" s="472"/>
    </row>
    <row r="1041257" spans="12:13" x14ac:dyDescent="0.25">
      <c r="L1041257" s="472"/>
      <c r="M1041257" s="472"/>
    </row>
    <row r="1041329" spans="12:13" x14ac:dyDescent="0.25">
      <c r="L1041329" s="472"/>
      <c r="M1041329" s="472"/>
    </row>
    <row r="1041330" spans="12:13" x14ac:dyDescent="0.25">
      <c r="L1041330" s="472"/>
      <c r="M1041330" s="472"/>
    </row>
    <row r="1041331" spans="12:13" x14ac:dyDescent="0.25">
      <c r="L1041331" s="472"/>
      <c r="M1041331" s="472"/>
    </row>
    <row r="1041403" spans="12:13" x14ac:dyDescent="0.25">
      <c r="L1041403" s="472"/>
      <c r="M1041403" s="472"/>
    </row>
    <row r="1041404" spans="12:13" x14ac:dyDescent="0.25">
      <c r="L1041404" s="472"/>
      <c r="M1041404" s="472"/>
    </row>
    <row r="1041405" spans="12:13" x14ac:dyDescent="0.25">
      <c r="L1041405" s="472"/>
      <c r="M1041405" s="472"/>
    </row>
    <row r="1041477" spans="12:13" x14ac:dyDescent="0.25">
      <c r="L1041477" s="472"/>
      <c r="M1041477" s="472"/>
    </row>
    <row r="1041478" spans="12:13" x14ac:dyDescent="0.25">
      <c r="L1041478" s="472"/>
      <c r="M1041478" s="472"/>
    </row>
    <row r="1041479" spans="12:13" x14ac:dyDescent="0.25">
      <c r="L1041479" s="472"/>
      <c r="M1041479" s="472"/>
    </row>
    <row r="1041551" spans="12:13" x14ac:dyDescent="0.25">
      <c r="L1041551" s="472"/>
      <c r="M1041551" s="472"/>
    </row>
    <row r="1041552" spans="12:13" x14ac:dyDescent="0.25">
      <c r="L1041552" s="472"/>
      <c r="M1041552" s="472"/>
    </row>
    <row r="1041553" spans="12:13" x14ac:dyDescent="0.25">
      <c r="L1041553" s="472"/>
      <c r="M1041553" s="472"/>
    </row>
    <row r="1041625" spans="12:13" x14ac:dyDescent="0.25">
      <c r="L1041625" s="472"/>
      <c r="M1041625" s="472"/>
    </row>
    <row r="1041626" spans="12:13" x14ac:dyDescent="0.25">
      <c r="L1041626" s="472"/>
      <c r="M1041626" s="472"/>
    </row>
    <row r="1041627" spans="12:13" x14ac:dyDescent="0.25">
      <c r="L1041627" s="472"/>
      <c r="M1041627" s="472"/>
    </row>
    <row r="1041699" spans="12:13" x14ac:dyDescent="0.25">
      <c r="L1041699" s="472"/>
      <c r="M1041699" s="472"/>
    </row>
    <row r="1041700" spans="12:13" x14ac:dyDescent="0.25">
      <c r="L1041700" s="472"/>
      <c r="M1041700" s="472"/>
    </row>
    <row r="1041701" spans="12:13" x14ac:dyDescent="0.25">
      <c r="L1041701" s="472"/>
      <c r="M1041701" s="472"/>
    </row>
    <row r="1041773" spans="12:13" x14ac:dyDescent="0.25">
      <c r="L1041773" s="472"/>
      <c r="M1041773" s="472"/>
    </row>
    <row r="1041774" spans="12:13" x14ac:dyDescent="0.25">
      <c r="L1041774" s="472"/>
      <c r="M1041774" s="472"/>
    </row>
    <row r="1041775" spans="12:13" x14ac:dyDescent="0.25">
      <c r="L1041775" s="472"/>
      <c r="M1041775" s="472"/>
    </row>
    <row r="1041847" spans="12:13" x14ac:dyDescent="0.25">
      <c r="L1041847" s="472"/>
      <c r="M1041847" s="472"/>
    </row>
    <row r="1041848" spans="12:13" x14ac:dyDescent="0.25">
      <c r="L1041848" s="472"/>
      <c r="M1041848" s="472"/>
    </row>
    <row r="1041849" spans="12:13" x14ac:dyDescent="0.25">
      <c r="L1041849" s="472"/>
      <c r="M1041849" s="472"/>
    </row>
    <row r="1041921" spans="12:13" x14ac:dyDescent="0.25">
      <c r="L1041921" s="472"/>
      <c r="M1041921" s="472"/>
    </row>
    <row r="1041922" spans="12:13" x14ac:dyDescent="0.25">
      <c r="L1041922" s="472"/>
      <c r="M1041922" s="472"/>
    </row>
    <row r="1041923" spans="12:13" x14ac:dyDescent="0.25">
      <c r="L1041923" s="472"/>
      <c r="M1041923" s="472"/>
    </row>
    <row r="1041995" spans="12:13" x14ac:dyDescent="0.25">
      <c r="L1041995" s="472"/>
      <c r="M1041995" s="472"/>
    </row>
    <row r="1041996" spans="12:13" x14ac:dyDescent="0.25">
      <c r="L1041996" s="472"/>
      <c r="M1041996" s="472"/>
    </row>
    <row r="1041997" spans="12:13" x14ac:dyDescent="0.25">
      <c r="L1041997" s="472"/>
      <c r="M1041997" s="472"/>
    </row>
    <row r="1042069" spans="12:13" x14ac:dyDescent="0.25">
      <c r="L1042069" s="472"/>
      <c r="M1042069" s="472"/>
    </row>
    <row r="1042070" spans="12:13" x14ac:dyDescent="0.25">
      <c r="L1042070" s="472"/>
      <c r="M1042070" s="472"/>
    </row>
    <row r="1042071" spans="12:13" x14ac:dyDescent="0.25">
      <c r="L1042071" s="472"/>
      <c r="M1042071" s="472"/>
    </row>
    <row r="1042143" spans="12:13" x14ac:dyDescent="0.25">
      <c r="L1042143" s="472"/>
      <c r="M1042143" s="472"/>
    </row>
    <row r="1042144" spans="12:13" x14ac:dyDescent="0.25">
      <c r="L1042144" s="472"/>
      <c r="M1042144" s="472"/>
    </row>
    <row r="1042145" spans="12:13" x14ac:dyDescent="0.25">
      <c r="L1042145" s="472"/>
      <c r="M1042145" s="472"/>
    </row>
    <row r="1042217" spans="12:13" x14ac:dyDescent="0.25">
      <c r="L1042217" s="472"/>
      <c r="M1042217" s="472"/>
    </row>
    <row r="1042218" spans="12:13" x14ac:dyDescent="0.25">
      <c r="L1042218" s="472"/>
      <c r="M1042218" s="472"/>
    </row>
    <row r="1042219" spans="12:13" x14ac:dyDescent="0.25">
      <c r="L1042219" s="472"/>
      <c r="M1042219" s="472"/>
    </row>
    <row r="1042291" spans="12:13" x14ac:dyDescent="0.25">
      <c r="L1042291" s="472"/>
      <c r="M1042291" s="472"/>
    </row>
    <row r="1042292" spans="12:13" x14ac:dyDescent="0.25">
      <c r="L1042292" s="472"/>
      <c r="M1042292" s="472"/>
    </row>
    <row r="1042293" spans="12:13" x14ac:dyDescent="0.25">
      <c r="L1042293" s="472"/>
      <c r="M1042293" s="472"/>
    </row>
    <row r="1042365" spans="12:13" x14ac:dyDescent="0.25">
      <c r="L1042365" s="472"/>
      <c r="M1042365" s="472"/>
    </row>
    <row r="1042366" spans="12:13" x14ac:dyDescent="0.25">
      <c r="L1042366" s="472"/>
      <c r="M1042366" s="472"/>
    </row>
    <row r="1042367" spans="12:13" x14ac:dyDescent="0.25">
      <c r="L1042367" s="472"/>
      <c r="M1042367" s="472"/>
    </row>
    <row r="1042439" spans="12:13" x14ac:dyDescent="0.25">
      <c r="L1042439" s="472"/>
      <c r="M1042439" s="472"/>
    </row>
    <row r="1042440" spans="12:13" x14ac:dyDescent="0.25">
      <c r="L1042440" s="472"/>
      <c r="M1042440" s="472"/>
    </row>
    <row r="1042441" spans="12:13" x14ac:dyDescent="0.25">
      <c r="L1042441" s="472"/>
      <c r="M1042441" s="472"/>
    </row>
    <row r="1042513" spans="12:13" x14ac:dyDescent="0.25">
      <c r="L1042513" s="472"/>
      <c r="M1042513" s="472"/>
    </row>
    <row r="1042514" spans="12:13" x14ac:dyDescent="0.25">
      <c r="L1042514" s="472"/>
      <c r="M1042514" s="472"/>
    </row>
    <row r="1042515" spans="12:13" x14ac:dyDescent="0.25">
      <c r="L1042515" s="472"/>
      <c r="M1042515" s="472"/>
    </row>
    <row r="1042587" spans="12:13" x14ac:dyDescent="0.25">
      <c r="L1042587" s="472"/>
      <c r="M1042587" s="472"/>
    </row>
    <row r="1042588" spans="12:13" x14ac:dyDescent="0.25">
      <c r="L1042588" s="472"/>
      <c r="M1042588" s="472"/>
    </row>
    <row r="1042589" spans="12:13" x14ac:dyDescent="0.25">
      <c r="L1042589" s="472"/>
      <c r="M1042589" s="472"/>
    </row>
    <row r="1042661" spans="12:13" x14ac:dyDescent="0.25">
      <c r="L1042661" s="472"/>
      <c r="M1042661" s="472"/>
    </row>
    <row r="1042662" spans="12:13" x14ac:dyDescent="0.25">
      <c r="L1042662" s="472"/>
      <c r="M1042662" s="472"/>
    </row>
    <row r="1042663" spans="12:13" x14ac:dyDescent="0.25">
      <c r="L1042663" s="472"/>
      <c r="M1042663" s="472"/>
    </row>
    <row r="1042735" spans="12:13" x14ac:dyDescent="0.25">
      <c r="L1042735" s="472"/>
      <c r="M1042735" s="472"/>
    </row>
    <row r="1042736" spans="12:13" x14ac:dyDescent="0.25">
      <c r="L1042736" s="472"/>
      <c r="M1042736" s="472"/>
    </row>
    <row r="1042737" spans="12:13" x14ac:dyDescent="0.25">
      <c r="L1042737" s="472"/>
      <c r="M1042737" s="472"/>
    </row>
    <row r="1042809" spans="12:13" x14ac:dyDescent="0.25">
      <c r="L1042809" s="472"/>
      <c r="M1042809" s="472"/>
    </row>
    <row r="1042810" spans="12:13" x14ac:dyDescent="0.25">
      <c r="L1042810" s="472"/>
      <c r="M1042810" s="472"/>
    </row>
    <row r="1042811" spans="12:13" x14ac:dyDescent="0.25">
      <c r="L1042811" s="472"/>
      <c r="M1042811" s="472"/>
    </row>
    <row r="1042883" spans="12:13" x14ac:dyDescent="0.25">
      <c r="L1042883" s="472"/>
      <c r="M1042883" s="472"/>
    </row>
    <row r="1042884" spans="12:13" x14ac:dyDescent="0.25">
      <c r="L1042884" s="472"/>
      <c r="M1042884" s="472"/>
    </row>
    <row r="1042885" spans="12:13" x14ac:dyDescent="0.25">
      <c r="L1042885" s="472"/>
      <c r="M1042885" s="472"/>
    </row>
    <row r="1042957" spans="12:13" x14ac:dyDescent="0.25">
      <c r="L1042957" s="472"/>
      <c r="M1042957" s="472"/>
    </row>
    <row r="1042958" spans="12:13" x14ac:dyDescent="0.25">
      <c r="L1042958" s="472"/>
      <c r="M1042958" s="472"/>
    </row>
    <row r="1042959" spans="12:13" x14ac:dyDescent="0.25">
      <c r="L1042959" s="472"/>
      <c r="M1042959" s="472"/>
    </row>
    <row r="1043031" spans="12:13" x14ac:dyDescent="0.25">
      <c r="L1043031" s="472"/>
      <c r="M1043031" s="472"/>
    </row>
    <row r="1043032" spans="12:13" x14ac:dyDescent="0.25">
      <c r="L1043032" s="472"/>
      <c r="M1043032" s="472"/>
    </row>
    <row r="1043033" spans="12:13" x14ac:dyDescent="0.25">
      <c r="L1043033" s="472"/>
      <c r="M1043033" s="472"/>
    </row>
    <row r="1043105" spans="12:13" x14ac:dyDescent="0.25">
      <c r="L1043105" s="472"/>
      <c r="M1043105" s="472"/>
    </row>
    <row r="1043106" spans="12:13" x14ac:dyDescent="0.25">
      <c r="L1043106" s="472"/>
      <c r="M1043106" s="472"/>
    </row>
    <row r="1043107" spans="12:13" x14ac:dyDescent="0.25">
      <c r="L1043107" s="472"/>
      <c r="M1043107" s="472"/>
    </row>
    <row r="1043179" spans="12:13" x14ac:dyDescent="0.25">
      <c r="L1043179" s="472"/>
      <c r="M1043179" s="472"/>
    </row>
    <row r="1043180" spans="12:13" x14ac:dyDescent="0.25">
      <c r="L1043180" s="472"/>
      <c r="M1043180" s="472"/>
    </row>
    <row r="1043181" spans="12:13" x14ac:dyDescent="0.25">
      <c r="L1043181" s="472"/>
      <c r="M1043181" s="472"/>
    </row>
    <row r="1043253" spans="12:13" x14ac:dyDescent="0.25">
      <c r="L1043253" s="472"/>
      <c r="M1043253" s="472"/>
    </row>
    <row r="1043254" spans="12:13" x14ac:dyDescent="0.25">
      <c r="L1043254" s="472"/>
      <c r="M1043254" s="472"/>
    </row>
    <row r="1043255" spans="12:13" x14ac:dyDescent="0.25">
      <c r="L1043255" s="472"/>
      <c r="M1043255" s="472"/>
    </row>
    <row r="1043327" spans="12:13" x14ac:dyDescent="0.25">
      <c r="L1043327" s="472"/>
      <c r="M1043327" s="472"/>
    </row>
    <row r="1043328" spans="12:13" x14ac:dyDescent="0.25">
      <c r="L1043328" s="472"/>
      <c r="M1043328" s="472"/>
    </row>
    <row r="1043329" spans="12:13" x14ac:dyDescent="0.25">
      <c r="L1043329" s="472"/>
      <c r="M1043329" s="472"/>
    </row>
    <row r="1043401" spans="12:13" x14ac:dyDescent="0.25">
      <c r="L1043401" s="472"/>
      <c r="M1043401" s="472"/>
    </row>
    <row r="1043402" spans="12:13" x14ac:dyDescent="0.25">
      <c r="L1043402" s="472"/>
      <c r="M1043402" s="472"/>
    </row>
    <row r="1043403" spans="12:13" x14ac:dyDescent="0.25">
      <c r="L1043403" s="472"/>
      <c r="M1043403" s="472"/>
    </row>
    <row r="1043475" spans="12:13" x14ac:dyDescent="0.25">
      <c r="L1043475" s="472"/>
      <c r="M1043475" s="472"/>
    </row>
    <row r="1043476" spans="12:13" x14ac:dyDescent="0.25">
      <c r="L1043476" s="472"/>
      <c r="M1043476" s="472"/>
    </row>
    <row r="1043477" spans="12:13" x14ac:dyDescent="0.25">
      <c r="L1043477" s="472"/>
      <c r="M1043477" s="472"/>
    </row>
    <row r="1043549" spans="12:13" x14ac:dyDescent="0.25">
      <c r="L1043549" s="472"/>
      <c r="M1043549" s="472"/>
    </row>
    <row r="1043550" spans="12:13" x14ac:dyDescent="0.25">
      <c r="L1043550" s="472"/>
      <c r="M1043550" s="472"/>
    </row>
    <row r="1043551" spans="12:13" x14ac:dyDescent="0.25">
      <c r="L1043551" s="472"/>
      <c r="M1043551" s="472"/>
    </row>
    <row r="1043623" spans="12:13" x14ac:dyDescent="0.25">
      <c r="L1043623" s="472"/>
      <c r="M1043623" s="472"/>
    </row>
    <row r="1043624" spans="12:13" x14ac:dyDescent="0.25">
      <c r="L1043624" s="472"/>
      <c r="M1043624" s="472"/>
    </row>
    <row r="1043625" spans="12:13" x14ac:dyDescent="0.25">
      <c r="L1043625" s="472"/>
      <c r="M1043625" s="472"/>
    </row>
    <row r="1043697" spans="12:13" x14ac:dyDescent="0.25">
      <c r="L1043697" s="472"/>
      <c r="M1043697" s="472"/>
    </row>
    <row r="1043698" spans="12:13" x14ac:dyDescent="0.25">
      <c r="L1043698" s="472"/>
      <c r="M1043698" s="472"/>
    </row>
    <row r="1043699" spans="12:13" x14ac:dyDescent="0.25">
      <c r="L1043699" s="472"/>
      <c r="M1043699" s="472"/>
    </row>
    <row r="1043771" spans="12:13" x14ac:dyDescent="0.25">
      <c r="L1043771" s="472"/>
      <c r="M1043771" s="472"/>
    </row>
    <row r="1043772" spans="12:13" x14ac:dyDescent="0.25">
      <c r="L1043772" s="472"/>
      <c r="M1043772" s="472"/>
    </row>
    <row r="1043773" spans="12:13" x14ac:dyDescent="0.25">
      <c r="L1043773" s="472"/>
      <c r="M1043773" s="472"/>
    </row>
    <row r="1043845" spans="12:13" x14ac:dyDescent="0.25">
      <c r="L1043845" s="472"/>
      <c r="M1043845" s="472"/>
    </row>
    <row r="1043846" spans="12:13" x14ac:dyDescent="0.25">
      <c r="L1043846" s="472"/>
      <c r="M1043846" s="472"/>
    </row>
    <row r="1043847" spans="12:13" x14ac:dyDescent="0.25">
      <c r="L1043847" s="472"/>
      <c r="M1043847" s="472"/>
    </row>
    <row r="1043919" spans="12:13" x14ac:dyDescent="0.25">
      <c r="L1043919" s="472"/>
      <c r="M1043919" s="472"/>
    </row>
    <row r="1043920" spans="12:13" x14ac:dyDescent="0.25">
      <c r="L1043920" s="472"/>
      <c r="M1043920" s="472"/>
    </row>
    <row r="1043921" spans="12:13" x14ac:dyDescent="0.25">
      <c r="L1043921" s="472"/>
      <c r="M1043921" s="472"/>
    </row>
    <row r="1043993" spans="12:13" x14ac:dyDescent="0.25">
      <c r="L1043993" s="472"/>
      <c r="M1043993" s="472"/>
    </row>
    <row r="1043994" spans="12:13" x14ac:dyDescent="0.25">
      <c r="L1043994" s="472"/>
      <c r="M1043994" s="472"/>
    </row>
    <row r="1043995" spans="12:13" x14ac:dyDescent="0.25">
      <c r="L1043995" s="472"/>
      <c r="M1043995" s="472"/>
    </row>
    <row r="1044067" spans="12:13" x14ac:dyDescent="0.25">
      <c r="L1044067" s="472"/>
      <c r="M1044067" s="472"/>
    </row>
    <row r="1044068" spans="12:13" x14ac:dyDescent="0.25">
      <c r="L1044068" s="472"/>
      <c r="M1044068" s="472"/>
    </row>
    <row r="1044069" spans="12:13" x14ac:dyDescent="0.25">
      <c r="L1044069" s="472"/>
      <c r="M1044069" s="472"/>
    </row>
    <row r="1044141" spans="12:13" x14ac:dyDescent="0.25">
      <c r="L1044141" s="472"/>
      <c r="M1044141" s="472"/>
    </row>
    <row r="1044142" spans="12:13" x14ac:dyDescent="0.25">
      <c r="L1044142" s="472"/>
      <c r="M1044142" s="472"/>
    </row>
    <row r="1044143" spans="12:13" x14ac:dyDescent="0.25">
      <c r="L1044143" s="472"/>
      <c r="M1044143" s="472"/>
    </row>
    <row r="1044215" spans="12:13" x14ac:dyDescent="0.25">
      <c r="L1044215" s="472"/>
      <c r="M1044215" s="472"/>
    </row>
    <row r="1044216" spans="12:13" x14ac:dyDescent="0.25">
      <c r="L1044216" s="472"/>
      <c r="M1044216" s="472"/>
    </row>
    <row r="1044217" spans="12:13" x14ac:dyDescent="0.25">
      <c r="L1044217" s="472"/>
      <c r="M1044217" s="472"/>
    </row>
    <row r="1044289" spans="12:13" x14ac:dyDescent="0.25">
      <c r="L1044289" s="472"/>
      <c r="M1044289" s="472"/>
    </row>
    <row r="1044290" spans="12:13" x14ac:dyDescent="0.25">
      <c r="L1044290" s="472"/>
      <c r="M1044290" s="472"/>
    </row>
    <row r="1044291" spans="12:13" x14ac:dyDescent="0.25">
      <c r="L1044291" s="472"/>
      <c r="M1044291" s="472"/>
    </row>
    <row r="1044363" spans="12:13" x14ac:dyDescent="0.25">
      <c r="L1044363" s="472"/>
      <c r="M1044363" s="472"/>
    </row>
    <row r="1044364" spans="12:13" x14ac:dyDescent="0.25">
      <c r="L1044364" s="472"/>
      <c r="M1044364" s="472"/>
    </row>
    <row r="1044365" spans="12:13" x14ac:dyDescent="0.25">
      <c r="L1044365" s="472"/>
      <c r="M1044365" s="472"/>
    </row>
    <row r="1044437" spans="12:13" x14ac:dyDescent="0.25">
      <c r="L1044437" s="472"/>
      <c r="M1044437" s="472"/>
    </row>
    <row r="1044438" spans="12:13" x14ac:dyDescent="0.25">
      <c r="L1044438" s="472"/>
      <c r="M1044438" s="472"/>
    </row>
    <row r="1044439" spans="12:13" x14ac:dyDescent="0.25">
      <c r="L1044439" s="472"/>
      <c r="M1044439" s="472"/>
    </row>
    <row r="1044511" spans="12:13" x14ac:dyDescent="0.25">
      <c r="L1044511" s="472"/>
      <c r="M1044511" s="472"/>
    </row>
    <row r="1044512" spans="12:13" x14ac:dyDescent="0.25">
      <c r="L1044512" s="472"/>
      <c r="M1044512" s="472"/>
    </row>
    <row r="1044513" spans="12:13" x14ac:dyDescent="0.25">
      <c r="L1044513" s="472"/>
      <c r="M1044513" s="472"/>
    </row>
    <row r="1044585" spans="12:13" x14ac:dyDescent="0.25">
      <c r="L1044585" s="472"/>
      <c r="M1044585" s="472"/>
    </row>
    <row r="1044586" spans="12:13" x14ac:dyDescent="0.25">
      <c r="L1044586" s="472"/>
      <c r="M1044586" s="472"/>
    </row>
    <row r="1044587" spans="12:13" x14ac:dyDescent="0.25">
      <c r="L1044587" s="472"/>
      <c r="M1044587" s="472"/>
    </row>
    <row r="1044659" spans="12:13" x14ac:dyDescent="0.25">
      <c r="L1044659" s="472"/>
      <c r="M1044659" s="472"/>
    </row>
    <row r="1044660" spans="12:13" x14ac:dyDescent="0.25">
      <c r="L1044660" s="472"/>
      <c r="M1044660" s="472"/>
    </row>
    <row r="1044661" spans="12:13" x14ac:dyDescent="0.25">
      <c r="L1044661" s="472"/>
      <c r="M1044661" s="472"/>
    </row>
    <row r="1044733" spans="12:13" x14ac:dyDescent="0.25">
      <c r="L1044733" s="472"/>
      <c r="M1044733" s="472"/>
    </row>
    <row r="1044734" spans="12:13" x14ac:dyDescent="0.25">
      <c r="L1044734" s="472"/>
      <c r="M1044734" s="472"/>
    </row>
    <row r="1044735" spans="12:13" x14ac:dyDescent="0.25">
      <c r="L1044735" s="472"/>
      <c r="M1044735" s="472"/>
    </row>
    <row r="1044807" spans="12:13" x14ac:dyDescent="0.25">
      <c r="L1044807" s="472"/>
      <c r="M1044807" s="472"/>
    </row>
    <row r="1044808" spans="12:13" x14ac:dyDescent="0.25">
      <c r="L1044808" s="472"/>
      <c r="M1044808" s="472"/>
    </row>
    <row r="1044809" spans="12:13" x14ac:dyDescent="0.25">
      <c r="L1044809" s="472"/>
      <c r="M1044809" s="472"/>
    </row>
    <row r="1044881" spans="12:13" x14ac:dyDescent="0.25">
      <c r="L1044881" s="472"/>
      <c r="M1044881" s="472"/>
    </row>
    <row r="1044882" spans="12:13" x14ac:dyDescent="0.25">
      <c r="L1044882" s="472"/>
      <c r="M1044882" s="472"/>
    </row>
    <row r="1044883" spans="12:13" x14ac:dyDescent="0.25">
      <c r="L1044883" s="472"/>
      <c r="M1044883" s="472"/>
    </row>
    <row r="1044955" spans="12:13" x14ac:dyDescent="0.25">
      <c r="L1044955" s="472"/>
      <c r="M1044955" s="472"/>
    </row>
    <row r="1044956" spans="12:13" x14ac:dyDescent="0.25">
      <c r="L1044956" s="472"/>
      <c r="M1044956" s="472"/>
    </row>
    <row r="1044957" spans="12:13" x14ac:dyDescent="0.25">
      <c r="L1044957" s="472"/>
      <c r="M1044957" s="472"/>
    </row>
    <row r="1045029" spans="12:13" x14ac:dyDescent="0.25">
      <c r="L1045029" s="472"/>
      <c r="M1045029" s="472"/>
    </row>
    <row r="1045030" spans="12:13" x14ac:dyDescent="0.25">
      <c r="L1045030" s="472"/>
      <c r="M1045030" s="472"/>
    </row>
    <row r="1045031" spans="12:13" x14ac:dyDescent="0.25">
      <c r="L1045031" s="472"/>
      <c r="M1045031" s="472"/>
    </row>
    <row r="1045103" spans="12:13" x14ac:dyDescent="0.25">
      <c r="L1045103" s="472"/>
      <c r="M1045103" s="472"/>
    </row>
    <row r="1045104" spans="12:13" x14ac:dyDescent="0.25">
      <c r="L1045104" s="472"/>
      <c r="M1045104" s="472"/>
    </row>
    <row r="1045105" spans="12:13" x14ac:dyDescent="0.25">
      <c r="L1045105" s="472"/>
      <c r="M1045105" s="472"/>
    </row>
    <row r="1045177" spans="12:13" x14ac:dyDescent="0.25">
      <c r="L1045177" s="472"/>
      <c r="M1045177" s="472"/>
    </row>
    <row r="1045178" spans="12:13" x14ac:dyDescent="0.25">
      <c r="L1045178" s="472"/>
      <c r="M1045178" s="472"/>
    </row>
    <row r="1045179" spans="12:13" x14ac:dyDescent="0.25">
      <c r="L1045179" s="472"/>
      <c r="M1045179" s="472"/>
    </row>
    <row r="1045251" spans="12:13" x14ac:dyDescent="0.25">
      <c r="L1045251" s="472"/>
      <c r="M1045251" s="472"/>
    </row>
    <row r="1045252" spans="12:13" x14ac:dyDescent="0.25">
      <c r="L1045252" s="472"/>
      <c r="M1045252" s="472"/>
    </row>
    <row r="1045253" spans="12:13" x14ac:dyDescent="0.25">
      <c r="L1045253" s="472"/>
      <c r="M1045253" s="472"/>
    </row>
    <row r="1045325" spans="12:13" x14ac:dyDescent="0.25">
      <c r="L1045325" s="472"/>
      <c r="M1045325" s="472"/>
    </row>
    <row r="1045326" spans="12:13" x14ac:dyDescent="0.25">
      <c r="L1045326" s="472"/>
      <c r="M1045326" s="472"/>
    </row>
    <row r="1045327" spans="12:13" x14ac:dyDescent="0.25">
      <c r="L1045327" s="472"/>
      <c r="M1045327" s="472"/>
    </row>
    <row r="1045399" spans="12:13" x14ac:dyDescent="0.25">
      <c r="L1045399" s="472"/>
      <c r="M1045399" s="472"/>
    </row>
    <row r="1045400" spans="12:13" x14ac:dyDescent="0.25">
      <c r="L1045400" s="472"/>
      <c r="M1045400" s="472"/>
    </row>
    <row r="1045401" spans="12:13" x14ac:dyDescent="0.25">
      <c r="L1045401" s="472"/>
      <c r="M1045401" s="472"/>
    </row>
    <row r="1045473" spans="12:13" x14ac:dyDescent="0.25">
      <c r="L1045473" s="472"/>
      <c r="M1045473" s="472"/>
    </row>
    <row r="1045474" spans="12:13" x14ac:dyDescent="0.25">
      <c r="L1045474" s="472"/>
      <c r="M1045474" s="472"/>
    </row>
    <row r="1045475" spans="12:13" x14ac:dyDescent="0.25">
      <c r="L1045475" s="472"/>
      <c r="M1045475" s="472"/>
    </row>
    <row r="1045547" spans="12:13" x14ac:dyDescent="0.25">
      <c r="L1045547" s="472"/>
      <c r="M1045547" s="472"/>
    </row>
    <row r="1045548" spans="12:13" x14ac:dyDescent="0.25">
      <c r="L1045548" s="472"/>
      <c r="M1045548" s="472"/>
    </row>
    <row r="1045549" spans="12:13" x14ac:dyDescent="0.25">
      <c r="L1045549" s="472"/>
      <c r="M1045549" s="472"/>
    </row>
    <row r="1045621" spans="12:13" x14ac:dyDescent="0.25">
      <c r="L1045621" s="472"/>
      <c r="M1045621" s="472"/>
    </row>
    <row r="1045622" spans="12:13" x14ac:dyDescent="0.25">
      <c r="L1045622" s="472"/>
      <c r="M1045622" s="472"/>
    </row>
    <row r="1045623" spans="12:13" x14ac:dyDescent="0.25">
      <c r="L1045623" s="472"/>
      <c r="M1045623" s="472"/>
    </row>
    <row r="1045695" spans="12:13" x14ac:dyDescent="0.25">
      <c r="L1045695" s="472"/>
      <c r="M1045695" s="472"/>
    </row>
    <row r="1045696" spans="12:13" x14ac:dyDescent="0.25">
      <c r="L1045696" s="472"/>
      <c r="M1045696" s="472"/>
    </row>
    <row r="1045697" spans="12:13" x14ac:dyDescent="0.25">
      <c r="L1045697" s="472"/>
      <c r="M1045697" s="472"/>
    </row>
    <row r="1045769" spans="12:13" x14ac:dyDescent="0.25">
      <c r="L1045769" s="472"/>
      <c r="M1045769" s="472"/>
    </row>
    <row r="1045770" spans="12:13" x14ac:dyDescent="0.25">
      <c r="L1045770" s="472"/>
      <c r="M1045770" s="472"/>
    </row>
    <row r="1045771" spans="12:13" x14ac:dyDescent="0.25">
      <c r="L1045771" s="472"/>
      <c r="M1045771" s="472"/>
    </row>
    <row r="1045843" spans="12:13" x14ac:dyDescent="0.25">
      <c r="L1045843" s="472"/>
      <c r="M1045843" s="472"/>
    </row>
    <row r="1045844" spans="12:13" x14ac:dyDescent="0.25">
      <c r="L1045844" s="472"/>
      <c r="M1045844" s="472"/>
    </row>
    <row r="1045845" spans="12:13" x14ac:dyDescent="0.25">
      <c r="L1045845" s="472"/>
      <c r="M1045845" s="472"/>
    </row>
    <row r="1045917" spans="12:13" x14ac:dyDescent="0.25">
      <c r="L1045917" s="472"/>
      <c r="M1045917" s="472"/>
    </row>
    <row r="1045918" spans="12:13" x14ac:dyDescent="0.25">
      <c r="L1045918" s="472"/>
      <c r="M1045918" s="472"/>
    </row>
    <row r="1045919" spans="12:13" x14ac:dyDescent="0.25">
      <c r="L1045919" s="472"/>
      <c r="M1045919" s="472"/>
    </row>
    <row r="1045991" spans="12:13" x14ac:dyDescent="0.25">
      <c r="L1045991" s="472"/>
      <c r="M1045991" s="472"/>
    </row>
    <row r="1045992" spans="12:13" x14ac:dyDescent="0.25">
      <c r="L1045992" s="472"/>
      <c r="M1045992" s="472"/>
    </row>
    <row r="1045993" spans="12:13" x14ac:dyDescent="0.25">
      <c r="L1045993" s="472"/>
      <c r="M1045993" s="472"/>
    </row>
    <row r="1046065" spans="12:13" x14ac:dyDescent="0.25">
      <c r="L1046065" s="472"/>
      <c r="M1046065" s="472"/>
    </row>
    <row r="1046066" spans="12:13" x14ac:dyDescent="0.25">
      <c r="L1046066" s="472"/>
      <c r="M1046066" s="472"/>
    </row>
    <row r="1046067" spans="12:13" x14ac:dyDescent="0.25">
      <c r="L1046067" s="472"/>
      <c r="M1046067" s="472"/>
    </row>
    <row r="1046139" spans="12:13" x14ac:dyDescent="0.25">
      <c r="L1046139" s="472"/>
      <c r="M1046139" s="472"/>
    </row>
    <row r="1046140" spans="12:13" x14ac:dyDescent="0.25">
      <c r="L1046140" s="472"/>
      <c r="M1046140" s="472"/>
    </row>
    <row r="1046141" spans="12:13" x14ac:dyDescent="0.25">
      <c r="L1046141" s="472"/>
      <c r="M1046141" s="472"/>
    </row>
    <row r="1046213" spans="12:13" x14ac:dyDescent="0.25">
      <c r="L1046213" s="472"/>
      <c r="M1046213" s="472"/>
    </row>
    <row r="1046214" spans="12:13" x14ac:dyDescent="0.25">
      <c r="L1046214" s="472"/>
      <c r="M1046214" s="472"/>
    </row>
    <row r="1046215" spans="12:13" x14ac:dyDescent="0.25">
      <c r="L1046215" s="472"/>
      <c r="M1046215" s="472"/>
    </row>
    <row r="1046287" spans="12:13" x14ac:dyDescent="0.25">
      <c r="L1046287" s="472"/>
      <c r="M1046287" s="472"/>
    </row>
    <row r="1046288" spans="12:13" x14ac:dyDescent="0.25">
      <c r="L1046288" s="472"/>
      <c r="M1046288" s="472"/>
    </row>
    <row r="1046289" spans="12:13" x14ac:dyDescent="0.25">
      <c r="L1046289" s="472"/>
      <c r="M1046289" s="472"/>
    </row>
    <row r="1046361" spans="12:13" x14ac:dyDescent="0.25">
      <c r="L1046361" s="472"/>
      <c r="M1046361" s="472"/>
    </row>
    <row r="1046362" spans="12:13" x14ac:dyDescent="0.25">
      <c r="L1046362" s="472"/>
      <c r="M1046362" s="472"/>
    </row>
    <row r="1046363" spans="12:13" x14ac:dyDescent="0.25">
      <c r="L1046363" s="472"/>
      <c r="M1046363" s="472"/>
    </row>
    <row r="1046435" spans="12:13" x14ac:dyDescent="0.25">
      <c r="L1046435" s="472"/>
      <c r="M1046435" s="472"/>
    </row>
    <row r="1046436" spans="12:13" x14ac:dyDescent="0.25">
      <c r="L1046436" s="472"/>
      <c r="M1046436" s="472"/>
    </row>
    <row r="1046437" spans="12:13" x14ac:dyDescent="0.25">
      <c r="L1046437" s="472"/>
      <c r="M1046437" s="472"/>
    </row>
    <row r="1046509" spans="12:13" x14ac:dyDescent="0.25">
      <c r="L1046509" s="472"/>
      <c r="M1046509" s="472"/>
    </row>
    <row r="1046510" spans="12:13" x14ac:dyDescent="0.25">
      <c r="L1046510" s="472"/>
      <c r="M1046510" s="472"/>
    </row>
    <row r="1046511" spans="12:13" x14ac:dyDescent="0.25">
      <c r="L1046511" s="472"/>
      <c r="M1046511" s="472"/>
    </row>
    <row r="1046583" spans="12:13" x14ac:dyDescent="0.25">
      <c r="L1046583" s="472"/>
      <c r="M1046583" s="472"/>
    </row>
    <row r="1046584" spans="12:13" x14ac:dyDescent="0.25">
      <c r="L1046584" s="472"/>
      <c r="M1046584" s="472"/>
    </row>
    <row r="1046585" spans="12:13" x14ac:dyDescent="0.25">
      <c r="L1046585" s="472"/>
      <c r="M1046585" s="472"/>
    </row>
    <row r="1046657" spans="12:13" x14ac:dyDescent="0.25">
      <c r="L1046657" s="472"/>
      <c r="M1046657" s="472"/>
    </row>
    <row r="1046658" spans="12:13" x14ac:dyDescent="0.25">
      <c r="L1046658" s="472"/>
      <c r="M1046658" s="472"/>
    </row>
    <row r="1046659" spans="12:13" x14ac:dyDescent="0.25">
      <c r="L1046659" s="472"/>
      <c r="M1046659" s="472"/>
    </row>
    <row r="1046731" spans="12:13" x14ac:dyDescent="0.25">
      <c r="L1046731" s="472"/>
      <c r="M1046731" s="472"/>
    </row>
    <row r="1046732" spans="12:13" x14ac:dyDescent="0.25">
      <c r="L1046732" s="472"/>
      <c r="M1046732" s="472"/>
    </row>
    <row r="1046733" spans="12:13" x14ac:dyDescent="0.25">
      <c r="L1046733" s="472"/>
      <c r="M1046733" s="472"/>
    </row>
    <row r="1046805" spans="12:13" x14ac:dyDescent="0.25">
      <c r="L1046805" s="472"/>
      <c r="M1046805" s="472"/>
    </row>
    <row r="1046806" spans="12:13" x14ac:dyDescent="0.25">
      <c r="L1046806" s="472"/>
      <c r="M1046806" s="472"/>
    </row>
    <row r="1046807" spans="12:13" x14ac:dyDescent="0.25">
      <c r="L1046807" s="472"/>
      <c r="M1046807" s="472"/>
    </row>
    <row r="1046879" spans="12:13" x14ac:dyDescent="0.25">
      <c r="L1046879" s="472"/>
      <c r="M1046879" s="472"/>
    </row>
    <row r="1046880" spans="12:13" x14ac:dyDescent="0.25">
      <c r="L1046880" s="472"/>
      <c r="M1046880" s="472"/>
    </row>
    <row r="1046881" spans="12:13" x14ac:dyDescent="0.25">
      <c r="L1046881" s="472"/>
      <c r="M1046881" s="472"/>
    </row>
    <row r="1046953" spans="12:13" x14ac:dyDescent="0.25">
      <c r="L1046953" s="472"/>
      <c r="M1046953" s="472"/>
    </row>
    <row r="1046954" spans="12:13" x14ac:dyDescent="0.25">
      <c r="L1046954" s="472"/>
      <c r="M1046954" s="472"/>
    </row>
    <row r="1046955" spans="12:13" x14ac:dyDescent="0.25">
      <c r="L1046955" s="472"/>
      <c r="M1046955" s="472"/>
    </row>
    <row r="1047027" spans="12:13" x14ac:dyDescent="0.25">
      <c r="L1047027" s="472"/>
      <c r="M1047027" s="472"/>
    </row>
    <row r="1047028" spans="12:13" x14ac:dyDescent="0.25">
      <c r="L1047028" s="472"/>
      <c r="M1047028" s="472"/>
    </row>
    <row r="1047029" spans="12:13" x14ac:dyDescent="0.25">
      <c r="L1047029" s="472"/>
      <c r="M1047029" s="472"/>
    </row>
    <row r="1047101" spans="12:13" x14ac:dyDescent="0.25">
      <c r="L1047101" s="472"/>
      <c r="M1047101" s="472"/>
    </row>
    <row r="1047102" spans="12:13" x14ac:dyDescent="0.25">
      <c r="L1047102" s="472"/>
      <c r="M1047102" s="472"/>
    </row>
    <row r="1047103" spans="12:13" x14ac:dyDescent="0.25">
      <c r="L1047103" s="472"/>
      <c r="M1047103" s="472"/>
    </row>
    <row r="1047175" spans="12:13" x14ac:dyDescent="0.25">
      <c r="L1047175" s="472"/>
      <c r="M1047175" s="472"/>
    </row>
    <row r="1047176" spans="12:13" x14ac:dyDescent="0.25">
      <c r="L1047176" s="472"/>
      <c r="M1047176" s="472"/>
    </row>
    <row r="1047177" spans="12:13" x14ac:dyDescent="0.25">
      <c r="L1047177" s="472"/>
      <c r="M1047177" s="472"/>
    </row>
    <row r="1047249" spans="12:13" x14ac:dyDescent="0.25">
      <c r="L1047249" s="472"/>
      <c r="M1047249" s="472"/>
    </row>
    <row r="1047250" spans="12:13" x14ac:dyDescent="0.25">
      <c r="L1047250" s="472"/>
      <c r="M1047250" s="472"/>
    </row>
    <row r="1047251" spans="12:13" x14ac:dyDescent="0.25">
      <c r="L1047251" s="472"/>
      <c r="M1047251" s="472"/>
    </row>
    <row r="1047323" spans="12:13" x14ac:dyDescent="0.25">
      <c r="L1047323" s="472"/>
      <c r="M1047323" s="472"/>
    </row>
    <row r="1047324" spans="12:13" x14ac:dyDescent="0.25">
      <c r="L1047324" s="472"/>
      <c r="M1047324" s="472"/>
    </row>
    <row r="1047325" spans="12:13" x14ac:dyDescent="0.25">
      <c r="L1047325" s="472"/>
      <c r="M1047325" s="472"/>
    </row>
    <row r="1047397" spans="12:13" x14ac:dyDescent="0.25">
      <c r="L1047397" s="472"/>
      <c r="M1047397" s="472"/>
    </row>
    <row r="1047398" spans="12:13" x14ac:dyDescent="0.25">
      <c r="L1047398" s="472"/>
      <c r="M1047398" s="472"/>
    </row>
    <row r="1047399" spans="12:13" x14ac:dyDescent="0.25">
      <c r="L1047399" s="472"/>
      <c r="M1047399" s="472"/>
    </row>
    <row r="1047471" spans="12:13" x14ac:dyDescent="0.25">
      <c r="L1047471" s="472"/>
      <c r="M1047471" s="472"/>
    </row>
    <row r="1047472" spans="12:13" x14ac:dyDescent="0.25">
      <c r="L1047472" s="472"/>
      <c r="M1047472" s="472"/>
    </row>
    <row r="1047473" spans="12:13" x14ac:dyDescent="0.25">
      <c r="L1047473" s="472"/>
      <c r="M1047473" s="472"/>
    </row>
    <row r="1047545" spans="12:13" x14ac:dyDescent="0.25">
      <c r="L1047545" s="472"/>
      <c r="M1047545" s="472"/>
    </row>
    <row r="1047546" spans="12:13" x14ac:dyDescent="0.25">
      <c r="L1047546" s="472"/>
      <c r="M1047546" s="472"/>
    </row>
    <row r="1047547" spans="12:13" x14ac:dyDescent="0.25">
      <c r="L1047547" s="472"/>
      <c r="M1047547" s="472"/>
    </row>
    <row r="1047619" spans="12:13" x14ac:dyDescent="0.25">
      <c r="L1047619" s="472"/>
      <c r="M1047619" s="472"/>
    </row>
    <row r="1047620" spans="12:13" x14ac:dyDescent="0.25">
      <c r="L1047620" s="472"/>
      <c r="M1047620" s="472"/>
    </row>
    <row r="1047621" spans="12:13" x14ac:dyDescent="0.25">
      <c r="L1047621" s="472"/>
      <c r="M1047621" s="472"/>
    </row>
    <row r="1047693" spans="12:13" x14ac:dyDescent="0.25">
      <c r="L1047693" s="472"/>
      <c r="M1047693" s="472"/>
    </row>
    <row r="1047694" spans="12:13" x14ac:dyDescent="0.25">
      <c r="L1047694" s="472"/>
      <c r="M1047694" s="472"/>
    </row>
    <row r="1047695" spans="12:13" x14ac:dyDescent="0.25">
      <c r="L1047695" s="472"/>
      <c r="M1047695" s="472"/>
    </row>
    <row r="1047767" spans="12:13" x14ac:dyDescent="0.25">
      <c r="L1047767" s="472"/>
      <c r="M1047767" s="472"/>
    </row>
    <row r="1047768" spans="12:13" x14ac:dyDescent="0.25">
      <c r="L1047768" s="472"/>
      <c r="M1047768" s="472"/>
    </row>
    <row r="1047769" spans="12:13" x14ac:dyDescent="0.25">
      <c r="L1047769" s="472"/>
      <c r="M1047769" s="472"/>
    </row>
    <row r="1047841" spans="12:13" x14ac:dyDescent="0.25">
      <c r="L1047841" s="472"/>
      <c r="M1047841" s="472"/>
    </row>
    <row r="1047842" spans="12:13" x14ac:dyDescent="0.25">
      <c r="L1047842" s="472"/>
      <c r="M1047842" s="472"/>
    </row>
    <row r="1047843" spans="12:13" x14ac:dyDescent="0.25">
      <c r="L1047843" s="472"/>
      <c r="M1047843" s="472"/>
    </row>
    <row r="1047915" spans="12:13" x14ac:dyDescent="0.25">
      <c r="L1047915" s="472"/>
      <c r="M1047915" s="472"/>
    </row>
    <row r="1047916" spans="12:13" x14ac:dyDescent="0.25">
      <c r="L1047916" s="472"/>
      <c r="M1047916" s="472"/>
    </row>
    <row r="1047917" spans="12:13" x14ac:dyDescent="0.25">
      <c r="L1047917" s="472"/>
      <c r="M1047917" s="472"/>
    </row>
    <row r="1047989" spans="12:13" x14ac:dyDescent="0.25">
      <c r="L1047989" s="472"/>
      <c r="M1047989" s="472"/>
    </row>
    <row r="1047990" spans="12:13" x14ac:dyDescent="0.25">
      <c r="L1047990" s="472"/>
      <c r="M1047990" s="472"/>
    </row>
    <row r="1047991" spans="12:13" x14ac:dyDescent="0.25">
      <c r="L1047991" s="472"/>
      <c r="M1047991" s="472"/>
    </row>
    <row r="1048063" spans="12:13" x14ac:dyDescent="0.25">
      <c r="L1048063" s="472"/>
      <c r="M1048063" s="472"/>
    </row>
    <row r="1048064" spans="12:13" x14ac:dyDescent="0.25">
      <c r="L1048064" s="472"/>
      <c r="M1048064" s="472"/>
    </row>
    <row r="1048065" spans="12:13" x14ac:dyDescent="0.25">
      <c r="L1048065" s="472"/>
      <c r="M1048065" s="472"/>
    </row>
    <row r="1048137" spans="12:13" x14ac:dyDescent="0.25">
      <c r="L1048137" s="472"/>
      <c r="M1048137" s="472"/>
    </row>
    <row r="1048138" spans="12:13" x14ac:dyDescent="0.25">
      <c r="L1048138" s="472"/>
      <c r="M1048138" s="472"/>
    </row>
    <row r="1048139" spans="12:13" x14ac:dyDescent="0.25">
      <c r="L1048139" s="472"/>
      <c r="M1048139" s="472"/>
    </row>
    <row r="1048211" spans="12:13" x14ac:dyDescent="0.25">
      <c r="L1048211" s="472"/>
      <c r="M1048211" s="472"/>
    </row>
    <row r="1048212" spans="12:13" x14ac:dyDescent="0.25">
      <c r="L1048212" s="472"/>
      <c r="M1048212" s="472"/>
    </row>
    <row r="1048213" spans="12:13" x14ac:dyDescent="0.25">
      <c r="L1048213" s="472"/>
      <c r="M1048213" s="472"/>
    </row>
    <row r="1048285" spans="12:13" x14ac:dyDescent="0.25">
      <c r="L1048285" s="472"/>
      <c r="M1048285" s="472"/>
    </row>
    <row r="1048286" spans="12:13" x14ac:dyDescent="0.25">
      <c r="L1048286" s="472"/>
      <c r="M1048286" s="472"/>
    </row>
    <row r="1048287" spans="12:13" x14ac:dyDescent="0.25">
      <c r="L1048287" s="472"/>
      <c r="M1048287" s="472"/>
    </row>
    <row r="1048359" spans="12:13" x14ac:dyDescent="0.25">
      <c r="L1048359" s="472"/>
      <c r="M1048359" s="472"/>
    </row>
    <row r="1048360" spans="12:13" x14ac:dyDescent="0.25">
      <c r="L1048360" s="472"/>
      <c r="M1048360" s="472"/>
    </row>
    <row r="1048361" spans="12:13" x14ac:dyDescent="0.25">
      <c r="L1048361" s="472"/>
      <c r="M1048361" s="472"/>
    </row>
    <row r="1048433" spans="12:13" x14ac:dyDescent="0.25">
      <c r="L1048433" s="472"/>
      <c r="M1048433" s="472"/>
    </row>
    <row r="1048434" spans="12:13" x14ac:dyDescent="0.25">
      <c r="L1048434" s="472"/>
      <c r="M1048434" s="472"/>
    </row>
    <row r="1048435" spans="12:13" x14ac:dyDescent="0.25">
      <c r="L1048435" s="472"/>
      <c r="M1048435" s="472"/>
    </row>
    <row r="1048507" spans="12:13" x14ac:dyDescent="0.25">
      <c r="L1048507" s="472"/>
      <c r="M1048507" s="472"/>
    </row>
    <row r="1048508" spans="12:13" x14ac:dyDescent="0.25">
      <c r="L1048508" s="472"/>
      <c r="M1048508" s="472"/>
    </row>
    <row r="1048509" spans="12:13" x14ac:dyDescent="0.25">
      <c r="L1048509" s="472"/>
      <c r="M1048509" s="47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topLeftCell="A7" workbookViewId="0"/>
  </sheetViews>
  <sheetFormatPr defaultColWidth="0" defaultRowHeight="13.5" zeroHeight="1" x14ac:dyDescent="0.25"/>
  <cols>
    <col min="1" max="1" width="14.5703125" style="1797" customWidth="1"/>
    <col min="2" max="2" width="33.140625" style="1797" customWidth="1"/>
    <col min="3" max="3" width="7.85546875" style="1797" customWidth="1"/>
    <col min="4" max="4" width="7.7109375" style="1797" customWidth="1"/>
    <col min="5" max="5" width="7.42578125" style="1797" customWidth="1"/>
    <col min="6" max="6" width="7.85546875" style="1797" customWidth="1"/>
    <col min="7" max="7" width="7.42578125" style="1797" customWidth="1"/>
    <col min="8" max="8" width="6.28515625" style="1797" customWidth="1"/>
    <col min="9" max="9" width="8.28515625" style="1797" customWidth="1"/>
    <col min="10" max="10" width="7.28515625" style="1797" customWidth="1"/>
    <col min="11" max="11" width="7.140625" style="1797" customWidth="1"/>
    <col min="12" max="12" width="7.28515625" style="1797" customWidth="1"/>
    <col min="13" max="13" width="7.42578125" style="1797" customWidth="1"/>
    <col min="14" max="14" width="8.140625" style="1797" customWidth="1"/>
    <col min="15" max="15" width="7" style="1797" customWidth="1"/>
    <col min="16" max="16" width="7.42578125" style="1797" customWidth="1"/>
    <col min="17" max="17" width="7.85546875" style="1797" customWidth="1"/>
    <col min="18" max="18" width="9.28515625" style="1797" customWidth="1"/>
    <col min="19" max="16384" width="0" style="1797" hidden="1"/>
  </cols>
  <sheetData>
    <row r="1" spans="2:17" x14ac:dyDescent="0.25"/>
    <row r="2" spans="2:17" x14ac:dyDescent="0.25"/>
    <row r="3" spans="2:17" x14ac:dyDescent="0.25"/>
    <row r="4" spans="2:17" ht="14.25" thickBot="1" x14ac:dyDescent="0.3"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</row>
    <row r="5" spans="2:17" ht="30.75" customHeight="1" thickBot="1" x14ac:dyDescent="0.3">
      <c r="B5" s="625"/>
      <c r="C5" s="2205" t="s">
        <v>1705</v>
      </c>
      <c r="D5" s="2206"/>
      <c r="E5" s="2206"/>
      <c r="F5" s="2206"/>
      <c r="G5" s="2206"/>
      <c r="H5" s="2206"/>
      <c r="I5" s="2206"/>
      <c r="J5" s="2206"/>
      <c r="K5" s="2206"/>
      <c r="L5" s="2206"/>
      <c r="M5" s="2206"/>
      <c r="N5" s="2206"/>
      <c r="O5" s="2206"/>
      <c r="P5" s="2206"/>
      <c r="Q5" s="2207"/>
    </row>
    <row r="6" spans="2:17" ht="27" customHeight="1" thickBot="1" x14ac:dyDescent="0.3">
      <c r="B6" s="625"/>
      <c r="C6" s="1798">
        <v>2006</v>
      </c>
      <c r="D6" s="1799">
        <v>2007</v>
      </c>
      <c r="E6" s="1799">
        <v>2008</v>
      </c>
      <c r="F6" s="1799">
        <v>2009</v>
      </c>
      <c r="G6" s="1799">
        <v>2010</v>
      </c>
      <c r="H6" s="1799">
        <v>2011</v>
      </c>
      <c r="I6" s="1799">
        <v>2012</v>
      </c>
      <c r="J6" s="1799">
        <v>2013</v>
      </c>
      <c r="K6" s="1799">
        <v>2014</v>
      </c>
      <c r="L6" s="1799">
        <v>2015</v>
      </c>
      <c r="M6" s="1800">
        <v>2016</v>
      </c>
      <c r="N6" s="1799">
        <v>2017</v>
      </c>
      <c r="O6" s="1801">
        <v>2018</v>
      </c>
      <c r="P6" s="1802">
        <v>2019</v>
      </c>
      <c r="Q6" s="1803" t="s">
        <v>1703</v>
      </c>
    </row>
    <row r="7" spans="2:17" ht="18" customHeight="1" x14ac:dyDescent="0.25">
      <c r="B7" s="1804" t="s">
        <v>853</v>
      </c>
      <c r="C7" s="1805">
        <v>1</v>
      </c>
      <c r="D7" s="1806">
        <v>1</v>
      </c>
      <c r="E7" s="1806">
        <v>1</v>
      </c>
      <c r="F7" s="1806">
        <v>1</v>
      </c>
      <c r="G7" s="1806">
        <v>1</v>
      </c>
      <c r="H7" s="1806">
        <v>1</v>
      </c>
      <c r="I7" s="1806">
        <v>1</v>
      </c>
      <c r="J7" s="1806">
        <v>1</v>
      </c>
      <c r="K7" s="1806">
        <v>1</v>
      </c>
      <c r="L7" s="1806">
        <v>1</v>
      </c>
      <c r="M7" s="1807">
        <v>1</v>
      </c>
      <c r="N7" s="1806">
        <v>1</v>
      </c>
      <c r="O7" s="1808">
        <v>1</v>
      </c>
      <c r="P7" s="1806">
        <v>1</v>
      </c>
      <c r="Q7" s="1809">
        <v>1</v>
      </c>
    </row>
    <row r="8" spans="2:17" ht="18" customHeight="1" x14ac:dyDescent="0.25">
      <c r="B8" s="1810" t="s">
        <v>671</v>
      </c>
      <c r="C8" s="1811">
        <v>0</v>
      </c>
      <c r="D8" s="1812">
        <v>0</v>
      </c>
      <c r="E8" s="1812">
        <v>0</v>
      </c>
      <c r="F8" s="1812">
        <v>0</v>
      </c>
      <c r="G8" s="1812">
        <v>0</v>
      </c>
      <c r="H8" s="1812">
        <v>0</v>
      </c>
      <c r="I8" s="1812">
        <v>0</v>
      </c>
      <c r="J8" s="1812">
        <v>0</v>
      </c>
      <c r="K8" s="1812">
        <v>0</v>
      </c>
      <c r="L8" s="1812">
        <v>1</v>
      </c>
      <c r="M8" s="1813">
        <v>1</v>
      </c>
      <c r="N8" s="859">
        <v>1</v>
      </c>
      <c r="O8" s="1814">
        <v>1</v>
      </c>
      <c r="P8" s="1812">
        <v>1</v>
      </c>
      <c r="Q8" s="1815">
        <v>1</v>
      </c>
    </row>
    <row r="9" spans="2:17" ht="18" customHeight="1" x14ac:dyDescent="0.25">
      <c r="B9" s="1816" t="s">
        <v>672</v>
      </c>
      <c r="C9" s="1811">
        <v>0</v>
      </c>
      <c r="D9" s="1812">
        <v>0</v>
      </c>
      <c r="E9" s="1812">
        <v>0</v>
      </c>
      <c r="F9" s="1812">
        <v>0</v>
      </c>
      <c r="G9" s="1812">
        <v>0</v>
      </c>
      <c r="H9" s="1812">
        <v>0</v>
      </c>
      <c r="I9" s="1812">
        <v>0</v>
      </c>
      <c r="J9" s="1812">
        <v>0</v>
      </c>
      <c r="K9" s="1812">
        <v>0</v>
      </c>
      <c r="L9" s="1812">
        <v>0</v>
      </c>
      <c r="M9" s="1813">
        <v>1</v>
      </c>
      <c r="N9" s="859">
        <v>1</v>
      </c>
      <c r="O9" s="1814">
        <v>1</v>
      </c>
      <c r="P9" s="1812">
        <v>1</v>
      </c>
      <c r="Q9" s="1815">
        <v>1</v>
      </c>
    </row>
    <row r="10" spans="2:17" ht="18" customHeight="1" x14ac:dyDescent="0.25">
      <c r="B10" s="1810" t="s">
        <v>854</v>
      </c>
      <c r="C10" s="1811">
        <v>0</v>
      </c>
      <c r="D10" s="1812">
        <v>0</v>
      </c>
      <c r="E10" s="1812">
        <v>0</v>
      </c>
      <c r="F10" s="1812">
        <v>0</v>
      </c>
      <c r="G10" s="1812">
        <v>0</v>
      </c>
      <c r="H10" s="1812">
        <v>0</v>
      </c>
      <c r="I10" s="1812">
        <v>0</v>
      </c>
      <c r="J10" s="1812">
        <v>0</v>
      </c>
      <c r="K10" s="1812">
        <v>0</v>
      </c>
      <c r="L10" s="1812">
        <v>0</v>
      </c>
      <c r="M10" s="1813">
        <v>0</v>
      </c>
      <c r="N10" s="1812">
        <v>0</v>
      </c>
      <c r="O10" s="1814">
        <v>0</v>
      </c>
      <c r="P10" s="1812">
        <v>0</v>
      </c>
      <c r="Q10" s="1815">
        <v>0</v>
      </c>
    </row>
    <row r="11" spans="2:17" ht="18" customHeight="1" x14ac:dyDescent="0.25">
      <c r="B11" s="1816" t="s">
        <v>667</v>
      </c>
      <c r="C11" s="1817">
        <v>1</v>
      </c>
      <c r="D11" s="859">
        <v>1</v>
      </c>
      <c r="E11" s="859">
        <v>1</v>
      </c>
      <c r="F11" s="859">
        <v>1</v>
      </c>
      <c r="G11" s="859">
        <v>1</v>
      </c>
      <c r="H11" s="859">
        <v>1</v>
      </c>
      <c r="I11" s="859">
        <v>1</v>
      </c>
      <c r="J11" s="859">
        <v>1</v>
      </c>
      <c r="K11" s="859">
        <v>1</v>
      </c>
      <c r="L11" s="859">
        <v>2</v>
      </c>
      <c r="M11" s="859">
        <v>2</v>
      </c>
      <c r="N11" s="859">
        <v>2</v>
      </c>
      <c r="O11" s="1818">
        <v>2</v>
      </c>
      <c r="P11" s="859">
        <v>2</v>
      </c>
      <c r="Q11" s="1819">
        <v>2</v>
      </c>
    </row>
    <row r="12" spans="2:17" ht="18" customHeight="1" x14ac:dyDescent="0.25">
      <c r="B12" s="1826" t="s">
        <v>855</v>
      </c>
      <c r="C12" s="1827">
        <v>7</v>
      </c>
      <c r="D12" s="1828">
        <v>7</v>
      </c>
      <c r="E12" s="1828">
        <v>8</v>
      </c>
      <c r="F12" s="1828">
        <v>8</v>
      </c>
      <c r="G12" s="1828">
        <v>8</v>
      </c>
      <c r="H12" s="1828">
        <v>8</v>
      </c>
      <c r="I12" s="1828">
        <v>8</v>
      </c>
      <c r="J12" s="1828">
        <v>8</v>
      </c>
      <c r="K12" s="1828">
        <v>8</v>
      </c>
      <c r="L12" s="1828">
        <v>8</v>
      </c>
      <c r="M12" s="1828">
        <v>8</v>
      </c>
      <c r="N12" s="1828">
        <v>8</v>
      </c>
      <c r="O12" s="1828">
        <v>8</v>
      </c>
      <c r="P12" s="812">
        <v>8</v>
      </c>
      <c r="Q12" s="1829">
        <v>8</v>
      </c>
    </row>
    <row r="13" spans="2:17" ht="18" customHeight="1" x14ac:dyDescent="0.25">
      <c r="B13" s="1821" t="s">
        <v>670</v>
      </c>
      <c r="C13" s="1820">
        <v>4</v>
      </c>
      <c r="D13" s="1822">
        <v>4</v>
      </c>
      <c r="E13" s="1822">
        <v>4</v>
      </c>
      <c r="F13" s="1822">
        <v>4</v>
      </c>
      <c r="G13" s="1822">
        <v>4</v>
      </c>
      <c r="H13" s="1822">
        <v>4</v>
      </c>
      <c r="I13" s="1822">
        <v>4</v>
      </c>
      <c r="J13" s="1822">
        <v>4</v>
      </c>
      <c r="K13" s="1822">
        <v>4</v>
      </c>
      <c r="L13" s="1823">
        <v>4</v>
      </c>
      <c r="M13" s="1822">
        <v>4</v>
      </c>
      <c r="N13" s="1822">
        <v>4</v>
      </c>
      <c r="O13" s="1822">
        <v>4</v>
      </c>
      <c r="P13" s="804">
        <v>4</v>
      </c>
      <c r="Q13" s="1824">
        <v>4</v>
      </c>
    </row>
    <row r="14" spans="2:17" ht="18" customHeight="1" x14ac:dyDescent="0.25">
      <c r="B14" s="1816" t="s">
        <v>668</v>
      </c>
      <c r="C14" s="1817">
        <v>5</v>
      </c>
      <c r="D14" s="859">
        <v>5</v>
      </c>
      <c r="E14" s="859">
        <v>5</v>
      </c>
      <c r="F14" s="859">
        <v>6</v>
      </c>
      <c r="G14" s="859">
        <v>8</v>
      </c>
      <c r="H14" s="859">
        <v>7</v>
      </c>
      <c r="I14" s="859">
        <v>7.5</v>
      </c>
      <c r="J14" s="859">
        <v>7.5</v>
      </c>
      <c r="K14" s="859">
        <v>8.5</v>
      </c>
      <c r="L14" s="859">
        <v>8.5</v>
      </c>
      <c r="M14" s="1818">
        <v>8.5</v>
      </c>
      <c r="N14" s="859">
        <v>8.5</v>
      </c>
      <c r="O14" s="1825">
        <v>8.5</v>
      </c>
      <c r="P14" s="859">
        <v>8.5</v>
      </c>
      <c r="Q14" s="1819">
        <v>8.5</v>
      </c>
    </row>
    <row r="15" spans="2:17" ht="18" customHeight="1" x14ac:dyDescent="0.25">
      <c r="B15" s="1816" t="s">
        <v>611</v>
      </c>
      <c r="C15" s="1817">
        <v>1</v>
      </c>
      <c r="D15" s="859">
        <v>2</v>
      </c>
      <c r="E15" s="859">
        <v>3</v>
      </c>
      <c r="F15" s="859">
        <v>3</v>
      </c>
      <c r="G15" s="859">
        <v>3</v>
      </c>
      <c r="H15" s="859">
        <v>3</v>
      </c>
      <c r="I15" s="859">
        <v>3</v>
      </c>
      <c r="J15" s="859">
        <v>3</v>
      </c>
      <c r="K15" s="859">
        <v>3</v>
      </c>
      <c r="L15" s="859">
        <v>3</v>
      </c>
      <c r="M15" s="1818">
        <v>3</v>
      </c>
      <c r="N15" s="859">
        <v>3</v>
      </c>
      <c r="O15" s="1825">
        <v>3</v>
      </c>
      <c r="P15" s="859">
        <v>3</v>
      </c>
      <c r="Q15" s="1819">
        <v>3</v>
      </c>
    </row>
    <row r="16" spans="2:17" ht="18" customHeight="1" x14ac:dyDescent="0.25">
      <c r="B16" s="1816" t="s">
        <v>856</v>
      </c>
      <c r="C16" s="1817">
        <v>3</v>
      </c>
      <c r="D16" s="859">
        <v>3</v>
      </c>
      <c r="E16" s="859">
        <v>4</v>
      </c>
      <c r="F16" s="859">
        <v>4</v>
      </c>
      <c r="G16" s="859">
        <v>3</v>
      </c>
      <c r="H16" s="859">
        <v>3</v>
      </c>
      <c r="I16" s="859">
        <v>4</v>
      </c>
      <c r="J16" s="859">
        <v>4</v>
      </c>
      <c r="K16" s="859">
        <v>4</v>
      </c>
      <c r="L16" s="859">
        <v>4</v>
      </c>
      <c r="M16" s="1818">
        <v>5</v>
      </c>
      <c r="N16" s="859">
        <v>5</v>
      </c>
      <c r="O16" s="1825">
        <v>5</v>
      </c>
      <c r="P16" s="859">
        <v>5</v>
      </c>
      <c r="Q16" s="1819">
        <v>5</v>
      </c>
    </row>
    <row r="17" spans="2:17" ht="18" customHeight="1" x14ac:dyDescent="0.25">
      <c r="B17" s="1816" t="s">
        <v>669</v>
      </c>
      <c r="C17" s="1817">
        <v>7</v>
      </c>
      <c r="D17" s="859">
        <v>7</v>
      </c>
      <c r="E17" s="859">
        <v>8.5</v>
      </c>
      <c r="F17" s="859">
        <v>9.5</v>
      </c>
      <c r="G17" s="859">
        <v>9.5</v>
      </c>
      <c r="H17" s="859">
        <v>9.5</v>
      </c>
      <c r="I17" s="859">
        <v>9.5</v>
      </c>
      <c r="J17" s="859">
        <v>9.5</v>
      </c>
      <c r="K17" s="859">
        <v>9.5</v>
      </c>
      <c r="L17" s="859">
        <v>9.5</v>
      </c>
      <c r="M17" s="1818">
        <v>9.5</v>
      </c>
      <c r="N17" s="859">
        <v>9.5</v>
      </c>
      <c r="O17" s="1825">
        <v>9.5</v>
      </c>
      <c r="P17" s="859">
        <v>9.5</v>
      </c>
      <c r="Q17" s="1819">
        <v>9.5</v>
      </c>
    </row>
    <row r="18" spans="2:17" ht="18" customHeight="1" x14ac:dyDescent="0.25">
      <c r="B18" s="1826" t="s">
        <v>857</v>
      </c>
      <c r="C18" s="1827">
        <v>1</v>
      </c>
      <c r="D18" s="1828">
        <v>1</v>
      </c>
      <c r="E18" s="1828">
        <v>1</v>
      </c>
      <c r="F18" s="1828">
        <v>1</v>
      </c>
      <c r="G18" s="1828">
        <v>1</v>
      </c>
      <c r="H18" s="1828">
        <v>1</v>
      </c>
      <c r="I18" s="1828">
        <v>1</v>
      </c>
      <c r="J18" s="1828">
        <v>1</v>
      </c>
      <c r="K18" s="1828">
        <v>1</v>
      </c>
      <c r="L18" s="1828">
        <v>1</v>
      </c>
      <c r="M18" s="1828">
        <v>1</v>
      </c>
      <c r="N18" s="1828">
        <v>1</v>
      </c>
      <c r="O18" s="1828">
        <v>1</v>
      </c>
      <c r="P18" s="812">
        <v>1</v>
      </c>
      <c r="Q18" s="1829">
        <v>1</v>
      </c>
    </row>
    <row r="19" spans="2:17" ht="18" customHeight="1" x14ac:dyDescent="0.25">
      <c r="B19" s="1821" t="s">
        <v>858</v>
      </c>
      <c r="C19" s="1820">
        <v>1</v>
      </c>
      <c r="D19" s="1822">
        <v>1</v>
      </c>
      <c r="E19" s="1822">
        <v>1</v>
      </c>
      <c r="F19" s="1822">
        <v>1</v>
      </c>
      <c r="G19" s="1822">
        <v>1</v>
      </c>
      <c r="H19" s="1822">
        <v>1</v>
      </c>
      <c r="I19" s="1822">
        <v>1</v>
      </c>
      <c r="J19" s="1822">
        <v>1</v>
      </c>
      <c r="K19" s="1822">
        <v>1</v>
      </c>
      <c r="L19" s="1823">
        <v>1</v>
      </c>
      <c r="M19" s="1822">
        <v>1</v>
      </c>
      <c r="N19" s="1822">
        <v>1</v>
      </c>
      <c r="O19" s="1822">
        <v>1</v>
      </c>
      <c r="P19" s="804">
        <v>1</v>
      </c>
      <c r="Q19" s="1824">
        <v>1</v>
      </c>
    </row>
    <row r="20" spans="2:17" ht="18" customHeight="1" x14ac:dyDescent="0.25">
      <c r="B20" s="1810" t="s">
        <v>296</v>
      </c>
      <c r="C20" s="1817">
        <v>0</v>
      </c>
      <c r="D20" s="859">
        <v>0</v>
      </c>
      <c r="E20" s="859">
        <v>0</v>
      </c>
      <c r="F20" s="859">
        <v>0</v>
      </c>
      <c r="G20" s="859">
        <v>0</v>
      </c>
      <c r="H20" s="859">
        <v>0</v>
      </c>
      <c r="I20" s="859">
        <v>0</v>
      </c>
      <c r="J20" s="859">
        <v>0</v>
      </c>
      <c r="K20" s="1818">
        <v>2</v>
      </c>
      <c r="L20" s="859">
        <v>5</v>
      </c>
      <c r="M20" s="1818">
        <v>6</v>
      </c>
      <c r="N20" s="859">
        <v>7</v>
      </c>
      <c r="O20" s="1825">
        <v>7</v>
      </c>
      <c r="P20" s="859">
        <v>8</v>
      </c>
      <c r="Q20" s="1819">
        <v>8</v>
      </c>
    </row>
    <row r="21" spans="2:17" ht="18" customHeight="1" thickBot="1" x14ac:dyDescent="0.3">
      <c r="B21" s="1830" t="s">
        <v>226</v>
      </c>
      <c r="C21" s="1831">
        <v>3</v>
      </c>
      <c r="D21" s="1832">
        <v>3</v>
      </c>
      <c r="E21" s="1832">
        <v>3</v>
      </c>
      <c r="F21" s="1832">
        <v>3</v>
      </c>
      <c r="G21" s="1832">
        <v>3</v>
      </c>
      <c r="H21" s="1832">
        <v>3</v>
      </c>
      <c r="I21" s="1832">
        <v>3</v>
      </c>
      <c r="J21" s="1832">
        <v>3</v>
      </c>
      <c r="K21" s="1832">
        <v>3</v>
      </c>
      <c r="L21" s="1832">
        <v>3</v>
      </c>
      <c r="M21" s="1833">
        <v>3</v>
      </c>
      <c r="N21" s="1832">
        <v>3</v>
      </c>
      <c r="O21" s="1834">
        <v>3</v>
      </c>
      <c r="P21" s="1832">
        <v>3</v>
      </c>
      <c r="Q21" s="1835">
        <v>3</v>
      </c>
    </row>
    <row r="22" spans="2:17" ht="8.25" customHeight="1" thickBot="1" x14ac:dyDescent="0.3"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</row>
    <row r="23" spans="2:17" x14ac:dyDescent="0.25">
      <c r="B23" s="1836" t="s">
        <v>674</v>
      </c>
      <c r="C23" s="1837">
        <f>SUM(C7:C22)</f>
        <v>34</v>
      </c>
      <c r="D23" s="1837">
        <f>SUM(D7:D22)</f>
        <v>35</v>
      </c>
      <c r="E23" s="1837">
        <f t="shared" ref="E23:M23" si="0">SUM(E7:E21)</f>
        <v>39.5</v>
      </c>
      <c r="F23" s="1837">
        <f t="shared" si="0"/>
        <v>41.5</v>
      </c>
      <c r="G23" s="1837">
        <f t="shared" si="0"/>
        <v>42.5</v>
      </c>
      <c r="H23" s="1837">
        <f t="shared" si="0"/>
        <v>41.5</v>
      </c>
      <c r="I23" s="1837">
        <f t="shared" si="0"/>
        <v>43</v>
      </c>
      <c r="J23" s="1837">
        <f t="shared" si="0"/>
        <v>43</v>
      </c>
      <c r="K23" s="1837">
        <f t="shared" si="0"/>
        <v>46</v>
      </c>
      <c r="L23" s="1837">
        <f t="shared" si="0"/>
        <v>51</v>
      </c>
      <c r="M23" s="1837">
        <f t="shared" si="0"/>
        <v>54</v>
      </c>
      <c r="N23" s="1837">
        <f>SUM(N7:N22)</f>
        <v>55</v>
      </c>
      <c r="O23" s="1837">
        <f>SUM(O7:O22)</f>
        <v>55</v>
      </c>
      <c r="P23" s="1837">
        <f>SUM(P7:P22)</f>
        <v>56</v>
      </c>
      <c r="Q23" s="1838">
        <f>SUM(Q7:Q22)</f>
        <v>56</v>
      </c>
    </row>
    <row r="24" spans="2:17" s="1839" customFormat="1" ht="14.25" thickBot="1" x14ac:dyDescent="0.3">
      <c r="B24" s="1840" t="s">
        <v>675</v>
      </c>
      <c r="C24" s="1841"/>
      <c r="D24" s="1841">
        <f>D23-C23</f>
        <v>1</v>
      </c>
      <c r="E24" s="1841">
        <f t="shared" ref="E24:Q24" si="1">E23-D23</f>
        <v>4.5</v>
      </c>
      <c r="F24" s="1841">
        <f t="shared" si="1"/>
        <v>2</v>
      </c>
      <c r="G24" s="1841">
        <f t="shared" si="1"/>
        <v>1</v>
      </c>
      <c r="H24" s="1841">
        <f t="shared" si="1"/>
        <v>-1</v>
      </c>
      <c r="I24" s="1841">
        <f t="shared" si="1"/>
        <v>1.5</v>
      </c>
      <c r="J24" s="1841">
        <f t="shared" si="1"/>
        <v>0</v>
      </c>
      <c r="K24" s="1841">
        <f t="shared" si="1"/>
        <v>3</v>
      </c>
      <c r="L24" s="1841">
        <f t="shared" si="1"/>
        <v>5</v>
      </c>
      <c r="M24" s="1841">
        <f t="shared" si="1"/>
        <v>3</v>
      </c>
      <c r="N24" s="1841">
        <f t="shared" si="1"/>
        <v>1</v>
      </c>
      <c r="O24" s="1841">
        <f t="shared" si="1"/>
        <v>0</v>
      </c>
      <c r="P24" s="1841">
        <f t="shared" si="1"/>
        <v>1</v>
      </c>
      <c r="Q24" s="1842">
        <f t="shared" si="1"/>
        <v>0</v>
      </c>
    </row>
    <row r="25" spans="2:17" ht="4.5" customHeight="1" thickBot="1" x14ac:dyDescent="0.3"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</row>
    <row r="26" spans="2:17" ht="14.25" thickBot="1" x14ac:dyDescent="0.3">
      <c r="B26" s="1843" t="s">
        <v>676</v>
      </c>
      <c r="C26" s="1844">
        <v>34</v>
      </c>
      <c r="D26" s="1844">
        <v>35</v>
      </c>
      <c r="E26" s="1844">
        <v>39.5</v>
      </c>
      <c r="F26" s="1844">
        <v>41.5</v>
      </c>
      <c r="G26" s="1844">
        <v>42.5</v>
      </c>
      <c r="H26" s="1844">
        <v>51.5</v>
      </c>
      <c r="I26" s="1844">
        <v>43</v>
      </c>
      <c r="J26" s="1844">
        <v>43</v>
      </c>
      <c r="K26" s="1844">
        <v>44</v>
      </c>
      <c r="L26" s="1844">
        <v>46</v>
      </c>
      <c r="M26" s="1844">
        <v>48</v>
      </c>
      <c r="N26" s="1844">
        <v>48</v>
      </c>
      <c r="O26" s="1844">
        <v>49</v>
      </c>
      <c r="P26" s="1844">
        <v>49</v>
      </c>
      <c r="Q26" s="1845">
        <v>49</v>
      </c>
    </row>
    <row r="27" spans="2:17" ht="15.75" hidden="1" x14ac:dyDescent="0.3">
      <c r="B27" s="1846" t="s">
        <v>859</v>
      </c>
    </row>
    <row r="28" spans="2:17" ht="15.75" hidden="1" x14ac:dyDescent="0.3">
      <c r="B28" s="1846"/>
      <c r="C28" s="1797" t="s">
        <v>677</v>
      </c>
    </row>
    <row r="29" spans="2:17" ht="15.75" hidden="1" x14ac:dyDescent="0.3">
      <c r="B29" s="1846"/>
      <c r="C29" s="1797" t="s">
        <v>678</v>
      </c>
    </row>
    <row r="30" spans="2:17" hidden="1" x14ac:dyDescent="0.25">
      <c r="C30" s="1797" t="s">
        <v>679</v>
      </c>
    </row>
    <row r="31" spans="2:17" ht="15.75" hidden="1" x14ac:dyDescent="0.3">
      <c r="B31" s="1797" t="s">
        <v>1704</v>
      </c>
    </row>
    <row r="32" spans="2:17" ht="15.75" hidden="1" x14ac:dyDescent="0.3">
      <c r="B32" s="1846" t="s">
        <v>680</v>
      </c>
      <c r="C32" s="1797" t="s">
        <v>681</v>
      </c>
    </row>
    <row r="33" spans="2:17" hidden="1" x14ac:dyDescent="0.25">
      <c r="C33" s="1797" t="s">
        <v>682</v>
      </c>
    </row>
    <row r="34" spans="2:17" ht="6" customHeight="1" thickBot="1" x14ac:dyDescent="0.3"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</row>
    <row r="35" spans="2:17" s="1847" customFormat="1" ht="14.25" thickBot="1" x14ac:dyDescent="0.3">
      <c r="B35" s="1848" t="s">
        <v>673</v>
      </c>
      <c r="C35" s="1849">
        <v>14</v>
      </c>
      <c r="D35" s="1850">
        <v>13</v>
      </c>
      <c r="E35" s="1850">
        <v>13</v>
      </c>
      <c r="F35" s="1850">
        <v>13</v>
      </c>
      <c r="G35" s="1850">
        <v>13</v>
      </c>
      <c r="H35" s="1850">
        <v>13</v>
      </c>
      <c r="I35" s="1850">
        <v>13</v>
      </c>
      <c r="J35" s="1850">
        <v>13</v>
      </c>
      <c r="K35" s="1850">
        <v>15</v>
      </c>
      <c r="L35" s="1850">
        <v>22</v>
      </c>
      <c r="M35" s="1851">
        <v>26</v>
      </c>
      <c r="N35" s="1850">
        <v>38</v>
      </c>
      <c r="O35" s="1852">
        <v>38</v>
      </c>
      <c r="P35" s="1850">
        <v>38</v>
      </c>
      <c r="Q35" s="1853">
        <v>42</v>
      </c>
    </row>
    <row r="36" spans="2:17" x14ac:dyDescent="0.25"/>
    <row r="37" spans="2:17" x14ac:dyDescent="0.25"/>
    <row r="38" spans="2:17" x14ac:dyDescent="0.25"/>
    <row r="39" spans="2:17" x14ac:dyDescent="0.25"/>
    <row r="40" spans="2:17" x14ac:dyDescent="0.25"/>
    <row r="41" spans="2:17" x14ac:dyDescent="0.25"/>
    <row r="42" spans="2:17" x14ac:dyDescent="0.25"/>
    <row r="43" spans="2:17" x14ac:dyDescent="0.25"/>
  </sheetData>
  <mergeCells count="1">
    <mergeCell ref="C5:Q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8"/>
  <sheetViews>
    <sheetView workbookViewId="0"/>
  </sheetViews>
  <sheetFormatPr defaultRowHeight="12.75" x14ac:dyDescent="0.2"/>
  <cols>
    <col min="2" max="2" width="20.7109375" bestFit="1" customWidth="1"/>
    <col min="3" max="3" width="11.140625" bestFit="1" customWidth="1"/>
  </cols>
  <sheetData>
    <row r="4" spans="2:3" ht="14.25" thickBot="1" x14ac:dyDescent="0.3">
      <c r="B4" s="1793" t="s">
        <v>260</v>
      </c>
      <c r="C4" s="1794">
        <f>+'Souhrn příjmů a výdajů 2021'!I6</f>
        <v>103854597</v>
      </c>
    </row>
    <row r="5" spans="2:3" ht="14.25" thickBot="1" x14ac:dyDescent="0.3">
      <c r="B5" s="1793" t="s">
        <v>262</v>
      </c>
      <c r="C5" s="1794">
        <f>'Souhrn příjmů a výdajů 2021'!I27</f>
        <v>24482205</v>
      </c>
    </row>
    <row r="6" spans="2:3" ht="14.25" thickBot="1" x14ac:dyDescent="0.3">
      <c r="B6" s="1793" t="s">
        <v>265</v>
      </c>
      <c r="C6" s="1794">
        <f>'Souhrn příjmů a výdajů 2021'!I57</f>
        <v>65000</v>
      </c>
    </row>
    <row r="7" spans="2:3" ht="14.25" thickBot="1" x14ac:dyDescent="0.3">
      <c r="B7" s="1793" t="s">
        <v>270</v>
      </c>
      <c r="C7" s="1794">
        <f>'Souhrn příjmů a výdajů 2021'!I62</f>
        <v>18739376</v>
      </c>
    </row>
    <row r="8" spans="2:3" ht="14.25" thickBot="1" x14ac:dyDescent="0.3">
      <c r="B8" s="1793" t="s">
        <v>274</v>
      </c>
      <c r="C8" s="1794">
        <f>'Souhrn příjmů a výdajů 2021'!I75</f>
        <v>11000000</v>
      </c>
    </row>
    <row r="9" spans="2:3" x14ac:dyDescent="0.2">
      <c r="B9" s="15"/>
      <c r="C9" s="29">
        <f>SUM(C4:C8)</f>
        <v>158141178</v>
      </c>
    </row>
    <row r="36" spans="2:3" ht="13.5" thickBot="1" x14ac:dyDescent="0.25">
      <c r="B36" s="1795" t="s">
        <v>280</v>
      </c>
      <c r="C36" s="1794">
        <f>'Souhrn příjmů a výdajů 2021'!I85</f>
        <v>123067947.87349999</v>
      </c>
    </row>
    <row r="37" spans="2:3" ht="13.5" thickBot="1" x14ac:dyDescent="0.25">
      <c r="B37" s="1796" t="s">
        <v>283</v>
      </c>
      <c r="C37" s="1794">
        <f>'Souhrn příjmů a výdajů 2021'!I134</f>
        <v>16196108.68</v>
      </c>
    </row>
    <row r="38" spans="2:3" ht="13.5" thickBot="1" x14ac:dyDescent="0.25">
      <c r="B38" s="1796" t="s">
        <v>274</v>
      </c>
      <c r="C38" s="1794">
        <f>'Souhrn příjmů a výdajů 2021'!I147</f>
        <v>18877121.446500011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K77"/>
  <sheetViews>
    <sheetView topLeftCell="D40" zoomScale="86" zoomScaleNormal="86" workbookViewId="0">
      <selection activeCell="M14" sqref="M14"/>
    </sheetView>
  </sheetViews>
  <sheetFormatPr defaultColWidth="9.140625" defaultRowHeight="13.5" x14ac:dyDescent="0.25"/>
  <cols>
    <col min="1" max="1" width="9.28515625" style="760" bestFit="1" customWidth="1"/>
    <col min="2" max="2" width="6.7109375" style="760" bestFit="1" customWidth="1"/>
    <col min="3" max="3" width="9.28515625" style="760" bestFit="1" customWidth="1"/>
    <col min="4" max="4" width="74.5703125" style="853" customWidth="1"/>
    <col min="5" max="5" width="14.42578125" style="854" hidden="1" customWidth="1"/>
    <col min="6" max="6" width="16.28515625" style="854" hidden="1" customWidth="1"/>
    <col min="7" max="8" width="16.7109375" style="854" hidden="1" customWidth="1"/>
    <col min="9" max="9" width="16" style="855" hidden="1" customWidth="1"/>
    <col min="10" max="11" width="16.7109375" style="854" hidden="1" customWidth="1"/>
    <col min="12" max="12" width="16" style="855" hidden="1" customWidth="1"/>
    <col min="13" max="13" width="16" style="855" customWidth="1"/>
    <col min="14" max="15" width="20.7109375" style="763" customWidth="1"/>
    <col min="16" max="16" width="11.5703125" style="763" bestFit="1" customWidth="1"/>
    <col min="17" max="17" width="16.42578125" style="768" bestFit="1" customWidth="1"/>
    <col min="18" max="18" width="18.85546875" style="768" bestFit="1" customWidth="1"/>
    <col min="19" max="20" width="16.42578125" style="768" bestFit="1" customWidth="1"/>
    <col min="21" max="21" width="12.85546875" style="768" bestFit="1" customWidth="1"/>
    <col min="22" max="22" width="16.42578125" style="769" bestFit="1" customWidth="1"/>
    <col min="23" max="23" width="9.28515625" style="768" bestFit="1" customWidth="1"/>
    <col min="24" max="24" width="12.85546875" style="767" bestFit="1" customWidth="1"/>
    <col min="25" max="25" width="11.5703125" style="770" bestFit="1" customWidth="1"/>
    <col min="26" max="26" width="9.28515625" style="759" bestFit="1" customWidth="1"/>
    <col min="27" max="16384" width="9.140625" style="759"/>
  </cols>
  <sheetData>
    <row r="1" spans="1:25" ht="16.5" customHeight="1" x14ac:dyDescent="0.25">
      <c r="A1" s="767"/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</row>
    <row r="2" spans="1:25" s="780" customFormat="1" ht="16.5" x14ac:dyDescent="0.3">
      <c r="A2" s="771" t="s">
        <v>1951</v>
      </c>
      <c r="B2" s="772"/>
      <c r="C2" s="772"/>
      <c r="D2" s="773"/>
      <c r="E2" s="774"/>
      <c r="F2" s="774"/>
      <c r="G2" s="774"/>
      <c r="H2" s="774"/>
      <c r="I2" s="775"/>
      <c r="J2" s="774"/>
      <c r="K2" s="774"/>
      <c r="L2" s="775"/>
      <c r="M2" s="775"/>
      <c r="N2" s="1904"/>
      <c r="O2" s="1904"/>
      <c r="P2" s="1904"/>
      <c r="Q2" s="776"/>
      <c r="R2" s="776"/>
      <c r="S2" s="776"/>
      <c r="T2" s="776"/>
      <c r="U2" s="776"/>
      <c r="V2" s="777"/>
      <c r="W2" s="776"/>
      <c r="X2" s="778"/>
      <c r="Y2" s="779"/>
    </row>
    <row r="3" spans="1:25" ht="16.5" x14ac:dyDescent="0.3">
      <c r="A3" s="781" t="s">
        <v>977</v>
      </c>
      <c r="B3" s="619"/>
      <c r="C3" s="619"/>
      <c r="D3" s="782"/>
      <c r="E3" s="783"/>
      <c r="F3" s="783"/>
      <c r="G3" s="783"/>
      <c r="H3" s="783"/>
      <c r="I3" s="784"/>
      <c r="J3" s="783"/>
      <c r="K3" s="783"/>
      <c r="L3" s="784"/>
      <c r="M3" s="784"/>
    </row>
    <row r="4" spans="1:25" ht="15" customHeight="1" thickBot="1" x14ac:dyDescent="0.3">
      <c r="A4" s="618"/>
      <c r="B4" s="618"/>
      <c r="C4" s="618"/>
      <c r="D4" s="785"/>
      <c r="E4" s="786"/>
      <c r="F4" s="786"/>
      <c r="G4" s="786"/>
      <c r="H4" s="786"/>
      <c r="I4" s="787"/>
      <c r="J4" s="786"/>
      <c r="K4" s="786"/>
      <c r="L4" s="787"/>
      <c r="M4" s="787"/>
      <c r="Q4" s="770"/>
      <c r="R4" s="770"/>
      <c r="S4" s="1742"/>
      <c r="T4" s="1742" t="s">
        <v>829</v>
      </c>
      <c r="U4" s="1742"/>
      <c r="V4" s="1743" t="s">
        <v>884</v>
      </c>
    </row>
    <row r="5" spans="1:25" s="796" customFormat="1" ht="41.25" thickBot="1" x14ac:dyDescent="0.35">
      <c r="A5" s="2211" t="s">
        <v>0</v>
      </c>
      <c r="B5" s="2212"/>
      <c r="C5" s="2212"/>
      <c r="D5" s="2213"/>
      <c r="E5" s="790" t="s">
        <v>870</v>
      </c>
      <c r="F5" s="790" t="s">
        <v>1701</v>
      </c>
      <c r="G5" s="790" t="s">
        <v>1717</v>
      </c>
      <c r="H5" s="790" t="s">
        <v>1747</v>
      </c>
      <c r="I5" s="791" t="s">
        <v>1928</v>
      </c>
      <c r="J5" s="790" t="s">
        <v>1717</v>
      </c>
      <c r="K5" s="790" t="s">
        <v>1747</v>
      </c>
      <c r="L5" s="791" t="s">
        <v>1928</v>
      </c>
      <c r="M5" s="791" t="s">
        <v>1950</v>
      </c>
      <c r="N5" s="792"/>
      <c r="O5" s="2176">
        <v>2021</v>
      </c>
      <c r="P5" s="792"/>
      <c r="Q5" s="1744" t="s">
        <v>412</v>
      </c>
      <c r="R5" s="795">
        <v>2015</v>
      </c>
      <c r="S5" s="795">
        <v>2016</v>
      </c>
      <c r="T5" s="795">
        <v>2017</v>
      </c>
      <c r="U5" s="795">
        <v>2018</v>
      </c>
      <c r="V5" s="795">
        <v>2019</v>
      </c>
      <c r="W5" s="793"/>
      <c r="X5" s="794"/>
      <c r="Y5" s="795" t="s">
        <v>865</v>
      </c>
    </row>
    <row r="6" spans="1:25" s="796" customFormat="1" ht="20.25" customHeight="1" thickBot="1" x14ac:dyDescent="0.35">
      <c r="A6" s="797" t="s">
        <v>8</v>
      </c>
      <c r="B6" s="798" t="s">
        <v>9</v>
      </c>
      <c r="C6" s="798" t="s">
        <v>10</v>
      </c>
      <c r="D6" s="799" t="s">
        <v>11</v>
      </c>
      <c r="E6" s="800"/>
      <c r="F6" s="800"/>
      <c r="G6" s="800"/>
      <c r="H6" s="800"/>
      <c r="I6" s="801"/>
      <c r="J6" s="800"/>
      <c r="K6" s="800"/>
      <c r="L6" s="801"/>
      <c r="M6" s="801"/>
      <c r="N6" s="792"/>
      <c r="O6" s="792"/>
      <c r="P6" s="792"/>
      <c r="Q6" s="795"/>
      <c r="R6" s="795"/>
      <c r="S6" s="795"/>
      <c r="T6" s="795"/>
      <c r="U6" s="795"/>
      <c r="V6" s="1745"/>
      <c r="W6" s="793"/>
      <c r="X6" s="794"/>
      <c r="Y6" s="795"/>
    </row>
    <row r="7" spans="1:25" s="796" customFormat="1" ht="15" customHeight="1" x14ac:dyDescent="0.3">
      <c r="A7" s="803" t="s">
        <v>12</v>
      </c>
      <c r="B7" s="804"/>
      <c r="C7" s="804">
        <v>1111</v>
      </c>
      <c r="D7" s="805" t="s">
        <v>1960</v>
      </c>
      <c r="E7" s="806">
        <v>21600000</v>
      </c>
      <c r="F7" s="806">
        <v>26500000</v>
      </c>
      <c r="G7" s="806">
        <v>26453500</v>
      </c>
      <c r="H7" s="806">
        <v>22370444</v>
      </c>
      <c r="I7" s="1788">
        <f>21630750+739694</f>
        <v>22370444</v>
      </c>
      <c r="J7" s="806">
        <v>26453500</v>
      </c>
      <c r="K7" s="806">
        <v>22370444</v>
      </c>
      <c r="L7" s="1788">
        <f>21630750+739694</f>
        <v>22370444</v>
      </c>
      <c r="M7" s="1788">
        <f>21630750+739694+1000000-5000000</f>
        <v>18370444</v>
      </c>
      <c r="N7" s="1905"/>
      <c r="O7" s="1905">
        <v>25598839</v>
      </c>
      <c r="P7" s="1905"/>
      <c r="Q7" s="810">
        <f>+N7*0.25</f>
        <v>0</v>
      </c>
      <c r="R7" s="810">
        <v>15831877.970000001</v>
      </c>
      <c r="S7" s="810">
        <v>16931490</v>
      </c>
      <c r="T7" s="810">
        <v>12106810</v>
      </c>
      <c r="U7" s="810"/>
      <c r="V7" s="1745">
        <f>28251021-V8</f>
        <v>26151021</v>
      </c>
      <c r="W7" s="793"/>
      <c r="X7" s="809">
        <f>T7/8*12</f>
        <v>18160215</v>
      </c>
      <c r="Y7" s="810"/>
    </row>
    <row r="8" spans="1:25" s="796" customFormat="1" ht="15.75" x14ac:dyDescent="0.3">
      <c r="A8" s="811" t="s">
        <v>12</v>
      </c>
      <c r="B8" s="812"/>
      <c r="C8" s="812">
        <v>1112</v>
      </c>
      <c r="D8" s="813" t="s">
        <v>1962</v>
      </c>
      <c r="E8" s="814">
        <v>2100000</v>
      </c>
      <c r="F8" s="814">
        <v>2400000</v>
      </c>
      <c r="G8" s="814">
        <v>525250</v>
      </c>
      <c r="H8" s="814">
        <v>47750</v>
      </c>
      <c r="I8" s="1788">
        <v>47750</v>
      </c>
      <c r="J8" s="814">
        <v>525250</v>
      </c>
      <c r="K8" s="814">
        <v>47750</v>
      </c>
      <c r="L8" s="1788">
        <v>47750</v>
      </c>
      <c r="M8" s="1788">
        <v>387129</v>
      </c>
      <c r="N8" s="792"/>
      <c r="O8" s="792">
        <v>387129</v>
      </c>
      <c r="P8" s="792"/>
      <c r="Q8" s="810">
        <v>1538371.35</v>
      </c>
      <c r="R8" s="810">
        <v>1542747.04</v>
      </c>
      <c r="S8" s="810">
        <v>2184110</v>
      </c>
      <c r="T8" s="810">
        <v>317580</v>
      </c>
      <c r="U8" s="810"/>
      <c r="V8" s="1745">
        <v>2100000</v>
      </c>
      <c r="W8" s="793"/>
      <c r="X8" s="809">
        <f>+S8</f>
        <v>2184110</v>
      </c>
      <c r="Y8" s="810"/>
    </row>
    <row r="9" spans="1:25" s="796" customFormat="1" ht="15.75" customHeight="1" x14ac:dyDescent="0.3">
      <c r="A9" s="811">
        <v>0</v>
      </c>
      <c r="B9" s="812"/>
      <c r="C9" s="812">
        <v>1113</v>
      </c>
      <c r="D9" s="813" t="s">
        <v>1961</v>
      </c>
      <c r="E9" s="814">
        <v>600000</v>
      </c>
      <c r="F9" s="814">
        <v>600000</v>
      </c>
      <c r="G9" s="814">
        <v>2300000</v>
      </c>
      <c r="H9" s="814">
        <v>2185556</v>
      </c>
      <c r="I9" s="1788">
        <f>1384750+800806</f>
        <v>2185556</v>
      </c>
      <c r="J9" s="814">
        <v>2300000</v>
      </c>
      <c r="K9" s="814">
        <v>2185556</v>
      </c>
      <c r="L9" s="1788">
        <f>1384750+800806</f>
        <v>2185556</v>
      </c>
      <c r="M9" s="1788">
        <v>2419550</v>
      </c>
      <c r="N9" s="792"/>
      <c r="O9" s="792">
        <v>2419550</v>
      </c>
      <c r="P9" s="792"/>
      <c r="Q9" s="810"/>
      <c r="R9" s="810"/>
      <c r="S9" s="810">
        <v>1204780</v>
      </c>
      <c r="T9" s="810">
        <v>996290</v>
      </c>
      <c r="U9" s="810"/>
      <c r="V9" s="1745"/>
      <c r="W9" s="793"/>
      <c r="X9" s="809">
        <f>T9/8*12</f>
        <v>1494435</v>
      </c>
      <c r="Y9" s="810"/>
    </row>
    <row r="10" spans="1:25" s="796" customFormat="1" ht="15.75" customHeight="1" x14ac:dyDescent="0.3">
      <c r="A10" s="811"/>
      <c r="B10" s="812"/>
      <c r="C10" s="812">
        <v>1112</v>
      </c>
      <c r="D10" s="813" t="s">
        <v>1963</v>
      </c>
      <c r="E10" s="814"/>
      <c r="F10" s="814"/>
      <c r="G10" s="814"/>
      <c r="H10" s="814"/>
      <c r="I10" s="1788"/>
      <c r="J10" s="814"/>
      <c r="K10" s="814"/>
      <c r="L10" s="1788"/>
      <c r="M10" s="1788">
        <v>993379</v>
      </c>
      <c r="N10" s="792"/>
      <c r="O10" s="792">
        <v>993379</v>
      </c>
      <c r="P10" s="792"/>
      <c r="Q10" s="810"/>
      <c r="R10" s="810"/>
      <c r="S10" s="810"/>
      <c r="T10" s="810"/>
      <c r="U10" s="810"/>
      <c r="V10" s="1745"/>
      <c r="W10" s="793"/>
      <c r="X10" s="809"/>
      <c r="Y10" s="810"/>
    </row>
    <row r="11" spans="1:25" s="796" customFormat="1" ht="15.75" customHeight="1" x14ac:dyDescent="0.3">
      <c r="A11" s="811" t="s">
        <v>12</v>
      </c>
      <c r="B11" s="812"/>
      <c r="C11" s="812">
        <v>1121</v>
      </c>
      <c r="D11" s="813" t="s">
        <v>15</v>
      </c>
      <c r="E11" s="814">
        <v>20300000</v>
      </c>
      <c r="F11" s="814">
        <v>23300000</v>
      </c>
      <c r="G11" s="814">
        <v>22300000</v>
      </c>
      <c r="H11" s="814">
        <v>16893500</v>
      </c>
      <c r="I11" s="1788">
        <f>14993500+1900000</f>
        <v>16893500</v>
      </c>
      <c r="J11" s="814">
        <v>22300000</v>
      </c>
      <c r="K11" s="814">
        <v>16893500</v>
      </c>
      <c r="L11" s="1788">
        <f>14993500+1900000</f>
        <v>16893500</v>
      </c>
      <c r="M11" s="1788">
        <v>15097595</v>
      </c>
      <c r="N11" s="792"/>
      <c r="O11" s="792">
        <v>15097992</v>
      </c>
      <c r="P11" s="792"/>
      <c r="Q11" s="810">
        <v>15829709.810000001</v>
      </c>
      <c r="R11" s="810">
        <v>15527565.529999999</v>
      </c>
      <c r="S11" s="810">
        <v>19090960</v>
      </c>
      <c r="T11" s="810">
        <v>12313840</v>
      </c>
      <c r="U11" s="810"/>
      <c r="V11" s="1745">
        <v>20479158</v>
      </c>
      <c r="W11" s="793"/>
      <c r="X11" s="809">
        <f>T11/8*12</f>
        <v>18470760</v>
      </c>
      <c r="Y11" s="810"/>
    </row>
    <row r="12" spans="1:25" s="796" customFormat="1" ht="15.75" x14ac:dyDescent="0.3">
      <c r="A12" s="811" t="s">
        <v>12</v>
      </c>
      <c r="B12" s="812"/>
      <c r="C12" s="812">
        <v>1211</v>
      </c>
      <c r="D12" s="813" t="s">
        <v>16</v>
      </c>
      <c r="E12" s="814">
        <v>45000000</v>
      </c>
      <c r="F12" s="814">
        <v>54000000</v>
      </c>
      <c r="G12" s="814">
        <v>53337000</v>
      </c>
      <c r="H12" s="814">
        <v>48418500</v>
      </c>
      <c r="I12" s="1788">
        <v>48418500</v>
      </c>
      <c r="J12" s="814">
        <v>53337000</v>
      </c>
      <c r="K12" s="814">
        <v>48418500</v>
      </c>
      <c r="L12" s="1788">
        <v>48418500</v>
      </c>
      <c r="M12" s="1788">
        <v>48518500</v>
      </c>
      <c r="N12" s="792"/>
      <c r="O12" s="792">
        <v>50568595</v>
      </c>
      <c r="P12" s="792"/>
      <c r="Q12" s="810">
        <v>29668985.02</v>
      </c>
      <c r="R12" s="810">
        <v>30569234.809999999</v>
      </c>
      <c r="S12" s="810">
        <v>32871040</v>
      </c>
      <c r="T12" s="810">
        <v>24837780</v>
      </c>
      <c r="U12" s="810"/>
      <c r="V12" s="1745">
        <v>49121667</v>
      </c>
      <c r="W12" s="793"/>
      <c r="X12" s="809">
        <f>T12/8*12</f>
        <v>37256670</v>
      </c>
      <c r="Y12" s="810"/>
    </row>
    <row r="13" spans="1:25" s="796" customFormat="1" ht="15" customHeight="1" x14ac:dyDescent="0.3">
      <c r="A13" s="811"/>
      <c r="B13" s="812"/>
      <c r="C13" s="812" t="s">
        <v>17</v>
      </c>
      <c r="D13" s="813" t="s">
        <v>18</v>
      </c>
      <c r="E13" s="814">
        <v>0</v>
      </c>
      <c r="F13" s="814">
        <v>32000</v>
      </c>
      <c r="G13" s="814">
        <v>0</v>
      </c>
      <c r="H13" s="814">
        <v>0</v>
      </c>
      <c r="I13" s="815">
        <v>0</v>
      </c>
      <c r="J13" s="814">
        <v>0</v>
      </c>
      <c r="K13" s="814">
        <v>0</v>
      </c>
      <c r="L13" s="815">
        <v>0</v>
      </c>
      <c r="M13" s="815">
        <v>0</v>
      </c>
      <c r="N13" s="792"/>
      <c r="O13" s="792"/>
      <c r="P13" s="792"/>
      <c r="Q13" s="1745">
        <f t="shared" ref="Q13:V13" si="0">SUM(Q7:Q12)</f>
        <v>47037066.18</v>
      </c>
      <c r="R13" s="1745">
        <f t="shared" si="0"/>
        <v>63471425.349999994</v>
      </c>
      <c r="S13" s="1745">
        <f t="shared" si="0"/>
        <v>72282380</v>
      </c>
      <c r="T13" s="1745">
        <f t="shared" si="0"/>
        <v>50572300</v>
      </c>
      <c r="U13" s="1745">
        <f t="shared" si="0"/>
        <v>0</v>
      </c>
      <c r="V13" s="1745">
        <f t="shared" si="0"/>
        <v>97851846</v>
      </c>
      <c r="W13" s="816"/>
      <c r="X13" s="794">
        <f>SUM(X7:X12)</f>
        <v>77566190</v>
      </c>
      <c r="Y13" s="810">
        <f>SUM(Y7:Y12)</f>
        <v>0</v>
      </c>
    </row>
    <row r="14" spans="1:25" s="796" customFormat="1" ht="15.75" x14ac:dyDescent="0.3">
      <c r="A14" s="811" t="s">
        <v>12</v>
      </c>
      <c r="B14" s="812"/>
      <c r="C14" s="812" t="s">
        <v>19</v>
      </c>
      <c r="D14" s="813" t="s">
        <v>20</v>
      </c>
      <c r="E14" s="814">
        <v>4200000</v>
      </c>
      <c r="F14" s="814">
        <v>4540000</v>
      </c>
      <c r="G14" s="814">
        <v>6300000</v>
      </c>
      <c r="H14" s="814">
        <v>6300000</v>
      </c>
      <c r="I14" s="807">
        <v>6300000</v>
      </c>
      <c r="J14" s="814">
        <v>6300000</v>
      </c>
      <c r="K14" s="814">
        <v>6300000</v>
      </c>
      <c r="L14" s="807">
        <v>6300000</v>
      </c>
      <c r="M14" s="807">
        <v>6300000</v>
      </c>
      <c r="N14" s="792" t="s">
        <v>2048</v>
      </c>
      <c r="O14" s="792">
        <f>994*6884</f>
        <v>6842696</v>
      </c>
      <c r="P14" s="794"/>
      <c r="Q14" s="794">
        <v>6884</v>
      </c>
      <c r="R14" s="2177"/>
      <c r="S14" s="810"/>
      <c r="T14" s="810"/>
      <c r="U14" s="810"/>
      <c r="V14" s="1745" t="e">
        <f>+#REF!-V13</f>
        <v>#REF!</v>
      </c>
      <c r="W14" s="793"/>
      <c r="X14" s="809">
        <f>X13/V13</f>
        <v>0.79269010418055885</v>
      </c>
      <c r="Y14" s="810"/>
    </row>
    <row r="15" spans="1:25" s="796" customFormat="1" ht="15" customHeight="1" x14ac:dyDescent="0.3">
      <c r="A15" s="811" t="s">
        <v>12</v>
      </c>
      <c r="B15" s="812"/>
      <c r="C15" s="812">
        <v>1341</v>
      </c>
      <c r="D15" s="813" t="s">
        <v>21</v>
      </c>
      <c r="E15" s="814">
        <v>260000</v>
      </c>
      <c r="F15" s="814">
        <v>267000</v>
      </c>
      <c r="G15" s="814">
        <v>260000</v>
      </c>
      <c r="H15" s="814">
        <v>260000</v>
      </c>
      <c r="I15" s="815">
        <v>260000</v>
      </c>
      <c r="J15" s="814">
        <v>260000</v>
      </c>
      <c r="K15" s="814">
        <v>260000</v>
      </c>
      <c r="L15" s="815">
        <v>260000</v>
      </c>
      <c r="M15" s="807">
        <v>260000</v>
      </c>
      <c r="N15" s="792"/>
      <c r="O15" s="792"/>
      <c r="P15" s="792"/>
      <c r="Q15" s="793"/>
      <c r="R15" s="793"/>
      <c r="S15" s="793"/>
      <c r="T15" s="793"/>
      <c r="U15" s="793"/>
      <c r="V15" s="802"/>
      <c r="W15" s="793"/>
      <c r="X15" s="794"/>
      <c r="Y15" s="795"/>
    </row>
    <row r="16" spans="1:25" s="796" customFormat="1" ht="15" customHeight="1" x14ac:dyDescent="0.3">
      <c r="A16" s="811"/>
      <c r="B16" s="812"/>
      <c r="C16" s="812">
        <v>1334</v>
      </c>
      <c r="D16" s="813" t="s">
        <v>1278</v>
      </c>
      <c r="E16" s="814"/>
      <c r="F16" s="814">
        <v>103000</v>
      </c>
      <c r="G16" s="814">
        <v>100000</v>
      </c>
      <c r="H16" s="814">
        <v>100000</v>
      </c>
      <c r="I16" s="504">
        <v>100000</v>
      </c>
      <c r="J16" s="814">
        <v>100000</v>
      </c>
      <c r="K16" s="814">
        <v>100000</v>
      </c>
      <c r="L16" s="504">
        <v>100000</v>
      </c>
      <c r="M16" s="807">
        <v>100000</v>
      </c>
      <c r="N16" s="792"/>
      <c r="O16" s="792"/>
      <c r="P16" s="792"/>
      <c r="Q16" s="793"/>
      <c r="R16" s="793"/>
      <c r="S16" s="793"/>
      <c r="T16" s="793"/>
      <c r="U16" s="793"/>
      <c r="V16" s="802"/>
      <c r="W16" s="793"/>
      <c r="X16" s="794"/>
      <c r="Y16" s="795"/>
    </row>
    <row r="17" spans="1:25" s="796" customFormat="1" ht="15" customHeight="1" x14ac:dyDescent="0.3">
      <c r="A17" s="811" t="s">
        <v>12</v>
      </c>
      <c r="B17" s="812"/>
      <c r="C17" s="812">
        <v>1343</v>
      </c>
      <c r="D17" s="813" t="s">
        <v>22</v>
      </c>
      <c r="E17" s="814">
        <v>75000</v>
      </c>
      <c r="F17" s="814">
        <v>75000</v>
      </c>
      <c r="G17" s="814">
        <v>75000</v>
      </c>
      <c r="H17" s="814">
        <v>75000</v>
      </c>
      <c r="I17" s="815">
        <v>75000</v>
      </c>
      <c r="J17" s="814">
        <v>75000</v>
      </c>
      <c r="K17" s="814">
        <v>75000</v>
      </c>
      <c r="L17" s="815">
        <v>75000</v>
      </c>
      <c r="M17" s="807">
        <v>75000</v>
      </c>
      <c r="N17" s="792"/>
      <c r="O17" s="792"/>
      <c r="P17" s="792"/>
      <c r="Q17" s="793"/>
      <c r="R17" s="793"/>
      <c r="S17" s="793"/>
      <c r="T17" s="793"/>
      <c r="U17" s="793"/>
      <c r="V17" s="802"/>
      <c r="W17" s="793"/>
      <c r="X17" s="794"/>
      <c r="Y17" s="795"/>
    </row>
    <row r="18" spans="1:25" s="796" customFormat="1" ht="15" customHeight="1" x14ac:dyDescent="0.3">
      <c r="A18" s="811" t="s">
        <v>12</v>
      </c>
      <c r="B18" s="812"/>
      <c r="C18" s="812">
        <v>1344</v>
      </c>
      <c r="D18" s="813" t="s">
        <v>23</v>
      </c>
      <c r="E18" s="814">
        <v>3000</v>
      </c>
      <c r="F18" s="814">
        <v>3000</v>
      </c>
      <c r="G18" s="814">
        <v>3000</v>
      </c>
      <c r="H18" s="814">
        <v>3000</v>
      </c>
      <c r="I18" s="815">
        <v>3000</v>
      </c>
      <c r="J18" s="814">
        <v>3000</v>
      </c>
      <c r="K18" s="814">
        <v>3000</v>
      </c>
      <c r="L18" s="815">
        <v>3000</v>
      </c>
      <c r="M18" s="807">
        <v>3000</v>
      </c>
      <c r="N18" s="792"/>
      <c r="O18" s="792"/>
      <c r="P18" s="792"/>
      <c r="Q18" s="793"/>
      <c r="R18" s="793"/>
      <c r="S18" s="793"/>
      <c r="T18" s="793"/>
      <c r="U18" s="793"/>
      <c r="V18" s="802"/>
      <c r="W18" s="793"/>
      <c r="X18" s="794"/>
      <c r="Y18" s="795"/>
    </row>
    <row r="19" spans="1:25" s="796" customFormat="1" ht="15" customHeight="1" x14ac:dyDescent="0.3">
      <c r="A19" s="811" t="s">
        <v>12</v>
      </c>
      <c r="B19" s="812"/>
      <c r="C19" s="812">
        <v>1345</v>
      </c>
      <c r="D19" s="813" t="s">
        <v>24</v>
      </c>
      <c r="E19" s="814">
        <v>10000</v>
      </c>
      <c r="F19" s="814">
        <v>42000</v>
      </c>
      <c r="G19" s="814">
        <v>20000</v>
      </c>
      <c r="H19" s="814">
        <v>20000</v>
      </c>
      <c r="I19" s="504">
        <v>20000</v>
      </c>
      <c r="J19" s="814">
        <v>20000</v>
      </c>
      <c r="K19" s="814">
        <v>20000</v>
      </c>
      <c r="L19" s="504">
        <v>20000</v>
      </c>
      <c r="M19" s="807">
        <v>20000</v>
      </c>
      <c r="N19" s="792"/>
      <c r="O19" s="792"/>
      <c r="P19" s="792"/>
      <c r="Q19" s="793"/>
      <c r="R19" s="793"/>
      <c r="S19" s="793"/>
      <c r="T19" s="793"/>
      <c r="U19" s="793"/>
      <c r="V19" s="802"/>
      <c r="W19" s="793"/>
      <c r="X19" s="794"/>
      <c r="Y19" s="795"/>
    </row>
    <row r="20" spans="1:25" s="796" customFormat="1" ht="15" customHeight="1" x14ac:dyDescent="0.3">
      <c r="A20" s="811" t="s">
        <v>12</v>
      </c>
      <c r="B20" s="812"/>
      <c r="C20" s="812">
        <v>1347</v>
      </c>
      <c r="D20" s="813" t="s">
        <v>25</v>
      </c>
      <c r="E20" s="814"/>
      <c r="F20" s="814">
        <v>0</v>
      </c>
      <c r="G20" s="814">
        <v>0</v>
      </c>
      <c r="H20" s="814">
        <v>0</v>
      </c>
      <c r="I20" s="815">
        <v>0</v>
      </c>
      <c r="J20" s="814">
        <v>0</v>
      </c>
      <c r="K20" s="814">
        <v>0</v>
      </c>
      <c r="L20" s="815">
        <v>0</v>
      </c>
      <c r="M20" s="807">
        <v>0</v>
      </c>
      <c r="N20" s="792"/>
      <c r="O20" s="792"/>
      <c r="P20" s="792"/>
      <c r="Q20" s="793"/>
      <c r="R20" s="793"/>
      <c r="S20" s="793"/>
      <c r="T20" s="793"/>
      <c r="U20" s="793"/>
      <c r="V20" s="802"/>
      <c r="W20" s="793"/>
      <c r="X20" s="794"/>
      <c r="Y20" s="795"/>
    </row>
    <row r="21" spans="1:25" s="796" customFormat="1" ht="15" customHeight="1" x14ac:dyDescent="0.3">
      <c r="A21" s="811" t="s">
        <v>12</v>
      </c>
      <c r="B21" s="812"/>
      <c r="C21" s="812" t="s">
        <v>26</v>
      </c>
      <c r="D21" s="813" t="s">
        <v>27</v>
      </c>
      <c r="E21" s="814">
        <v>100000</v>
      </c>
      <c r="F21" s="814">
        <v>100000</v>
      </c>
      <c r="G21" s="814">
        <v>100000</v>
      </c>
      <c r="H21" s="814">
        <v>100000</v>
      </c>
      <c r="I21" s="807">
        <v>100000</v>
      </c>
      <c r="J21" s="814">
        <v>100000</v>
      </c>
      <c r="K21" s="814">
        <v>100000</v>
      </c>
      <c r="L21" s="807">
        <v>100000</v>
      </c>
      <c r="M21" s="807">
        <v>100000</v>
      </c>
      <c r="N21" s="1906"/>
      <c r="O21" s="1906"/>
      <c r="P21" s="1906"/>
      <c r="Q21" s="1746" t="s">
        <v>956</v>
      </c>
      <c r="R21" s="1746" t="s">
        <v>927</v>
      </c>
      <c r="S21" s="793"/>
      <c r="T21" s="793"/>
      <c r="U21" s="793"/>
      <c r="V21" s="817"/>
      <c r="W21" s="818"/>
      <c r="X21" s="819"/>
      <c r="Y21" s="819"/>
    </row>
    <row r="22" spans="1:25" s="796" customFormat="1" ht="15.75" x14ac:dyDescent="0.3">
      <c r="A22" s="811" t="s">
        <v>12</v>
      </c>
      <c r="B22" s="812"/>
      <c r="C22" s="812" t="s">
        <v>26</v>
      </c>
      <c r="D22" s="813" t="s">
        <v>553</v>
      </c>
      <c r="E22" s="814">
        <v>4000000</v>
      </c>
      <c r="F22" s="814"/>
      <c r="G22" s="814">
        <v>0</v>
      </c>
      <c r="H22" s="814">
        <v>0</v>
      </c>
      <c r="I22" s="807">
        <v>0</v>
      </c>
      <c r="J22" s="814">
        <v>0</v>
      </c>
      <c r="K22" s="814">
        <v>0</v>
      </c>
      <c r="L22" s="807">
        <v>0</v>
      </c>
      <c r="M22" s="807">
        <v>0</v>
      </c>
      <c r="N22" s="792"/>
      <c r="O22" s="792"/>
      <c r="P22" s="792"/>
      <c r="Q22" s="810">
        <f>4000000</f>
        <v>4000000</v>
      </c>
      <c r="R22" s="810">
        <v>5000000</v>
      </c>
      <c r="S22" s="808"/>
      <c r="T22" s="808"/>
      <c r="U22" s="808"/>
      <c r="V22" s="802"/>
      <c r="W22" s="793"/>
      <c r="X22" s="809"/>
      <c r="Y22" s="810"/>
    </row>
    <row r="23" spans="1:25" s="796" customFormat="1" ht="15" customHeight="1" x14ac:dyDescent="0.3">
      <c r="A23" s="811" t="s">
        <v>12</v>
      </c>
      <c r="B23" s="812"/>
      <c r="C23" s="812">
        <v>1385</v>
      </c>
      <c r="D23" s="813" t="s">
        <v>555</v>
      </c>
      <c r="E23" s="814">
        <v>2260000</v>
      </c>
      <c r="F23" s="814">
        <v>927000</v>
      </c>
      <c r="G23" s="814">
        <v>900000</v>
      </c>
      <c r="H23" s="814">
        <v>900000</v>
      </c>
      <c r="I23" s="504">
        <v>900000</v>
      </c>
      <c r="J23" s="814">
        <v>900000</v>
      </c>
      <c r="K23" s="814">
        <v>900000</v>
      </c>
      <c r="L23" s="504">
        <v>900000</v>
      </c>
      <c r="M23" s="807">
        <v>900000</v>
      </c>
      <c r="N23" s="1906"/>
      <c r="O23" s="1906"/>
      <c r="P23" s="1906"/>
      <c r="Q23" s="810"/>
      <c r="R23" s="810"/>
      <c r="S23" s="808"/>
      <c r="T23" s="808"/>
      <c r="U23" s="808"/>
      <c r="V23" s="817"/>
      <c r="W23" s="818"/>
      <c r="X23" s="819"/>
      <c r="Y23" s="819"/>
    </row>
    <row r="24" spans="1:25" s="796" customFormat="1" ht="15" customHeight="1" x14ac:dyDescent="0.3">
      <c r="A24" s="811" t="s">
        <v>12</v>
      </c>
      <c r="B24" s="812"/>
      <c r="C24" s="812">
        <v>1381</v>
      </c>
      <c r="D24" s="813" t="s">
        <v>978</v>
      </c>
      <c r="E24" s="814">
        <v>0</v>
      </c>
      <c r="F24" s="814">
        <v>1000000</v>
      </c>
      <c r="G24" s="814">
        <v>1000000</v>
      </c>
      <c r="H24" s="814">
        <v>1000000</v>
      </c>
      <c r="I24" s="807">
        <v>1000000</v>
      </c>
      <c r="J24" s="814">
        <v>1000000</v>
      </c>
      <c r="K24" s="814">
        <v>1000000</v>
      </c>
      <c r="L24" s="807">
        <v>1000000</v>
      </c>
      <c r="M24" s="807">
        <v>1000000</v>
      </c>
      <c r="N24" s="1907"/>
      <c r="O24" s="1907"/>
      <c r="P24" s="1907"/>
      <c r="Q24" s="818"/>
      <c r="R24" s="818"/>
      <c r="S24" s="818"/>
      <c r="T24" s="818"/>
      <c r="U24" s="818"/>
      <c r="V24" s="817"/>
      <c r="W24" s="818"/>
      <c r="X24" s="819"/>
      <c r="Y24" s="819"/>
    </row>
    <row r="25" spans="1:25" s="796" customFormat="1" ht="15" customHeight="1" x14ac:dyDescent="0.3">
      <c r="A25" s="811" t="s">
        <v>12</v>
      </c>
      <c r="B25" s="812"/>
      <c r="C25" s="812" t="s">
        <v>30</v>
      </c>
      <c r="D25" s="813" t="s">
        <v>31</v>
      </c>
      <c r="E25" s="814">
        <v>1850000</v>
      </c>
      <c r="F25" s="814">
        <v>1900000</v>
      </c>
      <c r="G25" s="814">
        <v>1500000</v>
      </c>
      <c r="H25" s="814">
        <v>1500000</v>
      </c>
      <c r="I25" s="815">
        <v>1500000</v>
      </c>
      <c r="J25" s="814">
        <v>1500000</v>
      </c>
      <c r="K25" s="814">
        <v>1500000</v>
      </c>
      <c r="L25" s="815">
        <v>1500000</v>
      </c>
      <c r="M25" s="815">
        <v>1500000</v>
      </c>
      <c r="N25" s="792"/>
      <c r="O25" s="792"/>
      <c r="P25" s="792"/>
      <c r="Q25" s="793"/>
      <c r="R25" s="793"/>
      <c r="S25" s="793"/>
      <c r="T25" s="793"/>
      <c r="U25" s="793"/>
      <c r="V25" s="802"/>
      <c r="W25" s="793"/>
      <c r="X25" s="794"/>
      <c r="Y25" s="795"/>
    </row>
    <row r="26" spans="1:25" s="796" customFormat="1" ht="15" customHeight="1" x14ac:dyDescent="0.3">
      <c r="A26" s="811" t="s">
        <v>12</v>
      </c>
      <c r="B26" s="812"/>
      <c r="C26" s="812">
        <v>1511</v>
      </c>
      <c r="D26" s="813" t="s">
        <v>32</v>
      </c>
      <c r="E26" s="814">
        <v>7400000</v>
      </c>
      <c r="F26" s="814">
        <v>7800000</v>
      </c>
      <c r="G26" s="814">
        <v>7810000</v>
      </c>
      <c r="H26" s="814">
        <v>7810000</v>
      </c>
      <c r="I26" s="815">
        <v>7810000</v>
      </c>
      <c r="J26" s="814">
        <v>7810000</v>
      </c>
      <c r="K26" s="814">
        <v>7810000</v>
      </c>
      <c r="L26" s="815">
        <v>7810000</v>
      </c>
      <c r="M26" s="815">
        <v>7810000</v>
      </c>
      <c r="N26" s="792"/>
      <c r="O26" s="792"/>
      <c r="P26" s="792"/>
      <c r="Q26" s="793"/>
      <c r="R26" s="793"/>
      <c r="S26" s="793"/>
      <c r="T26" s="793"/>
      <c r="U26" s="793"/>
      <c r="V26" s="802"/>
      <c r="W26" s="793"/>
      <c r="X26" s="794"/>
      <c r="Y26" s="795"/>
    </row>
    <row r="27" spans="1:25" s="796" customFormat="1" ht="15" customHeight="1" x14ac:dyDescent="0.3">
      <c r="A27" s="811" t="s">
        <v>12</v>
      </c>
      <c r="B27" s="812"/>
      <c r="C27" s="812" t="s">
        <v>33</v>
      </c>
      <c r="D27" s="813" t="s">
        <v>34</v>
      </c>
      <c r="E27" s="814"/>
      <c r="F27" s="814">
        <v>0</v>
      </c>
      <c r="G27" s="814">
        <v>0</v>
      </c>
      <c r="H27" s="814">
        <v>0</v>
      </c>
      <c r="I27" s="815">
        <v>0</v>
      </c>
      <c r="J27" s="814">
        <v>0</v>
      </c>
      <c r="K27" s="814">
        <v>0</v>
      </c>
      <c r="L27" s="815">
        <v>0</v>
      </c>
      <c r="M27" s="815">
        <v>0</v>
      </c>
      <c r="N27" s="792"/>
      <c r="O27" s="792"/>
      <c r="P27" s="792"/>
      <c r="Q27" s="793"/>
      <c r="R27" s="793"/>
      <c r="S27" s="793"/>
      <c r="T27" s="793"/>
      <c r="U27" s="793"/>
      <c r="V27" s="802"/>
      <c r="W27" s="793"/>
      <c r="X27" s="794"/>
      <c r="Y27" s="795"/>
    </row>
    <row r="28" spans="1:25" s="796" customFormat="1" ht="15" customHeight="1" x14ac:dyDescent="0.3">
      <c r="A28" s="811" t="s">
        <v>12</v>
      </c>
      <c r="B28" s="812"/>
      <c r="C28" s="812" t="s">
        <v>35</v>
      </c>
      <c r="D28" s="813" t="s">
        <v>36</v>
      </c>
      <c r="E28" s="814">
        <v>84000</v>
      </c>
      <c r="F28" s="814">
        <v>0</v>
      </c>
      <c r="G28" s="814">
        <v>0</v>
      </c>
      <c r="H28" s="814">
        <v>0</v>
      </c>
      <c r="I28" s="815">
        <v>0</v>
      </c>
      <c r="J28" s="814">
        <v>0</v>
      </c>
      <c r="K28" s="814">
        <v>0</v>
      </c>
      <c r="L28" s="815">
        <v>0</v>
      </c>
      <c r="M28" s="815">
        <v>0</v>
      </c>
      <c r="N28" s="792"/>
      <c r="O28" s="792"/>
      <c r="P28" s="792"/>
      <c r="Q28" s="793"/>
      <c r="R28" s="793"/>
      <c r="S28" s="793"/>
      <c r="T28" s="793"/>
      <c r="U28" s="793"/>
      <c r="V28" s="802"/>
      <c r="W28" s="793"/>
      <c r="X28" s="794"/>
      <c r="Y28" s="795"/>
    </row>
    <row r="29" spans="1:25" s="796" customFormat="1" ht="15" customHeight="1" x14ac:dyDescent="0.3">
      <c r="A29" s="811" t="s">
        <v>12</v>
      </c>
      <c r="B29" s="812"/>
      <c r="C29" s="812">
        <v>4112</v>
      </c>
      <c r="D29" s="813" t="s">
        <v>41</v>
      </c>
      <c r="E29" s="814">
        <v>8275000</v>
      </c>
      <c r="F29" s="814">
        <v>8974600</v>
      </c>
      <c r="G29" s="814">
        <v>8974600</v>
      </c>
      <c r="H29" s="814">
        <v>8721200</v>
      </c>
      <c r="I29" s="815">
        <v>8721200</v>
      </c>
      <c r="J29" s="814">
        <v>8974600</v>
      </c>
      <c r="K29" s="814">
        <v>8721200</v>
      </c>
      <c r="L29" s="815">
        <v>8721200</v>
      </c>
      <c r="M29" s="815">
        <v>8721200</v>
      </c>
      <c r="N29" s="792"/>
      <c r="O29" s="792"/>
      <c r="P29" s="792"/>
      <c r="Q29" s="793"/>
      <c r="R29" s="793"/>
      <c r="S29" s="793"/>
      <c r="T29" s="793"/>
      <c r="U29" s="793"/>
      <c r="V29" s="802"/>
      <c r="W29" s="793"/>
      <c r="X29" s="794"/>
      <c r="Y29" s="795"/>
    </row>
    <row r="30" spans="1:25" s="796" customFormat="1" ht="15" customHeight="1" x14ac:dyDescent="0.3">
      <c r="A30" s="811" t="s">
        <v>12</v>
      </c>
      <c r="B30" s="812"/>
      <c r="C30" s="812">
        <v>4121</v>
      </c>
      <c r="D30" s="813" t="s">
        <v>402</v>
      </c>
      <c r="E30" s="814">
        <v>100000</v>
      </c>
      <c r="F30" s="814">
        <v>400000</v>
      </c>
      <c r="G30" s="814">
        <v>400000</v>
      </c>
      <c r="H30" s="814">
        <v>400000</v>
      </c>
      <c r="I30" s="807">
        <v>400000</v>
      </c>
      <c r="J30" s="814">
        <v>400000</v>
      </c>
      <c r="K30" s="814">
        <v>400000</v>
      </c>
      <c r="L30" s="807">
        <v>400000</v>
      </c>
      <c r="M30" s="807">
        <v>400000</v>
      </c>
      <c r="N30" s="792"/>
      <c r="O30" s="792"/>
      <c r="P30" s="792"/>
      <c r="Q30" s="793"/>
      <c r="R30" s="793"/>
      <c r="S30" s="793"/>
      <c r="T30" s="793"/>
      <c r="U30" s="793"/>
      <c r="V30" s="802"/>
      <c r="W30" s="793"/>
      <c r="X30" s="794"/>
      <c r="Y30" s="795"/>
    </row>
    <row r="31" spans="1:25" s="796" customFormat="1" ht="15" customHeight="1" x14ac:dyDescent="0.3">
      <c r="A31" s="811" t="s">
        <v>12</v>
      </c>
      <c r="B31" s="812"/>
      <c r="C31" s="812">
        <v>4121</v>
      </c>
      <c r="D31" s="813" t="s">
        <v>403</v>
      </c>
      <c r="E31" s="814">
        <v>800000</v>
      </c>
      <c r="F31" s="814">
        <v>800000</v>
      </c>
      <c r="G31" s="814">
        <v>898400</v>
      </c>
      <c r="H31" s="814">
        <v>898400</v>
      </c>
      <c r="I31" s="815">
        <v>898400</v>
      </c>
      <c r="J31" s="814">
        <v>898400</v>
      </c>
      <c r="K31" s="814">
        <v>898400</v>
      </c>
      <c r="L31" s="815">
        <v>898400</v>
      </c>
      <c r="M31" s="815">
        <v>898400</v>
      </c>
      <c r="N31" s="820" t="s">
        <v>404</v>
      </c>
      <c r="O31" s="820"/>
      <c r="P31" s="820"/>
      <c r="Q31" s="793"/>
      <c r="R31" s="793"/>
      <c r="S31" s="793"/>
      <c r="T31" s="793"/>
      <c r="U31" s="793"/>
      <c r="V31" s="802"/>
      <c r="W31" s="793"/>
      <c r="X31" s="794"/>
      <c r="Y31" s="795"/>
    </row>
    <row r="32" spans="1:25" s="796" customFormat="1" ht="15" customHeight="1" x14ac:dyDescent="0.3">
      <c r="A32" s="811"/>
      <c r="B32" s="812"/>
      <c r="C32" s="812">
        <v>4216</v>
      </c>
      <c r="D32" s="813" t="s">
        <v>1679</v>
      </c>
      <c r="E32" s="814"/>
      <c r="F32" s="814">
        <v>0</v>
      </c>
      <c r="G32" s="814">
        <v>2500000</v>
      </c>
      <c r="H32" s="814">
        <v>0</v>
      </c>
      <c r="I32" s="815">
        <v>0</v>
      </c>
      <c r="J32" s="814">
        <v>2500000</v>
      </c>
      <c r="K32" s="814">
        <v>0</v>
      </c>
      <c r="L32" s="815">
        <v>0</v>
      </c>
      <c r="M32" s="815">
        <v>1995776</v>
      </c>
      <c r="N32" s="792"/>
      <c r="O32" s="792"/>
      <c r="P32" s="792"/>
      <c r="Q32" s="793"/>
      <c r="R32" s="793"/>
      <c r="S32" s="793"/>
      <c r="T32" s="793"/>
      <c r="U32" s="793"/>
      <c r="V32" s="802"/>
      <c r="W32" s="793"/>
      <c r="X32" s="794"/>
      <c r="Y32" s="795"/>
    </row>
    <row r="33" spans="1:37" s="796" customFormat="1" ht="15" customHeight="1" x14ac:dyDescent="0.3">
      <c r="A33" s="811" t="s">
        <v>12</v>
      </c>
      <c r="B33" s="812"/>
      <c r="C33" s="812" t="s">
        <v>43</v>
      </c>
      <c r="D33" s="813" t="s">
        <v>1968</v>
      </c>
      <c r="E33" s="814"/>
      <c r="F33" s="814">
        <v>0</v>
      </c>
      <c r="G33" s="814">
        <v>0</v>
      </c>
      <c r="H33" s="814">
        <v>0</v>
      </c>
      <c r="I33" s="807">
        <v>0</v>
      </c>
      <c r="J33" s="814">
        <v>0</v>
      </c>
      <c r="K33" s="814">
        <v>0</v>
      </c>
      <c r="L33" s="807">
        <v>0</v>
      </c>
      <c r="M33" s="504">
        <v>0</v>
      </c>
      <c r="N33" s="792"/>
      <c r="O33" s="792"/>
      <c r="P33" s="792"/>
      <c r="Q33" s="793"/>
      <c r="R33" s="793"/>
      <c r="S33" s="793"/>
      <c r="T33" s="793"/>
      <c r="U33" s="793"/>
      <c r="V33" s="802"/>
      <c r="W33" s="793"/>
      <c r="X33" s="794"/>
      <c r="Y33" s="795"/>
    </row>
    <row r="34" spans="1:37" s="796" customFormat="1" ht="15" customHeight="1" x14ac:dyDescent="0.3">
      <c r="A34" s="811"/>
      <c r="B34" s="812"/>
      <c r="C34" s="812" t="s">
        <v>43</v>
      </c>
      <c r="D34" s="813" t="s">
        <v>1969</v>
      </c>
      <c r="E34" s="814"/>
      <c r="F34" s="814"/>
      <c r="G34" s="814"/>
      <c r="H34" s="814"/>
      <c r="I34" s="807"/>
      <c r="J34" s="814"/>
      <c r="K34" s="814"/>
      <c r="L34" s="807"/>
      <c r="M34" s="504"/>
      <c r="N34" s="792"/>
      <c r="O34" s="792"/>
      <c r="P34" s="792"/>
      <c r="Q34" s="793"/>
      <c r="R34" s="793"/>
      <c r="S34" s="793"/>
      <c r="T34" s="793"/>
      <c r="U34" s="793"/>
      <c r="V34" s="802"/>
      <c r="W34" s="793"/>
      <c r="X34" s="794"/>
      <c r="Y34" s="795"/>
    </row>
    <row r="35" spans="1:37" s="796" customFormat="1" ht="18.95" customHeight="1" x14ac:dyDescent="0.3">
      <c r="A35" s="811" t="s">
        <v>12</v>
      </c>
      <c r="B35" s="812"/>
      <c r="C35" s="812" t="s">
        <v>43</v>
      </c>
      <c r="D35" s="813" t="s">
        <v>1970</v>
      </c>
      <c r="E35" s="814"/>
      <c r="F35" s="814">
        <v>0</v>
      </c>
      <c r="G35" s="814">
        <v>0</v>
      </c>
      <c r="H35" s="814">
        <v>0</v>
      </c>
      <c r="I35" s="807">
        <v>0</v>
      </c>
      <c r="J35" s="814">
        <v>0</v>
      </c>
      <c r="K35" s="814">
        <v>0</v>
      </c>
      <c r="L35" s="807">
        <v>0</v>
      </c>
      <c r="M35" s="504">
        <f>3900000+1000000</f>
        <v>4900000</v>
      </c>
      <c r="N35" s="792"/>
      <c r="O35" s="792"/>
      <c r="P35" s="792"/>
      <c r="Q35" s="793"/>
      <c r="R35" s="793"/>
      <c r="S35" s="793"/>
      <c r="T35" s="793"/>
      <c r="U35" s="793"/>
      <c r="V35" s="802"/>
      <c r="W35" s="793"/>
      <c r="X35" s="794"/>
      <c r="Y35" s="795"/>
    </row>
    <row r="36" spans="1:37" s="796" customFormat="1" ht="15" customHeight="1" x14ac:dyDescent="0.3">
      <c r="A36" s="811" t="s">
        <v>12</v>
      </c>
      <c r="B36" s="812"/>
      <c r="C36" s="812" t="s">
        <v>43</v>
      </c>
      <c r="D36" s="813" t="s">
        <v>1971</v>
      </c>
      <c r="E36" s="814"/>
      <c r="F36" s="814">
        <v>0</v>
      </c>
      <c r="G36" s="814">
        <v>0</v>
      </c>
      <c r="H36" s="814">
        <v>0</v>
      </c>
      <c r="I36" s="807">
        <v>0</v>
      </c>
      <c r="J36" s="814">
        <v>0</v>
      </c>
      <c r="K36" s="814">
        <v>0</v>
      </c>
      <c r="L36" s="807">
        <v>0</v>
      </c>
      <c r="M36" s="504">
        <v>250000</v>
      </c>
      <c r="N36" s="792"/>
      <c r="O36" s="792"/>
      <c r="P36" s="792"/>
      <c r="Q36" s="793"/>
      <c r="R36" s="793"/>
      <c r="S36" s="793"/>
      <c r="T36" s="793"/>
      <c r="U36" s="793"/>
      <c r="V36" s="802"/>
      <c r="W36" s="793"/>
      <c r="X36" s="794"/>
      <c r="Y36" s="795"/>
    </row>
    <row r="37" spans="1:37" s="796" customFormat="1" ht="15" customHeight="1" x14ac:dyDescent="0.3">
      <c r="A37" s="811" t="s">
        <v>12</v>
      </c>
      <c r="B37" s="812"/>
      <c r="C37" s="812">
        <v>4122</v>
      </c>
      <c r="D37" s="813" t="s">
        <v>46</v>
      </c>
      <c r="E37" s="814">
        <v>1279200</v>
      </c>
      <c r="F37" s="814">
        <v>1574000</v>
      </c>
      <c r="G37" s="814">
        <v>1574000</v>
      </c>
      <c r="H37" s="814">
        <v>1574000</v>
      </c>
      <c r="I37" s="807">
        <v>1574000</v>
      </c>
      <c r="J37" s="814">
        <v>1574000</v>
      </c>
      <c r="K37" s="814">
        <v>1574000</v>
      </c>
      <c r="L37" s="807">
        <v>1574000</v>
      </c>
      <c r="M37" s="807">
        <v>1574000</v>
      </c>
      <c r="N37" s="792"/>
      <c r="O37" s="792"/>
      <c r="P37" s="792"/>
      <c r="Q37" s="793"/>
      <c r="R37" s="793"/>
      <c r="S37" s="793"/>
      <c r="T37" s="793"/>
      <c r="U37" s="793"/>
      <c r="V37" s="802"/>
      <c r="W37" s="793"/>
      <c r="X37" s="794"/>
      <c r="Y37" s="795"/>
    </row>
    <row r="38" spans="1:37" s="796" customFormat="1" ht="15" customHeight="1" x14ac:dyDescent="0.3">
      <c r="A38" s="1759"/>
      <c r="B38" s="1760">
        <v>2310</v>
      </c>
      <c r="C38" s="1760" t="s">
        <v>50</v>
      </c>
      <c r="D38" s="1761" t="s">
        <v>51</v>
      </c>
      <c r="E38" s="1762">
        <v>3375000</v>
      </c>
      <c r="F38" s="1762">
        <v>4740729.26</v>
      </c>
      <c r="G38" s="1762">
        <v>3720750</v>
      </c>
      <c r="H38" s="1762">
        <v>3720750</v>
      </c>
      <c r="I38" s="1763">
        <f>$T$38*1.21</f>
        <v>3720750</v>
      </c>
      <c r="J38" s="1762">
        <v>3720750</v>
      </c>
      <c r="K38" s="1762">
        <v>3720750</v>
      </c>
      <c r="L38" s="1763">
        <f>$T$38*1.21</f>
        <v>3720750</v>
      </c>
      <c r="M38" s="1763">
        <f>$U$38*1.21</f>
        <v>4249520</v>
      </c>
      <c r="N38" s="794">
        <v>1522129.26</v>
      </c>
      <c r="O38" s="794"/>
      <c r="P38" s="794"/>
      <c r="Q38" s="794">
        <v>1894000</v>
      </c>
      <c r="R38" s="1747">
        <v>2267000</v>
      </c>
      <c r="S38" s="1791">
        <v>2660000</v>
      </c>
      <c r="T38" s="1791">
        <v>3075000</v>
      </c>
      <c r="U38" s="1791">
        <v>3512000</v>
      </c>
      <c r="V38" s="1791">
        <v>3972000</v>
      </c>
      <c r="W38" s="793"/>
      <c r="X38" s="794"/>
      <c r="Y38" s="795"/>
    </row>
    <row r="39" spans="1:37" s="796" customFormat="1" ht="15" customHeight="1" x14ac:dyDescent="0.3">
      <c r="A39" s="1759" t="s">
        <v>52</v>
      </c>
      <c r="B39" s="1760">
        <v>2321</v>
      </c>
      <c r="C39" s="1760" t="s">
        <v>50</v>
      </c>
      <c r="D39" s="1761" t="s">
        <v>53</v>
      </c>
      <c r="E39" s="1762">
        <v>6916000</v>
      </c>
      <c r="F39" s="1762">
        <v>8870000</v>
      </c>
      <c r="G39" s="1762">
        <v>7279360</v>
      </c>
      <c r="H39" s="1762">
        <v>7279360</v>
      </c>
      <c r="I39" s="1763">
        <f>$T$39*1.21</f>
        <v>7279360</v>
      </c>
      <c r="J39" s="1762">
        <v>7279360</v>
      </c>
      <c r="K39" s="1762">
        <v>7279360</v>
      </c>
      <c r="L39" s="1763">
        <f>$T$39*1.21</f>
        <v>7279360</v>
      </c>
      <c r="M39" s="1763">
        <f>$U$39*1.21</f>
        <v>7946070</v>
      </c>
      <c r="N39" s="794">
        <f>2977926.74-941000</f>
        <v>2036926.7400000002</v>
      </c>
      <c r="O39" s="794"/>
      <c r="P39" s="794"/>
      <c r="Q39" s="794">
        <v>4510000</v>
      </c>
      <c r="R39" s="1747">
        <v>4989000</v>
      </c>
      <c r="S39" s="1791">
        <v>5490000</v>
      </c>
      <c r="T39" s="1791">
        <v>6016000</v>
      </c>
      <c r="U39" s="1791">
        <v>6567000</v>
      </c>
      <c r="V39" s="1791">
        <v>7146000</v>
      </c>
      <c r="W39" s="793"/>
      <c r="X39" s="794"/>
      <c r="Y39" s="795"/>
    </row>
    <row r="40" spans="1:37" s="796" customFormat="1" ht="15" customHeight="1" x14ac:dyDescent="0.3">
      <c r="A40" s="811">
        <v>3113</v>
      </c>
      <c r="B40" s="812">
        <v>3113</v>
      </c>
      <c r="C40" s="812" t="s">
        <v>54</v>
      </c>
      <c r="D40" s="813" t="s">
        <v>55</v>
      </c>
      <c r="E40" s="814">
        <v>50000</v>
      </c>
      <c r="F40" s="814">
        <v>50000</v>
      </c>
      <c r="G40" s="814">
        <v>50000</v>
      </c>
      <c r="H40" s="814">
        <v>50000</v>
      </c>
      <c r="I40" s="807">
        <v>50000</v>
      </c>
      <c r="J40" s="814">
        <v>50000</v>
      </c>
      <c r="K40" s="814">
        <v>50000</v>
      </c>
      <c r="L40" s="807">
        <v>50000</v>
      </c>
      <c r="M40" s="807">
        <v>50000</v>
      </c>
      <c r="N40" s="1747"/>
      <c r="O40" s="1747"/>
      <c r="P40" s="1747"/>
      <c r="Q40" s="1747"/>
      <c r="R40" s="1747"/>
      <c r="S40" s="1791">
        <f>+S38+S39</f>
        <v>8150000</v>
      </c>
      <c r="T40" s="1791">
        <f t="shared" ref="T40:V40" si="1">+T38+T39</f>
        <v>9091000</v>
      </c>
      <c r="U40" s="1791">
        <f t="shared" si="1"/>
        <v>10079000</v>
      </c>
      <c r="V40" s="1791">
        <f t="shared" si="1"/>
        <v>11118000</v>
      </c>
      <c r="W40" s="793"/>
      <c r="X40" s="794"/>
      <c r="Y40" s="795"/>
    </row>
    <row r="41" spans="1:37" s="796" customFormat="1" ht="15" customHeight="1" x14ac:dyDescent="0.3">
      <c r="A41" s="811"/>
      <c r="B41" s="812">
        <v>3113</v>
      </c>
      <c r="C41" s="812" t="s">
        <v>50</v>
      </c>
      <c r="D41" s="813" t="s">
        <v>56</v>
      </c>
      <c r="E41" s="814">
        <v>154000</v>
      </c>
      <c r="F41" s="814">
        <v>154000</v>
      </c>
      <c r="G41" s="814">
        <v>154000</v>
      </c>
      <c r="H41" s="814">
        <v>154000</v>
      </c>
      <c r="I41" s="807">
        <v>154000</v>
      </c>
      <c r="J41" s="814">
        <v>154000</v>
      </c>
      <c r="K41" s="814">
        <v>154000</v>
      </c>
      <c r="L41" s="807">
        <v>154000</v>
      </c>
      <c r="M41" s="807">
        <v>154000</v>
      </c>
      <c r="N41" s="1747"/>
      <c r="O41" s="1747"/>
      <c r="P41" s="1747"/>
      <c r="Q41" s="1748">
        <f>Q40/200000</f>
        <v>0</v>
      </c>
      <c r="R41" s="1749">
        <f>R40/200000</f>
        <v>0</v>
      </c>
      <c r="S41" s="1792">
        <f>S40/200000</f>
        <v>40.75</v>
      </c>
      <c r="T41" s="1792">
        <f>T40/200000</f>
        <v>45.454999999999998</v>
      </c>
      <c r="U41" s="1792">
        <f t="shared" ref="U41:V41" si="2">U40/200000</f>
        <v>50.395000000000003</v>
      </c>
      <c r="V41" s="1792">
        <f t="shared" si="2"/>
        <v>55.59</v>
      </c>
      <c r="W41" s="793"/>
      <c r="X41" s="794"/>
      <c r="Y41" s="795"/>
    </row>
    <row r="42" spans="1:37" s="796" customFormat="1" ht="15" customHeight="1" x14ac:dyDescent="0.3">
      <c r="A42" s="811"/>
      <c r="B42" s="812">
        <v>3314</v>
      </c>
      <c r="C42" s="812">
        <v>2111</v>
      </c>
      <c r="D42" s="813" t="s">
        <v>59</v>
      </c>
      <c r="E42" s="814">
        <v>50000</v>
      </c>
      <c r="F42" s="814">
        <v>50000</v>
      </c>
      <c r="G42" s="814">
        <v>50000</v>
      </c>
      <c r="H42" s="814">
        <v>50000</v>
      </c>
      <c r="I42" s="807">
        <v>50000</v>
      </c>
      <c r="J42" s="814">
        <v>50000</v>
      </c>
      <c r="K42" s="814">
        <v>50000</v>
      </c>
      <c r="L42" s="807">
        <v>50000</v>
      </c>
      <c r="M42" s="807">
        <v>50000</v>
      </c>
      <c r="N42" s="792"/>
      <c r="O42" s="792"/>
      <c r="P42" s="792"/>
      <c r="Q42" s="793"/>
      <c r="R42" s="793"/>
      <c r="S42" s="793"/>
      <c r="T42" s="793"/>
      <c r="U42" s="793"/>
      <c r="V42" s="802"/>
      <c r="W42" s="793"/>
      <c r="X42" s="794"/>
      <c r="Y42" s="795"/>
    </row>
    <row r="43" spans="1:37" s="796" customFormat="1" ht="15" customHeight="1" x14ac:dyDescent="0.3">
      <c r="A43" s="811">
        <v>3349</v>
      </c>
      <c r="B43" s="812">
        <v>3349</v>
      </c>
      <c r="C43" s="812">
        <v>2111</v>
      </c>
      <c r="D43" s="813" t="s">
        <v>60</v>
      </c>
      <c r="E43" s="814">
        <v>562000</v>
      </c>
      <c r="F43" s="814">
        <v>250000</v>
      </c>
      <c r="G43" s="814">
        <v>250000</v>
      </c>
      <c r="H43" s="814">
        <v>250000</v>
      </c>
      <c r="I43" s="807">
        <v>250000</v>
      </c>
      <c r="J43" s="814">
        <v>250000</v>
      </c>
      <c r="K43" s="814">
        <v>250000</v>
      </c>
      <c r="L43" s="807">
        <v>250000</v>
      </c>
      <c r="M43" s="807">
        <v>250000</v>
      </c>
      <c r="N43" s="792"/>
      <c r="O43" s="792"/>
      <c r="P43" s="792"/>
      <c r="Q43" s="793"/>
      <c r="R43" s="793"/>
      <c r="S43" s="793"/>
      <c r="T43" s="793"/>
      <c r="U43" s="793"/>
      <c r="V43" s="802"/>
      <c r="W43" s="793"/>
      <c r="X43" s="794"/>
      <c r="Y43" s="795"/>
    </row>
    <row r="44" spans="1:37" s="796" customFormat="1" ht="15" customHeight="1" x14ac:dyDescent="0.3">
      <c r="A44" s="811"/>
      <c r="B44" s="812">
        <v>3399</v>
      </c>
      <c r="C44" s="812" t="s">
        <v>54</v>
      </c>
      <c r="D44" s="813" t="s">
        <v>61</v>
      </c>
      <c r="E44" s="814">
        <v>70000</v>
      </c>
      <c r="F44" s="814">
        <v>70000</v>
      </c>
      <c r="G44" s="814">
        <v>70000</v>
      </c>
      <c r="H44" s="814">
        <v>70000</v>
      </c>
      <c r="I44" s="807">
        <v>70000</v>
      </c>
      <c r="J44" s="814">
        <v>70000</v>
      </c>
      <c r="K44" s="814">
        <v>70000</v>
      </c>
      <c r="L44" s="807">
        <v>70000</v>
      </c>
      <c r="M44" s="807">
        <v>70000</v>
      </c>
      <c r="N44" s="792"/>
      <c r="O44" s="792"/>
      <c r="P44" s="2201">
        <v>6600100</v>
      </c>
      <c r="Q44" s="793">
        <v>2020</v>
      </c>
      <c r="R44" s="793">
        <v>2021</v>
      </c>
      <c r="S44" s="793">
        <v>2022</v>
      </c>
      <c r="T44" s="793">
        <v>2023</v>
      </c>
      <c r="U44" s="793">
        <v>2024</v>
      </c>
      <c r="V44" s="793">
        <v>2025</v>
      </c>
      <c r="W44" s="793">
        <v>2026</v>
      </c>
      <c r="X44" s="793">
        <v>2027</v>
      </c>
      <c r="Y44" s="793">
        <v>2028</v>
      </c>
      <c r="Z44" s="793">
        <v>2029</v>
      </c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3"/>
    </row>
    <row r="45" spans="1:37" s="796" customFormat="1" ht="15" customHeight="1" x14ac:dyDescent="0.3">
      <c r="A45" s="811">
        <v>3412</v>
      </c>
      <c r="B45" s="812">
        <v>3412</v>
      </c>
      <c r="C45" s="812">
        <v>2132</v>
      </c>
      <c r="D45" s="813" t="s">
        <v>62</v>
      </c>
      <c r="E45" s="814"/>
      <c r="F45" s="1854">
        <v>343000</v>
      </c>
      <c r="G45" s="2138">
        <v>500000</v>
      </c>
      <c r="H45" s="2138">
        <v>2000000</v>
      </c>
      <c r="I45" s="807">
        <v>2000000</v>
      </c>
      <c r="J45" s="2138">
        <v>500000</v>
      </c>
      <c r="K45" s="2138">
        <v>2000000</v>
      </c>
      <c r="L45" s="807">
        <v>2000000</v>
      </c>
      <c r="M45" s="807">
        <f>+R45</f>
        <v>1320020</v>
      </c>
      <c r="N45" s="792" t="s">
        <v>389</v>
      </c>
      <c r="O45" s="792"/>
      <c r="P45" s="792"/>
      <c r="Q45" s="792">
        <f>+P44*0.3</f>
        <v>1980030</v>
      </c>
      <c r="R45" s="792">
        <f>+P44*0.2</f>
        <v>1320020</v>
      </c>
      <c r="S45" s="792">
        <f>+P44*0.1</f>
        <v>660010</v>
      </c>
      <c r="T45" s="792">
        <f>+P44*0.1</f>
        <v>660010</v>
      </c>
      <c r="U45" s="792">
        <f>+P44*0.05</f>
        <v>330005</v>
      </c>
      <c r="V45" s="792">
        <f>+P44*0.05</f>
        <v>330005</v>
      </c>
      <c r="W45" s="792">
        <f>+P44*0.05</f>
        <v>330005</v>
      </c>
      <c r="X45" s="792">
        <f>+P44*0.05</f>
        <v>330005</v>
      </c>
      <c r="Y45" s="792">
        <f>+P44*0.05</f>
        <v>330005</v>
      </c>
      <c r="Z45" s="792">
        <f>+P44*0.05</f>
        <v>330005</v>
      </c>
      <c r="AA45" s="793"/>
      <c r="AB45" s="793"/>
      <c r="AC45" s="793"/>
      <c r="AD45" s="793"/>
      <c r="AE45" s="793"/>
    </row>
    <row r="46" spans="1:37" s="796" customFormat="1" ht="15" customHeight="1" x14ac:dyDescent="0.3">
      <c r="A46" s="811"/>
      <c r="B46" s="812">
        <v>3519</v>
      </c>
      <c r="C46" s="812">
        <v>2132</v>
      </c>
      <c r="D46" s="813" t="s">
        <v>68</v>
      </c>
      <c r="E46" s="814">
        <v>775800</v>
      </c>
      <c r="F46" s="814">
        <v>775800</v>
      </c>
      <c r="G46" s="814">
        <v>775800</v>
      </c>
      <c r="H46" s="814">
        <v>765800</v>
      </c>
      <c r="I46" s="504">
        <f>775800-10000</f>
        <v>765800</v>
      </c>
      <c r="J46" s="814">
        <v>775800</v>
      </c>
      <c r="K46" s="814">
        <v>765800</v>
      </c>
      <c r="L46" s="504">
        <f>775800-10000</f>
        <v>765800</v>
      </c>
      <c r="M46" s="504">
        <f>775800-10000</f>
        <v>765800</v>
      </c>
      <c r="N46" s="792"/>
      <c r="O46" s="792"/>
      <c r="P46" s="792"/>
      <c r="Q46" s="792"/>
      <c r="R46" s="793"/>
      <c r="S46" s="793"/>
      <c r="T46" s="793"/>
      <c r="U46" s="793"/>
      <c r="V46" s="802"/>
      <c r="W46" s="793"/>
      <c r="X46" s="794"/>
      <c r="Y46" s="795"/>
    </row>
    <row r="47" spans="1:37" s="796" customFormat="1" ht="15" customHeight="1" x14ac:dyDescent="0.3">
      <c r="A47" s="811">
        <v>3612</v>
      </c>
      <c r="B47" s="812">
        <v>3612</v>
      </c>
      <c r="C47" s="812">
        <v>2111</v>
      </c>
      <c r="D47" s="813" t="s">
        <v>69</v>
      </c>
      <c r="E47" s="814">
        <v>1600000</v>
      </c>
      <c r="F47" s="814">
        <v>1700000</v>
      </c>
      <c r="G47" s="814">
        <v>1800000</v>
      </c>
      <c r="H47" s="814">
        <v>1800000</v>
      </c>
      <c r="I47" s="807">
        <v>1800000</v>
      </c>
      <c r="J47" s="814">
        <v>1800000</v>
      </c>
      <c r="K47" s="814">
        <v>1800000</v>
      </c>
      <c r="L47" s="807">
        <v>1800000</v>
      </c>
      <c r="M47" s="807">
        <v>1800000</v>
      </c>
      <c r="N47" s="792"/>
      <c r="O47" s="792"/>
      <c r="P47" s="792"/>
      <c r="Q47" s="793"/>
      <c r="R47" s="793"/>
      <c r="S47" s="793"/>
      <c r="T47" s="793"/>
      <c r="U47" s="793"/>
      <c r="V47" s="802"/>
      <c r="W47" s="793"/>
      <c r="X47" s="794"/>
      <c r="Y47" s="795"/>
    </row>
    <row r="48" spans="1:37" s="796" customFormat="1" ht="15" customHeight="1" x14ac:dyDescent="0.3">
      <c r="A48" s="811"/>
      <c r="B48" s="812">
        <v>3612</v>
      </c>
      <c r="C48" s="812">
        <v>2132</v>
      </c>
      <c r="D48" s="813" t="s">
        <v>70</v>
      </c>
      <c r="E48" s="814">
        <v>3031000</v>
      </c>
      <c r="F48" s="814">
        <v>3200000</v>
      </c>
      <c r="G48" s="814">
        <v>3600000</v>
      </c>
      <c r="H48" s="814">
        <v>3600000</v>
      </c>
      <c r="I48" s="807">
        <v>3600000</v>
      </c>
      <c r="J48" s="814">
        <v>3600000</v>
      </c>
      <c r="K48" s="814">
        <v>3600000</v>
      </c>
      <c r="L48" s="807">
        <v>3600000</v>
      </c>
      <c r="M48" s="807">
        <v>3600000</v>
      </c>
      <c r="N48" s="792"/>
      <c r="O48" s="792"/>
      <c r="P48" s="792"/>
      <c r="Q48" s="793"/>
      <c r="R48" s="793"/>
      <c r="S48" s="793"/>
      <c r="T48" s="793"/>
      <c r="U48" s="793"/>
      <c r="V48" s="802"/>
      <c r="W48" s="793"/>
      <c r="X48" s="794"/>
      <c r="Y48" s="795"/>
    </row>
    <row r="49" spans="1:25" s="796" customFormat="1" ht="15" customHeight="1" x14ac:dyDescent="0.3">
      <c r="A49" s="811">
        <v>3613</v>
      </c>
      <c r="B49" s="812">
        <v>3613</v>
      </c>
      <c r="C49" s="812" t="s">
        <v>54</v>
      </c>
      <c r="D49" s="813" t="s">
        <v>73</v>
      </c>
      <c r="E49" s="814">
        <v>81000</v>
      </c>
      <c r="F49" s="814">
        <v>81000</v>
      </c>
      <c r="G49" s="814">
        <v>81000</v>
      </c>
      <c r="H49" s="814">
        <v>81000</v>
      </c>
      <c r="I49" s="807">
        <v>81000</v>
      </c>
      <c r="J49" s="814">
        <v>81000</v>
      </c>
      <c r="K49" s="814">
        <v>81000</v>
      </c>
      <c r="L49" s="807">
        <v>81000</v>
      </c>
      <c r="M49" s="807">
        <v>81000</v>
      </c>
      <c r="N49" s="792"/>
      <c r="O49" s="792"/>
      <c r="P49" s="792"/>
      <c r="Q49" s="793"/>
      <c r="R49" s="793"/>
      <c r="S49" s="793"/>
      <c r="T49" s="793"/>
      <c r="U49" s="793"/>
      <c r="V49" s="802"/>
      <c r="W49" s="793"/>
      <c r="X49" s="794"/>
      <c r="Y49" s="795"/>
    </row>
    <row r="50" spans="1:25" s="796" customFormat="1" ht="15" customHeight="1" x14ac:dyDescent="0.3">
      <c r="A50" s="811"/>
      <c r="B50" s="812">
        <v>3613</v>
      </c>
      <c r="C50" s="812">
        <v>2132</v>
      </c>
      <c r="D50" s="813" t="s">
        <v>604</v>
      </c>
      <c r="E50" s="814">
        <v>240000</v>
      </c>
      <c r="F50" s="814">
        <v>240000</v>
      </c>
      <c r="G50" s="814">
        <v>240000</v>
      </c>
      <c r="H50" s="814">
        <v>179395</v>
      </c>
      <c r="I50" s="504">
        <f>240000-20000-40605</f>
        <v>179395</v>
      </c>
      <c r="J50" s="814">
        <v>240000</v>
      </c>
      <c r="K50" s="814">
        <v>179395</v>
      </c>
      <c r="L50" s="504">
        <f>240000-20000-40605</f>
        <v>179395</v>
      </c>
      <c r="M50" s="504">
        <f>240000-20000-40605</f>
        <v>179395</v>
      </c>
      <c r="N50" s="792"/>
      <c r="O50" s="792"/>
      <c r="P50" s="792"/>
      <c r="Q50" s="793"/>
      <c r="R50" s="793"/>
      <c r="S50" s="793"/>
      <c r="T50" s="793"/>
      <c r="U50" s="793"/>
      <c r="V50" s="802"/>
      <c r="W50" s="793"/>
      <c r="X50" s="794"/>
      <c r="Y50" s="795"/>
    </row>
    <row r="51" spans="1:25" s="796" customFormat="1" ht="15" customHeight="1" x14ac:dyDescent="0.3">
      <c r="A51" s="811"/>
      <c r="B51" s="812">
        <v>3613</v>
      </c>
      <c r="C51" s="812">
        <v>2111</v>
      </c>
      <c r="D51" s="813" t="s">
        <v>979</v>
      </c>
      <c r="E51" s="814">
        <v>78000</v>
      </c>
      <c r="F51" s="814">
        <v>78000</v>
      </c>
      <c r="G51" s="814">
        <v>78000</v>
      </c>
      <c r="H51" s="814">
        <v>78000</v>
      </c>
      <c r="I51" s="807">
        <v>78000</v>
      </c>
      <c r="J51" s="814">
        <v>78000</v>
      </c>
      <c r="K51" s="814">
        <v>78000</v>
      </c>
      <c r="L51" s="807">
        <v>78000</v>
      </c>
      <c r="M51" s="807">
        <v>78000</v>
      </c>
      <c r="N51" s="792"/>
      <c r="O51" s="792"/>
      <c r="P51" s="792"/>
      <c r="Q51" s="793"/>
      <c r="R51" s="793"/>
      <c r="S51" s="793"/>
      <c r="T51" s="793"/>
      <c r="U51" s="793"/>
      <c r="V51" s="802"/>
      <c r="W51" s="793"/>
      <c r="X51" s="794"/>
      <c r="Y51" s="795"/>
    </row>
    <row r="52" spans="1:25" s="796" customFormat="1" ht="15" customHeight="1" x14ac:dyDescent="0.3">
      <c r="A52" s="811">
        <v>3613</v>
      </c>
      <c r="B52" s="812">
        <v>3613</v>
      </c>
      <c r="C52" s="812">
        <v>2132</v>
      </c>
      <c r="D52" s="813" t="s">
        <v>74</v>
      </c>
      <c r="E52" s="814">
        <v>400000</v>
      </c>
      <c r="F52" s="814">
        <v>400000</v>
      </c>
      <c r="G52" s="814">
        <v>400000</v>
      </c>
      <c r="H52" s="814">
        <v>400000</v>
      </c>
      <c r="I52" s="807">
        <v>400000</v>
      </c>
      <c r="J52" s="814">
        <v>400000</v>
      </c>
      <c r="K52" s="814">
        <v>400000</v>
      </c>
      <c r="L52" s="807">
        <v>400000</v>
      </c>
      <c r="M52" s="807">
        <v>400000</v>
      </c>
      <c r="N52" s="792"/>
      <c r="O52" s="792"/>
      <c r="P52" s="792"/>
      <c r="Q52" s="793"/>
      <c r="R52" s="793"/>
      <c r="S52" s="793"/>
      <c r="T52" s="793"/>
      <c r="U52" s="793"/>
      <c r="V52" s="802"/>
      <c r="W52" s="793"/>
      <c r="X52" s="794"/>
      <c r="Y52" s="795"/>
    </row>
    <row r="53" spans="1:25" s="796" customFormat="1" ht="15" customHeight="1" x14ac:dyDescent="0.3">
      <c r="A53" s="811"/>
      <c r="B53" s="812">
        <v>3613</v>
      </c>
      <c r="C53" s="812">
        <v>2132</v>
      </c>
      <c r="D53" s="813" t="s">
        <v>563</v>
      </c>
      <c r="E53" s="814">
        <v>1063000</v>
      </c>
      <c r="F53" s="814">
        <v>1063000</v>
      </c>
      <c r="G53" s="814">
        <v>1063000</v>
      </c>
      <c r="H53" s="814">
        <v>1063000</v>
      </c>
      <c r="I53" s="807">
        <v>1063000</v>
      </c>
      <c r="J53" s="814">
        <v>1063000</v>
      </c>
      <c r="K53" s="814">
        <v>1063000</v>
      </c>
      <c r="L53" s="807">
        <v>1063000</v>
      </c>
      <c r="M53" s="807">
        <v>1063000</v>
      </c>
      <c r="N53" s="792"/>
      <c r="O53" s="792"/>
      <c r="P53" s="792"/>
      <c r="Q53" s="793"/>
      <c r="R53" s="793"/>
      <c r="S53" s="793"/>
      <c r="T53" s="793"/>
      <c r="U53" s="793"/>
      <c r="V53" s="802"/>
      <c r="W53" s="793"/>
      <c r="X53" s="794"/>
      <c r="Y53" s="795"/>
    </row>
    <row r="54" spans="1:25" s="796" customFormat="1" ht="15" customHeight="1" x14ac:dyDescent="0.3">
      <c r="A54" s="811">
        <v>3632</v>
      </c>
      <c r="B54" s="812">
        <v>3632</v>
      </c>
      <c r="C54" s="812">
        <v>2111</v>
      </c>
      <c r="D54" s="813" t="s">
        <v>75</v>
      </c>
      <c r="E54" s="814">
        <v>250000</v>
      </c>
      <c r="F54" s="814">
        <v>250000</v>
      </c>
      <c r="G54" s="814">
        <v>250000</v>
      </c>
      <c r="H54" s="814">
        <v>250000</v>
      </c>
      <c r="I54" s="807">
        <v>250000</v>
      </c>
      <c r="J54" s="814">
        <v>250000</v>
      </c>
      <c r="K54" s="814">
        <v>250000</v>
      </c>
      <c r="L54" s="807">
        <v>250000</v>
      </c>
      <c r="M54" s="807">
        <v>250000</v>
      </c>
      <c r="N54" s="792"/>
      <c r="O54" s="792"/>
      <c r="P54" s="792"/>
      <c r="Q54" s="793"/>
      <c r="R54" s="793"/>
      <c r="S54" s="793"/>
      <c r="T54" s="793"/>
      <c r="U54" s="793"/>
      <c r="V54" s="802"/>
      <c r="W54" s="793"/>
      <c r="X54" s="794"/>
      <c r="Y54" s="795"/>
    </row>
    <row r="55" spans="1:25" s="796" customFormat="1" ht="15" customHeight="1" x14ac:dyDescent="0.3">
      <c r="A55" s="811">
        <v>3722</v>
      </c>
      <c r="B55" s="812">
        <v>3722</v>
      </c>
      <c r="C55" s="812" t="s">
        <v>54</v>
      </c>
      <c r="D55" s="813" t="s">
        <v>1681</v>
      </c>
      <c r="E55" s="814">
        <v>1000000</v>
      </c>
      <c r="F55" s="814">
        <v>800000</v>
      </c>
      <c r="G55" s="814">
        <v>1200000</v>
      </c>
      <c r="H55" s="814">
        <v>1200000</v>
      </c>
      <c r="I55" s="807">
        <v>1200000</v>
      </c>
      <c r="J55" s="814">
        <v>1200000</v>
      </c>
      <c r="K55" s="814">
        <v>1200000</v>
      </c>
      <c r="L55" s="807">
        <v>1200000</v>
      </c>
      <c r="M55" s="807">
        <v>1200000</v>
      </c>
      <c r="N55" s="792"/>
      <c r="O55" s="792"/>
      <c r="P55" s="792"/>
      <c r="Q55" s="793"/>
      <c r="R55" s="793"/>
      <c r="S55" s="793"/>
      <c r="T55" s="793"/>
      <c r="U55" s="793"/>
      <c r="V55" s="802"/>
      <c r="W55" s="793"/>
      <c r="X55" s="794"/>
      <c r="Y55" s="795"/>
    </row>
    <row r="56" spans="1:25" s="796" customFormat="1" ht="15" customHeight="1" x14ac:dyDescent="0.3">
      <c r="A56" s="811">
        <v>4351</v>
      </c>
      <c r="B56" s="812">
        <v>4351</v>
      </c>
      <c r="C56" s="812" t="s">
        <v>54</v>
      </c>
      <c r="D56" s="813" t="s">
        <v>549</v>
      </c>
      <c r="E56" s="814">
        <v>350000</v>
      </c>
      <c r="F56" s="814">
        <v>555000</v>
      </c>
      <c r="G56" s="814">
        <v>600000</v>
      </c>
      <c r="H56" s="814">
        <v>600000</v>
      </c>
      <c r="I56" s="807">
        <v>600000</v>
      </c>
      <c r="J56" s="814">
        <v>600000</v>
      </c>
      <c r="K56" s="814">
        <v>600000</v>
      </c>
      <c r="L56" s="807">
        <v>600000</v>
      </c>
      <c r="M56" s="807">
        <v>600000</v>
      </c>
      <c r="N56" s="792"/>
      <c r="O56" s="792"/>
      <c r="P56" s="792"/>
      <c r="Q56" s="793"/>
      <c r="R56" s="793"/>
      <c r="S56" s="793"/>
      <c r="T56" s="793"/>
      <c r="U56" s="793"/>
      <c r="V56" s="802"/>
      <c r="W56" s="793"/>
      <c r="X56" s="794"/>
      <c r="Y56" s="795"/>
    </row>
    <row r="57" spans="1:25" s="796" customFormat="1" ht="15" customHeight="1" x14ac:dyDescent="0.3">
      <c r="A57" s="811"/>
      <c r="B57" s="812">
        <v>5512</v>
      </c>
      <c r="C57" s="812">
        <v>2111</v>
      </c>
      <c r="D57" s="813" t="s">
        <v>980</v>
      </c>
      <c r="E57" s="814">
        <v>20000</v>
      </c>
      <c r="F57" s="814">
        <v>20000</v>
      </c>
      <c r="G57" s="814">
        <v>20000</v>
      </c>
      <c r="H57" s="814">
        <v>20000</v>
      </c>
      <c r="I57" s="807">
        <v>20000</v>
      </c>
      <c r="J57" s="814">
        <v>20000</v>
      </c>
      <c r="K57" s="814">
        <v>20000</v>
      </c>
      <c r="L57" s="807">
        <v>20000</v>
      </c>
      <c r="M57" s="807">
        <v>20000</v>
      </c>
      <c r="N57" s="792"/>
      <c r="O57" s="792"/>
      <c r="P57" s="792"/>
      <c r="Q57" s="793"/>
      <c r="R57" s="793"/>
      <c r="S57" s="793"/>
      <c r="T57" s="793"/>
      <c r="U57" s="793"/>
      <c r="V57" s="802"/>
      <c r="W57" s="793"/>
      <c r="X57" s="794"/>
      <c r="Y57" s="795"/>
    </row>
    <row r="58" spans="1:25" s="796" customFormat="1" ht="15" customHeight="1" x14ac:dyDescent="0.3">
      <c r="A58" s="811"/>
      <c r="B58" s="812">
        <v>5512</v>
      </c>
      <c r="C58" s="812">
        <v>2132</v>
      </c>
      <c r="D58" s="813" t="s">
        <v>981</v>
      </c>
      <c r="E58" s="814">
        <v>24000</v>
      </c>
      <c r="F58" s="814">
        <v>24000</v>
      </c>
      <c r="G58" s="814">
        <v>24000</v>
      </c>
      <c r="H58" s="814">
        <v>24000</v>
      </c>
      <c r="I58" s="807">
        <v>24000</v>
      </c>
      <c r="J58" s="814">
        <v>24000</v>
      </c>
      <c r="K58" s="814">
        <v>24000</v>
      </c>
      <c r="L58" s="807">
        <v>24000</v>
      </c>
      <c r="M58" s="807">
        <v>24000</v>
      </c>
      <c r="N58" s="792"/>
      <c r="O58" s="792"/>
      <c r="P58" s="792"/>
      <c r="Q58" s="793"/>
      <c r="R58" s="793"/>
      <c r="S58" s="793"/>
      <c r="T58" s="793"/>
      <c r="U58" s="793"/>
      <c r="V58" s="802"/>
      <c r="W58" s="793"/>
      <c r="X58" s="794"/>
      <c r="Y58" s="795"/>
    </row>
    <row r="59" spans="1:25" s="796" customFormat="1" ht="15" customHeight="1" x14ac:dyDescent="0.3">
      <c r="A59" s="811"/>
      <c r="B59" s="812">
        <v>6171</v>
      </c>
      <c r="C59" s="812">
        <v>2111</v>
      </c>
      <c r="D59" s="813" t="s">
        <v>81</v>
      </c>
      <c r="E59" s="814">
        <v>18000</v>
      </c>
      <c r="F59" s="814">
        <v>25000</v>
      </c>
      <c r="G59" s="814">
        <v>17000</v>
      </c>
      <c r="H59" s="814">
        <v>17000</v>
      </c>
      <c r="I59" s="807">
        <v>17000</v>
      </c>
      <c r="J59" s="814">
        <v>17000</v>
      </c>
      <c r="K59" s="814">
        <v>17000</v>
      </c>
      <c r="L59" s="807">
        <v>17000</v>
      </c>
      <c r="M59" s="807">
        <v>17000</v>
      </c>
      <c r="N59" s="792"/>
      <c r="O59" s="792"/>
      <c r="P59" s="792"/>
      <c r="Q59" s="793"/>
      <c r="R59" s="793"/>
      <c r="S59" s="793"/>
      <c r="T59" s="793"/>
      <c r="U59" s="793"/>
      <c r="V59" s="802"/>
      <c r="W59" s="793"/>
      <c r="X59" s="794"/>
      <c r="Y59" s="795"/>
    </row>
    <row r="60" spans="1:25" s="796" customFormat="1" ht="15" customHeight="1" x14ac:dyDescent="0.3">
      <c r="A60" s="811"/>
      <c r="B60" s="812">
        <v>6310</v>
      </c>
      <c r="C60" s="812">
        <v>2141</v>
      </c>
      <c r="D60" s="813" t="s">
        <v>982</v>
      </c>
      <c r="E60" s="814">
        <v>10000</v>
      </c>
      <c r="F60" s="814">
        <v>10000</v>
      </c>
      <c r="G60" s="814">
        <v>10000</v>
      </c>
      <c r="H60" s="814">
        <v>10000</v>
      </c>
      <c r="I60" s="807">
        <v>10000</v>
      </c>
      <c r="J60" s="814">
        <v>10000</v>
      </c>
      <c r="K60" s="814">
        <v>10000</v>
      </c>
      <c r="L60" s="807">
        <v>10000</v>
      </c>
      <c r="M60" s="807">
        <v>10000</v>
      </c>
      <c r="N60" s="792"/>
      <c r="O60" s="792"/>
      <c r="P60" s="792"/>
      <c r="Q60" s="793"/>
      <c r="R60" s="793"/>
      <c r="S60" s="793"/>
      <c r="T60" s="793"/>
      <c r="U60" s="793"/>
      <c r="V60" s="802"/>
      <c r="W60" s="793"/>
      <c r="X60" s="794"/>
      <c r="Y60" s="795"/>
    </row>
    <row r="61" spans="1:25" s="796" customFormat="1" ht="15" customHeight="1" x14ac:dyDescent="0.3">
      <c r="A61" s="811"/>
      <c r="B61" s="812">
        <v>6409</v>
      </c>
      <c r="C61" s="812">
        <v>2132</v>
      </c>
      <c r="D61" s="813" t="s">
        <v>558</v>
      </c>
      <c r="E61" s="814">
        <v>4400</v>
      </c>
      <c r="F61" s="814">
        <v>4400</v>
      </c>
      <c r="G61" s="814">
        <v>4400</v>
      </c>
      <c r="H61" s="814">
        <v>4400</v>
      </c>
      <c r="I61" s="807">
        <v>4400</v>
      </c>
      <c r="J61" s="814">
        <v>4400</v>
      </c>
      <c r="K61" s="814">
        <v>4400</v>
      </c>
      <c r="L61" s="807">
        <v>4400</v>
      </c>
      <c r="M61" s="807">
        <v>4400</v>
      </c>
      <c r="N61" s="792"/>
      <c r="O61" s="792"/>
      <c r="P61" s="792"/>
      <c r="Q61" s="793"/>
      <c r="R61" s="793"/>
      <c r="S61" s="793"/>
      <c r="T61" s="793"/>
      <c r="U61" s="793"/>
      <c r="V61" s="802"/>
      <c r="W61" s="793"/>
      <c r="X61" s="794"/>
      <c r="Y61" s="795"/>
    </row>
    <row r="62" spans="1:25" s="796" customFormat="1" ht="15" customHeight="1" x14ac:dyDescent="0.3">
      <c r="A62" s="811"/>
      <c r="B62" s="812">
        <v>6409</v>
      </c>
      <c r="C62" s="812" t="s">
        <v>84</v>
      </c>
      <c r="D62" s="813" t="s">
        <v>85</v>
      </c>
      <c r="E62" s="814">
        <v>34000</v>
      </c>
      <c r="F62" s="814">
        <v>65000</v>
      </c>
      <c r="G62" s="814">
        <v>65000</v>
      </c>
      <c r="H62" s="814">
        <v>65000</v>
      </c>
      <c r="I62" s="807">
        <v>65000</v>
      </c>
      <c r="J62" s="814">
        <v>65000</v>
      </c>
      <c r="K62" s="814">
        <v>65000</v>
      </c>
      <c r="L62" s="807">
        <v>65000</v>
      </c>
      <c r="M62" s="807">
        <v>65000</v>
      </c>
      <c r="N62" s="792"/>
      <c r="O62" s="792"/>
      <c r="P62" s="792"/>
      <c r="Q62" s="793"/>
      <c r="R62" s="793"/>
      <c r="S62" s="793"/>
      <c r="T62" s="793"/>
      <c r="U62" s="793"/>
      <c r="V62" s="802"/>
      <c r="W62" s="793"/>
      <c r="X62" s="794"/>
      <c r="Y62" s="795"/>
    </row>
    <row r="63" spans="1:25" s="796" customFormat="1" ht="15" customHeight="1" x14ac:dyDescent="0.3">
      <c r="A63" s="821">
        <v>6409</v>
      </c>
      <c r="B63" s="822">
        <v>6409</v>
      </c>
      <c r="C63" s="822">
        <v>2119</v>
      </c>
      <c r="D63" s="823" t="s">
        <v>984</v>
      </c>
      <c r="E63" s="824">
        <v>400000</v>
      </c>
      <c r="F63" s="824">
        <v>400000</v>
      </c>
      <c r="G63" s="824">
        <v>300000</v>
      </c>
      <c r="H63" s="824">
        <v>300000</v>
      </c>
      <c r="I63" s="807">
        <v>300000</v>
      </c>
      <c r="J63" s="824">
        <v>300000</v>
      </c>
      <c r="K63" s="824">
        <v>300000</v>
      </c>
      <c r="L63" s="807">
        <v>300000</v>
      </c>
      <c r="M63" s="807">
        <v>300000</v>
      </c>
      <c r="N63" s="792"/>
      <c r="O63" s="792"/>
      <c r="P63" s="792"/>
      <c r="Q63" s="793"/>
      <c r="R63" s="793"/>
      <c r="S63" s="793"/>
      <c r="T63" s="793"/>
      <c r="U63" s="793"/>
      <c r="V63" s="802"/>
      <c r="W63" s="793"/>
      <c r="X63" s="794"/>
      <c r="Y63" s="795"/>
    </row>
    <row r="64" spans="1:25" s="796" customFormat="1" ht="15" customHeight="1" x14ac:dyDescent="0.3">
      <c r="A64" s="811"/>
      <c r="B64" s="812">
        <v>6409</v>
      </c>
      <c r="C64" s="812">
        <v>3111</v>
      </c>
      <c r="D64" s="813" t="s">
        <v>866</v>
      </c>
      <c r="E64" s="814">
        <v>35000</v>
      </c>
      <c r="F64" s="814">
        <v>0</v>
      </c>
      <c r="G64" s="814">
        <v>0</v>
      </c>
      <c r="H64" s="814">
        <v>0</v>
      </c>
      <c r="I64" s="807">
        <v>0</v>
      </c>
      <c r="J64" s="814">
        <v>0</v>
      </c>
      <c r="K64" s="814">
        <v>0</v>
      </c>
      <c r="L64" s="807">
        <v>0</v>
      </c>
      <c r="M64" s="807">
        <v>0</v>
      </c>
      <c r="N64" s="792"/>
      <c r="O64" s="792"/>
      <c r="P64" s="792"/>
      <c r="Q64" s="793"/>
      <c r="R64" s="793"/>
      <c r="S64" s="793"/>
      <c r="T64" s="793"/>
      <c r="U64" s="793"/>
      <c r="V64" s="802"/>
      <c r="W64" s="793"/>
      <c r="X64" s="809"/>
      <c r="Y64" s="795"/>
    </row>
    <row r="65" spans="1:25" s="796" customFormat="1" ht="15" customHeight="1" thickBot="1" x14ac:dyDescent="0.35">
      <c r="A65" s="811">
        <v>2321</v>
      </c>
      <c r="B65" s="812">
        <v>2321</v>
      </c>
      <c r="C65" s="812" t="s">
        <v>54</v>
      </c>
      <c r="D65" s="813" t="s">
        <v>88</v>
      </c>
      <c r="E65" s="814"/>
      <c r="F65" s="814">
        <v>0</v>
      </c>
      <c r="G65" s="814">
        <v>0</v>
      </c>
      <c r="H65" s="814">
        <v>0</v>
      </c>
      <c r="I65" s="807">
        <v>0</v>
      </c>
      <c r="J65" s="814">
        <v>0</v>
      </c>
      <c r="K65" s="814">
        <v>0</v>
      </c>
      <c r="L65" s="807">
        <v>0</v>
      </c>
      <c r="M65" s="807">
        <v>0</v>
      </c>
      <c r="N65" s="792"/>
      <c r="O65" s="792"/>
      <c r="P65" s="792"/>
      <c r="Q65" s="793"/>
      <c r="R65" s="793"/>
      <c r="S65" s="793"/>
      <c r="T65" s="793"/>
      <c r="U65" s="793"/>
      <c r="V65" s="802"/>
      <c r="W65" s="793"/>
      <c r="X65" s="794"/>
      <c r="Y65" s="795"/>
    </row>
    <row r="66" spans="1:25" s="832" customFormat="1" ht="15" customHeight="1" thickBot="1" x14ac:dyDescent="0.35">
      <c r="A66" s="825" t="s">
        <v>221</v>
      </c>
      <c r="B66" s="826"/>
      <c r="C66" s="826"/>
      <c r="D66" s="827"/>
      <c r="E66" s="828">
        <f>SUM(E7:E65)</f>
        <v>140887400</v>
      </c>
      <c r="F66" s="828">
        <f>SUM(F7:F65)</f>
        <v>159556529.25999999</v>
      </c>
      <c r="G66" s="828">
        <v>168776328</v>
      </c>
      <c r="H66" s="828">
        <v>159698992</v>
      </c>
      <c r="I66" s="828">
        <f>SUM(I7:I65)</f>
        <v>143609055</v>
      </c>
      <c r="J66" s="828">
        <v>168776328</v>
      </c>
      <c r="K66" s="828">
        <v>159698992</v>
      </c>
      <c r="L66" s="828">
        <f>SUM(L7:L65)</f>
        <v>143609055</v>
      </c>
      <c r="M66" s="828">
        <f>SUM(M7:M65)</f>
        <v>147141178</v>
      </c>
      <c r="N66" s="722"/>
      <c r="O66" s="722"/>
      <c r="P66" s="722"/>
      <c r="Q66" s="722"/>
      <c r="R66" s="723"/>
      <c r="S66" s="723"/>
      <c r="T66" s="723"/>
      <c r="U66" s="723"/>
      <c r="V66" s="829"/>
      <c r="W66" s="723"/>
      <c r="X66" s="830"/>
      <c r="Y66" s="831"/>
    </row>
    <row r="67" spans="1:25" ht="15" customHeight="1" thickBot="1" x14ac:dyDescent="0.3">
      <c r="A67" s="451"/>
      <c r="B67" s="451"/>
      <c r="C67" s="451"/>
      <c r="D67" s="833"/>
      <c r="E67" s="834">
        <v>-2500</v>
      </c>
      <c r="F67" s="834">
        <v>0</v>
      </c>
      <c r="G67" s="834"/>
      <c r="H67" s="834"/>
      <c r="I67" s="834"/>
      <c r="J67" s="834"/>
      <c r="K67" s="834"/>
      <c r="L67" s="834"/>
      <c r="M67" s="834"/>
      <c r="S67" s="788"/>
      <c r="T67" s="788"/>
      <c r="U67" s="788"/>
      <c r="V67" s="789"/>
    </row>
    <row r="68" spans="1:25" s="832" customFormat="1" ht="16.5" customHeight="1" thickBot="1" x14ac:dyDescent="0.35">
      <c r="A68" s="2214" t="s">
        <v>220</v>
      </c>
      <c r="B68" s="2215"/>
      <c r="C68" s="2215"/>
      <c r="D68" s="2216"/>
      <c r="E68" s="828">
        <f>SUM(E69:E72)</f>
        <v>89088871</v>
      </c>
      <c r="F68" s="828">
        <f>+F69+F71</f>
        <v>35743546</v>
      </c>
      <c r="G68" s="828">
        <v>5701631.46</v>
      </c>
      <c r="H68" s="828">
        <v>23434045</v>
      </c>
      <c r="I68" s="828">
        <f>+I69+I71</f>
        <v>23434045</v>
      </c>
      <c r="J68" s="828">
        <v>5701631.46</v>
      </c>
      <c r="K68" s="828">
        <v>23434045</v>
      </c>
      <c r="L68" s="828">
        <f>+L69+L71</f>
        <v>23434045</v>
      </c>
      <c r="M68" s="828">
        <f>+M69+M71</f>
        <v>11000000</v>
      </c>
      <c r="N68" s="722"/>
      <c r="O68" s="722"/>
      <c r="P68" s="722"/>
      <c r="Q68" s="723"/>
      <c r="R68" s="723"/>
      <c r="S68" s="723"/>
      <c r="T68" s="723"/>
      <c r="U68" s="723"/>
      <c r="V68" s="829"/>
      <c r="W68" s="723"/>
      <c r="X68" s="830"/>
      <c r="Y68" s="831"/>
    </row>
    <row r="69" spans="1:25" s="846" customFormat="1" ht="15.75" x14ac:dyDescent="0.25">
      <c r="A69" s="835"/>
      <c r="B69" s="836"/>
      <c r="C69" s="837" t="s">
        <v>47</v>
      </c>
      <c r="D69" s="838" t="s">
        <v>1964</v>
      </c>
      <c r="E69" s="839">
        <v>25459000</v>
      </c>
      <c r="F69" s="839">
        <v>5743546</v>
      </c>
      <c r="G69" s="839">
        <v>5701631.46</v>
      </c>
      <c r="H69" s="839">
        <v>5934045</v>
      </c>
      <c r="I69" s="840">
        <v>5934045</v>
      </c>
      <c r="J69" s="839">
        <v>5701631.46</v>
      </c>
      <c r="K69" s="839">
        <v>5934045</v>
      </c>
      <c r="L69" s="840">
        <v>5934045</v>
      </c>
      <c r="M69" s="840">
        <v>11000000</v>
      </c>
      <c r="N69" s="841"/>
      <c r="O69" s="841"/>
      <c r="P69" s="841"/>
      <c r="Q69" s="842"/>
      <c r="R69" s="842"/>
      <c r="S69" s="842"/>
      <c r="T69" s="842"/>
      <c r="U69" s="842"/>
      <c r="V69" s="843"/>
      <c r="W69" s="842"/>
      <c r="X69" s="844"/>
      <c r="Y69" s="845"/>
    </row>
    <row r="70" spans="1:25" s="846" customFormat="1" ht="15.75" x14ac:dyDescent="0.25">
      <c r="A70" s="847"/>
      <c r="B70" s="848"/>
      <c r="C70" s="849" t="s">
        <v>47</v>
      </c>
      <c r="D70" s="850" t="s">
        <v>48</v>
      </c>
      <c r="E70" s="851">
        <v>0</v>
      </c>
      <c r="F70" s="851">
        <v>0</v>
      </c>
      <c r="G70" s="851">
        <v>0</v>
      </c>
      <c r="H70" s="851">
        <v>0</v>
      </c>
      <c r="I70" s="840">
        <v>0</v>
      </c>
      <c r="J70" s="851">
        <v>0</v>
      </c>
      <c r="K70" s="851">
        <v>0</v>
      </c>
      <c r="L70" s="840">
        <v>0</v>
      </c>
      <c r="M70" s="840">
        <v>0</v>
      </c>
      <c r="N70" s="841"/>
      <c r="O70" s="841"/>
      <c r="P70" s="841"/>
      <c r="Q70" s="842"/>
      <c r="R70" s="842"/>
      <c r="S70" s="842"/>
      <c r="T70" s="842"/>
      <c r="U70" s="842"/>
      <c r="V70" s="843"/>
      <c r="W70" s="842"/>
      <c r="X70" s="844"/>
      <c r="Y70" s="845"/>
    </row>
    <row r="71" spans="1:25" s="846" customFormat="1" ht="15.75" x14ac:dyDescent="0.25">
      <c r="A71" s="847"/>
      <c r="B71" s="848"/>
      <c r="C71" s="849">
        <v>8123</v>
      </c>
      <c r="D71" s="850" t="s">
        <v>1920</v>
      </c>
      <c r="E71" s="851"/>
      <c r="F71" s="851">
        <v>30000000</v>
      </c>
      <c r="G71" s="851"/>
      <c r="H71" s="851">
        <v>17500000</v>
      </c>
      <c r="I71" s="2159">
        <v>17500000</v>
      </c>
      <c r="J71" s="851"/>
      <c r="K71" s="851">
        <v>17500000</v>
      </c>
      <c r="L71" s="2159">
        <v>17500000</v>
      </c>
      <c r="M71" s="2159"/>
      <c r="N71" s="841"/>
      <c r="O71" s="841"/>
      <c r="P71" s="841"/>
      <c r="Q71" s="842"/>
      <c r="R71" s="842"/>
      <c r="S71" s="842"/>
      <c r="T71" s="842"/>
      <c r="U71" s="842"/>
      <c r="V71" s="843"/>
      <c r="W71" s="842"/>
      <c r="X71" s="844"/>
      <c r="Y71" s="845"/>
    </row>
    <row r="72" spans="1:25" s="846" customFormat="1" ht="16.5" thickBot="1" x14ac:dyDescent="0.3">
      <c r="A72" s="847"/>
      <c r="B72" s="848"/>
      <c r="C72" s="849" t="s">
        <v>86</v>
      </c>
      <c r="D72" s="850" t="s">
        <v>87</v>
      </c>
      <c r="E72" s="851">
        <v>63629871</v>
      </c>
      <c r="F72" s="851">
        <v>0</v>
      </c>
      <c r="G72" s="851"/>
      <c r="H72" s="851"/>
      <c r="I72" s="840"/>
      <c r="J72" s="851"/>
      <c r="K72" s="851"/>
      <c r="L72" s="840"/>
      <c r="M72" s="840"/>
      <c r="N72" s="841"/>
      <c r="O72" s="841"/>
      <c r="P72" s="841"/>
      <c r="Q72" s="842"/>
      <c r="R72" s="842"/>
      <c r="S72" s="842"/>
      <c r="T72" s="842"/>
      <c r="U72" s="842"/>
      <c r="V72" s="843"/>
      <c r="W72" s="842"/>
      <c r="X72" s="844"/>
      <c r="Y72" s="845"/>
    </row>
    <row r="73" spans="1:25" s="652" customFormat="1" ht="20.25" customHeight="1" thickBot="1" x14ac:dyDescent="0.35">
      <c r="A73" s="2208" t="s">
        <v>89</v>
      </c>
      <c r="B73" s="2209"/>
      <c r="C73" s="2209"/>
      <c r="D73" s="2210"/>
      <c r="E73" s="852">
        <f>+E66+E68</f>
        <v>229976271</v>
      </c>
      <c r="F73" s="852">
        <f>+F68+F66</f>
        <v>195300075.25999999</v>
      </c>
      <c r="G73" s="852">
        <v>174477959.46000001</v>
      </c>
      <c r="H73" s="852">
        <v>183133037</v>
      </c>
      <c r="I73" s="852">
        <f>+I66+I68</f>
        <v>167043100</v>
      </c>
      <c r="J73" s="852">
        <v>174477959.46000001</v>
      </c>
      <c r="K73" s="852">
        <v>183133037</v>
      </c>
      <c r="L73" s="852">
        <f>+L66+L68</f>
        <v>167043100</v>
      </c>
      <c r="M73" s="852">
        <f>+M66+M68</f>
        <v>158141178</v>
      </c>
      <c r="N73" s="722"/>
      <c r="O73" s="722"/>
      <c r="P73" s="722"/>
      <c r="Q73" s="723"/>
      <c r="R73" s="723"/>
      <c r="S73" s="723"/>
      <c r="T73" s="723"/>
      <c r="U73" s="723"/>
      <c r="V73" s="829"/>
      <c r="W73" s="723"/>
      <c r="X73" s="830"/>
      <c r="Y73" s="831"/>
    </row>
    <row r="74" spans="1:25" ht="15" customHeight="1" x14ac:dyDescent="0.25">
      <c r="A74" s="618"/>
      <c r="B74" s="618"/>
      <c r="C74" s="618"/>
      <c r="D74" s="785"/>
      <c r="E74" s="786"/>
      <c r="F74" s="786"/>
      <c r="G74" s="786"/>
      <c r="H74" s="786"/>
      <c r="I74" s="787"/>
      <c r="J74" s="786"/>
      <c r="K74" s="786"/>
      <c r="L74" s="787"/>
      <c r="M74" s="787"/>
      <c r="S74" s="788"/>
      <c r="T74" s="788"/>
      <c r="U74" s="788"/>
      <c r="V74" s="789"/>
    </row>
    <row r="75" spans="1:25" ht="12.75" customHeight="1" x14ac:dyDescent="0.25">
      <c r="A75" s="752" t="s">
        <v>650</v>
      </c>
      <c r="B75" s="618"/>
      <c r="C75" s="618"/>
      <c r="D75" s="785"/>
      <c r="E75" s="786"/>
      <c r="F75" s="786"/>
      <c r="G75" s="786"/>
      <c r="H75" s="786"/>
      <c r="I75" s="784"/>
      <c r="J75" s="786"/>
      <c r="K75" s="786"/>
      <c r="L75" s="784"/>
      <c r="M75" s="784"/>
    </row>
    <row r="76" spans="1:25" ht="12.75" customHeight="1" x14ac:dyDescent="0.25">
      <c r="N76" s="818"/>
      <c r="O76" s="818"/>
      <c r="P76" s="818"/>
      <c r="Q76" s="818"/>
      <c r="R76" s="856"/>
      <c r="S76" s="856"/>
      <c r="T76" s="856"/>
      <c r="U76" s="856"/>
    </row>
    <row r="77" spans="1:25" ht="12.75" customHeight="1" x14ac:dyDescent="0.25">
      <c r="N77" s="818"/>
      <c r="O77" s="818"/>
      <c r="P77" s="818"/>
      <c r="Q77" s="818"/>
      <c r="R77" s="856"/>
      <c r="S77" s="856"/>
      <c r="T77" s="856"/>
      <c r="U77" s="856"/>
    </row>
  </sheetData>
  <mergeCells count="3">
    <mergeCell ref="A73:D73"/>
    <mergeCell ref="A5:D5"/>
    <mergeCell ref="A68:D68"/>
  </mergeCells>
  <phoneticPr fontId="3" type="noConversion"/>
  <pageMargins left="0.31496062992125984" right="0.31496062992125984" top="0.19685039370078741" bottom="0.19685039370078741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zoomScale="89" zoomScaleNormal="89" workbookViewId="0">
      <selection activeCell="P18" sqref="P18"/>
    </sheetView>
  </sheetViews>
  <sheetFormatPr defaultRowHeight="12.75" x14ac:dyDescent="0.2"/>
  <cols>
    <col min="3" max="3" width="22.85546875" customWidth="1"/>
    <col min="4" max="4" width="12" customWidth="1"/>
    <col min="5" max="5" width="11.85546875" customWidth="1"/>
    <col min="6" max="6" width="9.42578125" style="38" customWidth="1"/>
    <col min="7" max="8" width="8.85546875" style="38" bestFit="1" customWidth="1"/>
    <col min="10" max="10" width="8.85546875" bestFit="1" customWidth="1"/>
  </cols>
  <sheetData>
    <row r="2" spans="2:10" x14ac:dyDescent="0.2">
      <c r="D2" s="8">
        <v>2020</v>
      </c>
      <c r="E2" s="8">
        <v>2021</v>
      </c>
    </row>
    <row r="4" spans="2:10" x14ac:dyDescent="0.2">
      <c r="B4" s="8" t="s">
        <v>258</v>
      </c>
      <c r="D4" s="2179">
        <v>202199166</v>
      </c>
      <c r="E4" s="2179">
        <f>+'Souhrn příjmů a výdajů 2021'!I80</f>
        <v>158141178</v>
      </c>
    </row>
    <row r="6" spans="2:10" x14ac:dyDescent="0.2">
      <c r="B6" s="8" t="s">
        <v>278</v>
      </c>
      <c r="C6" s="8" t="s">
        <v>2035</v>
      </c>
      <c r="F6" s="38" t="s">
        <v>426</v>
      </c>
      <c r="G6" s="38" t="s">
        <v>2037</v>
      </c>
      <c r="H6" s="38" t="s">
        <v>2038</v>
      </c>
    </row>
    <row r="7" spans="2:10" x14ac:dyDescent="0.2">
      <c r="C7" t="s">
        <v>1564</v>
      </c>
      <c r="D7" s="9">
        <v>38974924</v>
      </c>
      <c r="E7" s="9">
        <f>'Výdaje kapitol celkem'!H16</f>
        <v>36162828.399999999</v>
      </c>
    </row>
    <row r="8" spans="2:10" x14ac:dyDescent="0.2">
      <c r="C8" t="s">
        <v>155</v>
      </c>
      <c r="D8" s="9">
        <v>7302000</v>
      </c>
      <c r="E8" s="9">
        <f>+'Výdaje kapitol celkem'!H23+'Výdaje kapitol celkem'!H24+'Výdaje kapitol celkem'!H25+'Výdaje kapitol celkem'!H26</f>
        <v>7329000</v>
      </c>
    </row>
    <row r="9" spans="2:10" x14ac:dyDescent="0.2">
      <c r="C9" t="s">
        <v>105</v>
      </c>
      <c r="D9" s="9">
        <v>3424775</v>
      </c>
      <c r="E9" s="9">
        <f>+'Výdaje kapitol celkem'!H19+'Výdaje kapitol celkem'!H20+'Výdaje kapitol celkem'!H21+'Výdaje kapitol celkem'!H22</f>
        <v>3657000</v>
      </c>
    </row>
    <row r="10" spans="2:10" x14ac:dyDescent="0.2">
      <c r="C10" t="s">
        <v>1462</v>
      </c>
      <c r="D10" s="9">
        <v>37740152</v>
      </c>
      <c r="E10" s="9">
        <f>+'Výdaje kapitol celkem'!H27+'Výdaje kapitol celkem'!H28+'Výdaje kapitol celkem'!H29+'Výdaje kapitol celkem'!H30+'Výdaje kapitol celkem'!H31+'Výdaje kapitol celkem'!H32+'Výdaje kapitol celkem'!H33+'Výdaje kapitol celkem'!H34+'Výdaje kapitol celkem'!H35+'Výdaje kapitol celkem'!H36+'Výdaje kapitol celkem'!H37+'Výdaje kapitol celkem'!H38+'Výdaje kapitol celkem'!H39+'Výdaje kapitol celkem'!H40+'Výdaje kapitol celkem'!H41+'Výdaje kapitol celkem'!H42</f>
        <v>39045530</v>
      </c>
      <c r="F10" s="2181">
        <f>+'Výdaje kapitol celkem'!BZ35+'Výdaje kapitol celkem'!CF35</f>
        <v>2000000</v>
      </c>
      <c r="G10" s="2181">
        <f>+'Výdaje kapitol celkem'!BT35</f>
        <v>4511480</v>
      </c>
      <c r="H10" s="2181">
        <f>+'Výdaje kapitol celkem'!CX34</f>
        <v>2795532</v>
      </c>
      <c r="J10" s="9"/>
    </row>
    <row r="11" spans="2:10" x14ac:dyDescent="0.2">
      <c r="C11" t="s">
        <v>2029</v>
      </c>
      <c r="D11" s="9">
        <v>19303812.825399999</v>
      </c>
      <c r="E11" s="9">
        <f>+'Výdaje kapitol celkem'!H53+'Výdaje kapitol celkem'!H71</f>
        <v>21075266.175000001</v>
      </c>
    </row>
    <row r="12" spans="2:10" x14ac:dyDescent="0.2">
      <c r="C12" t="s">
        <v>2032</v>
      </c>
      <c r="D12" s="9">
        <v>40099999.68</v>
      </c>
      <c r="E12" s="9">
        <f>+'Výdaje kapitol celkem'!H44+'Výdaje kapitol celkem'!H50+'Výdaje kapitol celkem'!H49+'Výdaje kapitol celkem'!H66</f>
        <v>34244000</v>
      </c>
    </row>
    <row r="13" spans="2:10" x14ac:dyDescent="0.2">
      <c r="C13" t="s">
        <v>2036</v>
      </c>
      <c r="D13" s="9">
        <v>7119935.2450000001</v>
      </c>
      <c r="E13" s="9">
        <f>+'Výdaje kapitol celkem'!H48+'Výdaje kapitol celkem'!H47+'Výdaje kapitol celkem'!H46+'Výdaje kapitol celkem'!H45+'Výdaje kapitol celkem'!H43</f>
        <v>3463140</v>
      </c>
    </row>
    <row r="15" spans="2:10" x14ac:dyDescent="0.2">
      <c r="C15" t="s">
        <v>2</v>
      </c>
      <c r="D15" s="2179">
        <f>SUM(D7:D13)</f>
        <v>153965598.75040001</v>
      </c>
      <c r="E15" s="2179">
        <f>SUM(E7:E13)</f>
        <v>144976764.57499999</v>
      </c>
    </row>
    <row r="16" spans="2:10" x14ac:dyDescent="0.2">
      <c r="E16" s="9"/>
    </row>
    <row r="17" spans="2:5" x14ac:dyDescent="0.2">
      <c r="D17" s="2180">
        <f>+D4-D15</f>
        <v>48233567.249599993</v>
      </c>
      <c r="E17" s="2180">
        <f>+E4-E15</f>
        <v>13164413.425000012</v>
      </c>
    </row>
    <row r="18" spans="2:5" x14ac:dyDescent="0.2">
      <c r="D18" s="2180"/>
      <c r="E18" s="2180"/>
    </row>
    <row r="19" spans="2:5" x14ac:dyDescent="0.2">
      <c r="B19" s="8" t="s">
        <v>278</v>
      </c>
      <c r="C19" s="8" t="s">
        <v>2034</v>
      </c>
      <c r="D19" s="9"/>
      <c r="E19" s="2179">
        <f>+'Výdaje kapitol celkem'!H58+'Výdaje kapitol celkem'!H59+'Výdaje kapitol celkem'!H61+'Výdaje kapitol celkem'!H62+'Výdaje kapitol celkem'!H64</f>
        <v>13252108.68</v>
      </c>
    </row>
    <row r="20" spans="2:5" x14ac:dyDescent="0.2">
      <c r="C20" t="s">
        <v>2030</v>
      </c>
      <c r="E20" s="9"/>
    </row>
    <row r="21" spans="2:5" x14ac:dyDescent="0.2">
      <c r="C21" t="s">
        <v>2031</v>
      </c>
      <c r="E21" s="9"/>
    </row>
    <row r="22" spans="2:5" x14ac:dyDescent="0.2">
      <c r="C22" t="s">
        <v>170</v>
      </c>
    </row>
    <row r="23" spans="2:5" x14ac:dyDescent="0.2">
      <c r="E23" s="9"/>
    </row>
    <row r="24" spans="2:5" x14ac:dyDescent="0.2">
      <c r="E24" s="9"/>
    </row>
    <row r="25" spans="2:5" x14ac:dyDescent="0.2">
      <c r="E25" s="9"/>
    </row>
    <row r="26" spans="2:5" x14ac:dyDescent="0.2">
      <c r="E26" s="9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X92"/>
  <sheetViews>
    <sheetView tabSelected="1" topLeftCell="A4" zoomScaleNormal="100" workbookViewId="0">
      <pane xSplit="8" ySplit="4" topLeftCell="M50" activePane="bottomRight" state="frozen"/>
      <selection activeCell="A4" sqref="A4"/>
      <selection pane="topRight" activeCell="I4" sqref="I4"/>
      <selection pane="bottomLeft" activeCell="A8" sqref="A8"/>
      <selection pane="bottomRight" activeCell="H15" sqref="H15"/>
    </sheetView>
  </sheetViews>
  <sheetFormatPr defaultColWidth="9.140625" defaultRowHeight="13.5" outlineLevelRow="1" outlineLevelCol="4" x14ac:dyDescent="0.25"/>
  <cols>
    <col min="1" max="1" width="8.140625" style="990" customWidth="1"/>
    <col min="2" max="2" width="37.28515625" style="759" customWidth="1"/>
    <col min="3" max="3" width="17.42578125" style="759" hidden="1" customWidth="1"/>
    <col min="4" max="4" width="13.7109375" style="759" hidden="1" customWidth="1"/>
    <col min="5" max="5" width="13.7109375" style="759" hidden="1" customWidth="1" outlineLevel="4"/>
    <col min="6" max="7" width="16" style="759" hidden="1" customWidth="1" outlineLevel="4"/>
    <col min="8" max="8" width="16.7109375" style="855" customWidth="1" collapsed="1"/>
    <col min="9" max="15" width="15.140625" style="762" customWidth="1"/>
    <col min="16" max="17" width="15.140625" style="763" customWidth="1" outlineLevel="1"/>
    <col min="18" max="24" width="15.140625" style="762" customWidth="1"/>
    <col min="25" max="25" width="8.5703125" style="762" bestFit="1" customWidth="1"/>
    <col min="26" max="27" width="10.85546875" style="762" bestFit="1" customWidth="1"/>
    <col min="28" max="28" width="10.85546875" style="763" bestFit="1" customWidth="1" outlineLevel="1"/>
    <col min="29" max="29" width="8.5703125" style="763" bestFit="1" customWidth="1" outlineLevel="1"/>
    <col min="30" max="30" width="10.85546875" style="762" bestFit="1" customWidth="1"/>
    <col min="31" max="31" width="10.85546875" style="763" bestFit="1" customWidth="1" outlineLevel="1"/>
    <col min="32" max="32" width="4.28515625" style="763" bestFit="1" customWidth="1" outlineLevel="1"/>
    <col min="33" max="33" width="10.85546875" style="762" bestFit="1" customWidth="1"/>
    <col min="34" max="34" width="10.85546875" style="763" bestFit="1" customWidth="1" outlineLevel="1"/>
    <col min="35" max="35" width="4.28515625" style="763" bestFit="1" customWidth="1" outlineLevel="1"/>
    <col min="36" max="36" width="10.85546875" style="762" bestFit="1" customWidth="1"/>
    <col min="37" max="37" width="9.7109375" style="762" bestFit="1" customWidth="1"/>
    <col min="38" max="38" width="7.5703125" style="762" bestFit="1" customWidth="1"/>
    <col min="39" max="39" width="8.5703125" style="762" bestFit="1" customWidth="1"/>
    <col min="40" max="40" width="8.5703125" style="763" bestFit="1" customWidth="1" outlineLevel="1"/>
    <col min="41" max="41" width="7.5703125" style="763" bestFit="1" customWidth="1" outlineLevel="1"/>
    <col min="42" max="42" width="21" style="762" bestFit="1" customWidth="1"/>
    <col min="43" max="43" width="10.85546875" style="763" bestFit="1" customWidth="1" outlineLevel="1"/>
    <col min="44" max="44" width="8.5703125" style="763" bestFit="1" customWidth="1" outlineLevel="1"/>
    <col min="45" max="45" width="11.85546875" style="762" bestFit="1" customWidth="1"/>
    <col min="46" max="46" width="11.85546875" style="763" bestFit="1" customWidth="1" outlineLevel="1"/>
    <col min="47" max="47" width="4.28515625" style="763" bestFit="1" customWidth="1" outlineLevel="1"/>
    <col min="48" max="48" width="8.5703125" style="762" bestFit="1" customWidth="1"/>
    <col min="49" max="49" width="8.5703125" style="763" bestFit="1" customWidth="1" outlineLevel="1"/>
    <col min="50" max="50" width="4.28515625" style="763" bestFit="1" customWidth="1" outlineLevel="1"/>
    <col min="51" max="51" width="8.5703125" style="762" bestFit="1" customWidth="1"/>
    <col min="52" max="52" width="8.5703125" style="763" bestFit="1" customWidth="1" outlineLevel="1"/>
    <col min="53" max="53" width="4.28515625" style="763" bestFit="1" customWidth="1" outlineLevel="1"/>
    <col min="54" max="54" width="11.85546875" style="762" bestFit="1" customWidth="1"/>
    <col min="55" max="55" width="8.5703125" style="763" bestFit="1" customWidth="1" outlineLevel="1"/>
    <col min="56" max="56" width="7.5703125" style="763" bestFit="1" customWidth="1" outlineLevel="1"/>
    <col min="57" max="57" width="10.85546875" style="762" bestFit="1" customWidth="1"/>
    <col min="58" max="58" width="10.85546875" style="763" bestFit="1" customWidth="1" outlineLevel="1"/>
    <col min="59" max="59" width="7.5703125" style="763" bestFit="1" customWidth="1" outlineLevel="1"/>
    <col min="60" max="60" width="9.7109375" style="762" bestFit="1" customWidth="1"/>
    <col min="61" max="61" width="8.5703125" style="763" bestFit="1" customWidth="1" outlineLevel="1"/>
    <col min="62" max="62" width="4.28515625" style="763" bestFit="1" customWidth="1" outlineLevel="1"/>
    <col min="63" max="63" width="14.140625" style="762" bestFit="1" customWidth="1"/>
    <col min="64" max="64" width="9.7109375" style="762" bestFit="1" customWidth="1"/>
    <col min="65" max="65" width="8.5703125" style="763" bestFit="1" customWidth="1" outlineLevel="1"/>
    <col min="66" max="66" width="7.5703125" style="763" bestFit="1" customWidth="1" outlineLevel="1"/>
    <col min="67" max="67" width="8.5703125" style="762" bestFit="1" customWidth="1"/>
    <col min="68" max="68" width="10.85546875" style="762" bestFit="1" customWidth="1"/>
    <col min="69" max="69" width="10.85546875" style="763" bestFit="1" customWidth="1" outlineLevel="1"/>
    <col min="70" max="70" width="8.5703125" style="763" bestFit="1" customWidth="1" outlineLevel="1"/>
    <col min="71" max="71" width="10.85546875" style="762" bestFit="1" customWidth="1"/>
    <col min="72" max="72" width="10.85546875" style="763" bestFit="1" customWidth="1" outlineLevel="1"/>
    <col min="73" max="73" width="8.5703125" style="763" bestFit="1" customWidth="1" outlineLevel="1"/>
    <col min="74" max="74" width="18.7109375" style="762" bestFit="1" customWidth="1"/>
    <col min="75" max="75" width="11.85546875" style="762" bestFit="1" customWidth="1"/>
    <col min="76" max="76" width="10.85546875" style="763" bestFit="1" customWidth="1" outlineLevel="2"/>
    <col min="77" max="77" width="4.28515625" style="763" bestFit="1" customWidth="1" outlineLevel="2"/>
    <col min="78" max="78" width="14.140625" style="762" bestFit="1" customWidth="1"/>
    <col min="79" max="79" width="10.85546875" style="763" bestFit="1" customWidth="1" outlineLevel="2"/>
    <col min="80" max="80" width="4.28515625" style="763" bestFit="1" customWidth="1" outlineLevel="2"/>
    <col min="81" max="81" width="21" style="762" bestFit="1" customWidth="1"/>
    <col min="82" max="82" width="8.5703125" style="763" bestFit="1" customWidth="1" outlineLevel="2"/>
    <col min="83" max="83" width="4.28515625" style="763" bestFit="1" customWidth="1" outlineLevel="2"/>
    <col min="84" max="84" width="11.85546875" style="762" bestFit="1" customWidth="1"/>
    <col min="85" max="85" width="10.85546875" style="763" bestFit="1" customWidth="1" outlineLevel="2"/>
    <col min="86" max="86" width="4.28515625" style="763" bestFit="1" customWidth="1" outlineLevel="2"/>
    <col min="87" max="87" width="19.85546875" style="762" bestFit="1" customWidth="1"/>
    <col min="88" max="88" width="8.5703125" style="763" bestFit="1" customWidth="1" outlineLevel="1"/>
    <col min="89" max="89" width="4.28515625" style="763" bestFit="1" customWidth="1" outlineLevel="1"/>
    <col min="90" max="90" width="14.140625" style="762" bestFit="1" customWidth="1"/>
    <col min="91" max="91" width="13.140625" style="762" bestFit="1" customWidth="1"/>
    <col min="92" max="92" width="6.42578125" style="763" bestFit="1" customWidth="1" outlineLevel="1"/>
    <col min="93" max="93" width="10.85546875" style="763" bestFit="1" customWidth="1" outlineLevel="1"/>
    <col min="94" max="94" width="13.140625" style="762" bestFit="1" customWidth="1"/>
    <col min="95" max="95" width="10.85546875" style="763" bestFit="1" customWidth="1" outlineLevel="1"/>
    <col min="96" max="96" width="8.5703125" style="763" bestFit="1" customWidth="1" outlineLevel="1"/>
    <col min="97" max="97" width="19.85546875" style="762" bestFit="1" customWidth="1"/>
    <col min="98" max="98" width="6.42578125" style="763" bestFit="1" customWidth="1" outlineLevel="1"/>
    <col min="99" max="99" width="7.5703125" style="763" bestFit="1" customWidth="1" outlineLevel="1"/>
    <col min="100" max="100" width="15.28515625" style="762" bestFit="1" customWidth="1"/>
    <col min="101" max="101" width="10.85546875" style="762" bestFit="1" customWidth="1"/>
    <col min="102" max="102" width="10.85546875" style="763" bestFit="1" customWidth="1" outlineLevel="1"/>
    <col min="103" max="104" width="4.28515625" style="763" bestFit="1" customWidth="1" outlineLevel="1"/>
    <col min="105" max="105" width="8.5703125" style="762" bestFit="1" customWidth="1"/>
    <col min="106" max="106" width="10.85546875" style="762" bestFit="1" customWidth="1"/>
    <col min="107" max="107" width="13.140625" style="762" bestFit="1" customWidth="1"/>
    <col min="108" max="108" width="10.85546875" style="762" bestFit="1" customWidth="1"/>
    <col min="109" max="109" width="11.85546875" style="762" bestFit="1" customWidth="1"/>
    <col min="110" max="110" width="14.140625" style="762" bestFit="1" customWidth="1"/>
    <col min="111" max="111" width="8.5703125" style="762" bestFit="1" customWidth="1"/>
    <col min="112" max="112" width="10.85546875" style="762" bestFit="1" customWidth="1"/>
    <col min="113" max="113" width="10.85546875" style="763" bestFit="1" customWidth="1" outlineLevel="1"/>
    <col min="114" max="114" width="4.28515625" style="763" bestFit="1" customWidth="1" outlineLevel="1"/>
    <col min="115" max="115" width="10.85546875" style="762" bestFit="1" customWidth="1"/>
    <col min="116" max="116" width="13.140625" style="762" bestFit="1" customWidth="1"/>
    <col min="117" max="117" width="10.42578125" style="762" customWidth="1"/>
    <col min="118" max="118" width="13.7109375" style="759" hidden="1" customWidth="1"/>
    <col min="119" max="119" width="21.7109375" style="988" hidden="1" customWidth="1"/>
    <col min="120" max="120" width="7.28515625" style="989" hidden="1" customWidth="1"/>
    <col min="121" max="121" width="14.28515625" style="762" hidden="1" customWidth="1"/>
    <col min="122" max="122" width="9.140625" style="759"/>
    <col min="123" max="123" width="10.85546875" style="759" bestFit="1" customWidth="1"/>
    <col min="124" max="126" width="9.140625" style="759"/>
    <col min="127" max="127" width="9.85546875" style="759" bestFit="1" customWidth="1"/>
    <col min="128" max="16384" width="9.140625" style="759"/>
  </cols>
  <sheetData>
    <row r="1" spans="1:128" ht="16.5" customHeight="1" x14ac:dyDescent="0.25">
      <c r="A1" s="605"/>
      <c r="B1" s="446"/>
      <c r="C1" s="446"/>
      <c r="D1" s="446"/>
      <c r="E1" s="446"/>
      <c r="F1" s="446"/>
      <c r="G1" s="446"/>
      <c r="H1" s="526"/>
      <c r="I1" s="446"/>
      <c r="J1" s="446"/>
      <c r="K1" s="446"/>
      <c r="L1" s="446"/>
      <c r="M1" s="446"/>
      <c r="N1" s="446"/>
      <c r="O1" s="446"/>
      <c r="P1" s="517"/>
      <c r="Q1" s="517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517"/>
      <c r="AC1" s="517"/>
      <c r="AD1" s="446"/>
      <c r="AE1" s="517"/>
      <c r="AF1" s="517"/>
      <c r="AG1" s="446"/>
      <c r="AH1" s="517"/>
      <c r="AI1" s="517"/>
      <c r="AJ1" s="446"/>
      <c r="AK1" s="446"/>
      <c r="AL1" s="446"/>
      <c r="AM1" s="446"/>
      <c r="AN1" s="517"/>
      <c r="AO1" s="517"/>
      <c r="AP1" s="446"/>
      <c r="AQ1" s="517"/>
      <c r="AR1" s="517"/>
      <c r="AS1" s="446"/>
      <c r="AT1" s="517"/>
      <c r="AU1" s="517"/>
      <c r="AV1" s="446"/>
      <c r="AW1" s="517"/>
      <c r="AX1" s="517"/>
      <c r="AY1" s="446"/>
      <c r="AZ1" s="517"/>
      <c r="BA1" s="517"/>
      <c r="BB1" s="446"/>
      <c r="BC1" s="517"/>
      <c r="BD1" s="517"/>
      <c r="BE1" s="446"/>
      <c r="BF1" s="517"/>
      <c r="BG1" s="517"/>
      <c r="BH1" s="446"/>
      <c r="BI1" s="517"/>
      <c r="BJ1" s="517"/>
      <c r="BK1" s="446"/>
      <c r="BL1" s="446"/>
      <c r="BM1" s="517"/>
      <c r="BN1" s="517"/>
      <c r="BO1" s="446"/>
      <c r="BP1" s="446"/>
      <c r="BQ1" s="517"/>
      <c r="BR1" s="517"/>
      <c r="BS1" s="446"/>
      <c r="BT1" s="517"/>
      <c r="BU1" s="517"/>
      <c r="BV1" s="446"/>
      <c r="BW1" s="446"/>
      <c r="BX1" s="517"/>
      <c r="BY1" s="517"/>
      <c r="BZ1" s="446"/>
      <c r="CA1" s="517"/>
      <c r="CB1" s="517"/>
      <c r="CC1" s="446"/>
      <c r="CD1" s="517"/>
      <c r="CE1" s="517"/>
      <c r="CF1" s="446"/>
      <c r="CG1" s="517"/>
      <c r="CH1" s="517"/>
      <c r="CI1" s="446"/>
      <c r="CJ1" s="517"/>
      <c r="CK1" s="517"/>
      <c r="CL1" s="446"/>
      <c r="CM1" s="446"/>
      <c r="CN1" s="517"/>
      <c r="CO1" s="517"/>
      <c r="CP1" s="446"/>
      <c r="CQ1" s="517"/>
      <c r="CR1" s="517"/>
      <c r="CS1" s="446"/>
      <c r="CT1" s="517"/>
      <c r="CU1" s="517"/>
      <c r="CV1" s="446"/>
      <c r="CW1" s="446"/>
      <c r="CX1" s="517"/>
      <c r="CY1" s="517"/>
      <c r="CZ1" s="517"/>
      <c r="DA1" s="446"/>
      <c r="DB1" s="446"/>
      <c r="DC1" s="446"/>
      <c r="DD1" s="446"/>
      <c r="DE1" s="446"/>
      <c r="DF1" s="446"/>
      <c r="DG1" s="446"/>
      <c r="DH1" s="446"/>
      <c r="DI1" s="517"/>
      <c r="DJ1" s="517"/>
      <c r="DK1" s="446"/>
      <c r="DL1" s="446"/>
      <c r="DM1" s="446"/>
      <c r="DN1" s="446"/>
      <c r="DO1" s="872"/>
      <c r="DP1" s="873"/>
      <c r="DQ1" s="446"/>
    </row>
    <row r="2" spans="1:128" x14ac:dyDescent="0.25">
      <c r="A2" s="874"/>
      <c r="B2" s="446"/>
      <c r="C2" s="446"/>
      <c r="D2" s="446"/>
      <c r="E2" s="446"/>
      <c r="F2" s="446"/>
      <c r="G2" s="446"/>
      <c r="H2" s="726"/>
      <c r="I2" s="446"/>
      <c r="J2" s="446"/>
      <c r="K2" s="446"/>
      <c r="L2" s="446"/>
      <c r="M2" s="446"/>
      <c r="N2" s="446"/>
      <c r="O2" s="446"/>
      <c r="P2" s="517"/>
      <c r="Q2" s="517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517"/>
      <c r="AC2" s="517"/>
      <c r="AD2" s="446"/>
      <c r="AE2" s="517"/>
      <c r="AF2" s="517"/>
      <c r="AG2" s="446"/>
      <c r="AH2" s="517"/>
      <c r="AI2" s="517"/>
      <c r="AJ2" s="446"/>
      <c r="AK2" s="446"/>
      <c r="AL2" s="446"/>
      <c r="AM2" s="446"/>
      <c r="AN2" s="517"/>
      <c r="AO2" s="517"/>
      <c r="AP2" s="446"/>
      <c r="AQ2" s="517"/>
      <c r="AR2" s="517"/>
      <c r="AS2" s="446"/>
      <c r="AT2" s="517"/>
      <c r="AU2" s="517"/>
      <c r="AV2" s="446"/>
      <c r="AW2" s="517"/>
      <c r="AX2" s="517"/>
      <c r="AY2" s="446"/>
      <c r="AZ2" s="517"/>
      <c r="BA2" s="517"/>
      <c r="BB2" s="446"/>
      <c r="BC2" s="517"/>
      <c r="BD2" s="517"/>
      <c r="BE2" s="446"/>
      <c r="BF2" s="517"/>
      <c r="BG2" s="517"/>
      <c r="BH2" s="446"/>
      <c r="BI2" s="517"/>
      <c r="BJ2" s="517"/>
      <c r="BK2" s="446"/>
      <c r="BL2" s="446"/>
      <c r="BM2" s="517"/>
      <c r="BN2" s="517"/>
      <c r="BO2" s="446"/>
      <c r="BP2" s="446"/>
      <c r="BQ2" s="517"/>
      <c r="BR2" s="517"/>
      <c r="BS2" s="446"/>
      <c r="BT2" s="517"/>
      <c r="BU2" s="517"/>
      <c r="BV2" s="446"/>
      <c r="BW2" s="446"/>
      <c r="BX2" s="517"/>
      <c r="BY2" s="517"/>
      <c r="BZ2" s="446"/>
      <c r="CA2" s="517"/>
      <c r="CB2" s="517"/>
      <c r="CC2" s="446"/>
      <c r="CD2" s="517"/>
      <c r="CE2" s="517"/>
      <c r="CF2" s="446"/>
      <c r="CG2" s="517"/>
      <c r="CH2" s="517"/>
      <c r="CI2" s="446"/>
      <c r="CJ2" s="517"/>
      <c r="CK2" s="517"/>
      <c r="CL2" s="446"/>
      <c r="CM2" s="446"/>
      <c r="CN2" s="517"/>
      <c r="CO2" s="517"/>
      <c r="CP2" s="446"/>
      <c r="CQ2" s="517"/>
      <c r="CR2" s="517"/>
      <c r="CS2" s="446"/>
      <c r="CT2" s="517"/>
      <c r="CU2" s="517"/>
      <c r="CV2" s="446"/>
      <c r="CW2" s="446"/>
      <c r="CX2" s="517"/>
      <c r="CY2" s="517"/>
      <c r="CZ2" s="517"/>
      <c r="DA2" s="446"/>
      <c r="DB2" s="446"/>
      <c r="DC2" s="446"/>
      <c r="DD2" s="446"/>
      <c r="DE2" s="446"/>
      <c r="DF2" s="446"/>
      <c r="DG2" s="446"/>
      <c r="DH2" s="446"/>
      <c r="DI2" s="517"/>
      <c r="DJ2" s="517"/>
      <c r="DK2" s="446"/>
      <c r="DL2" s="446"/>
      <c r="DM2" s="446"/>
      <c r="DN2" s="446"/>
      <c r="DO2" s="872"/>
      <c r="DP2" s="873"/>
      <c r="DQ2" s="446"/>
    </row>
    <row r="3" spans="1:128" x14ac:dyDescent="0.25">
      <c r="A3" s="875"/>
      <c r="B3" s="876"/>
      <c r="C3" s="876"/>
      <c r="D3" s="876"/>
      <c r="E3" s="876"/>
      <c r="F3" s="876"/>
      <c r="G3" s="876"/>
      <c r="H3" s="877"/>
      <c r="I3" s="876"/>
      <c r="J3" s="878"/>
      <c r="K3" s="878"/>
      <c r="L3" s="876"/>
      <c r="M3" s="876"/>
      <c r="N3" s="876"/>
      <c r="O3" s="876"/>
      <c r="P3" s="879"/>
      <c r="Q3" s="879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9"/>
      <c r="AC3" s="879"/>
      <c r="AD3" s="876"/>
      <c r="AE3" s="879"/>
      <c r="AF3" s="879"/>
      <c r="AG3" s="876"/>
      <c r="AH3" s="879"/>
      <c r="AI3" s="879"/>
      <c r="AJ3" s="876"/>
      <c r="AK3" s="876"/>
      <c r="AL3" s="876"/>
      <c r="AM3" s="876"/>
      <c r="AN3" s="879"/>
      <c r="AO3" s="879"/>
      <c r="AP3" s="876"/>
      <c r="AQ3" s="879"/>
      <c r="AR3" s="879"/>
      <c r="AS3" s="876"/>
      <c r="AT3" s="879"/>
      <c r="AU3" s="879"/>
      <c r="AV3" s="876"/>
      <c r="AW3" s="879"/>
      <c r="AX3" s="879"/>
      <c r="AY3" s="876"/>
      <c r="AZ3" s="879"/>
      <c r="BA3" s="879"/>
      <c r="BB3" s="876"/>
      <c r="BC3" s="879"/>
      <c r="BD3" s="879"/>
      <c r="BE3" s="876"/>
      <c r="BF3" s="879"/>
      <c r="BG3" s="879"/>
      <c r="BH3" s="876"/>
      <c r="BI3" s="879"/>
      <c r="BJ3" s="879"/>
      <c r="BK3" s="876"/>
      <c r="BL3" s="876"/>
      <c r="BM3" s="879"/>
      <c r="BN3" s="879"/>
      <c r="BO3" s="876"/>
      <c r="BP3" s="876"/>
      <c r="BQ3" s="879"/>
      <c r="BR3" s="879"/>
      <c r="BS3" s="876"/>
      <c r="BT3" s="879"/>
      <c r="BU3" s="879"/>
      <c r="BV3" s="876"/>
      <c r="BW3" s="876"/>
      <c r="BX3" s="879"/>
      <c r="BY3" s="879"/>
      <c r="BZ3" s="876"/>
      <c r="CA3" s="879"/>
      <c r="CB3" s="879"/>
      <c r="CC3" s="876"/>
      <c r="CD3" s="879"/>
      <c r="CE3" s="879"/>
      <c r="CF3" s="876"/>
      <c r="CG3" s="879"/>
      <c r="CH3" s="879"/>
      <c r="CI3" s="876"/>
      <c r="CJ3" s="879"/>
      <c r="CK3" s="879"/>
      <c r="CL3" s="876"/>
      <c r="CM3" s="876"/>
      <c r="CN3" s="879"/>
      <c r="CO3" s="879"/>
      <c r="CP3" s="876"/>
      <c r="CQ3" s="879"/>
      <c r="CR3" s="879"/>
      <c r="CS3" s="876"/>
      <c r="CT3" s="879"/>
      <c r="CU3" s="879"/>
      <c r="CV3" s="876"/>
      <c r="CW3" s="876"/>
      <c r="CX3" s="879"/>
      <c r="CY3" s="879"/>
      <c r="CZ3" s="879"/>
      <c r="DA3" s="876"/>
      <c r="DB3" s="876"/>
      <c r="DC3" s="876"/>
      <c r="DD3" s="876"/>
      <c r="DE3" s="876"/>
      <c r="DF3" s="876"/>
      <c r="DG3" s="876"/>
      <c r="DH3" s="876"/>
      <c r="DI3" s="879"/>
      <c r="DJ3" s="879"/>
      <c r="DK3" s="876"/>
      <c r="DL3" s="876"/>
      <c r="DM3" s="876"/>
      <c r="DN3" s="876"/>
      <c r="DO3" s="878"/>
      <c r="DP3" s="880"/>
      <c r="DQ3" s="876"/>
    </row>
    <row r="4" spans="1:128" ht="16.5" x14ac:dyDescent="0.3">
      <c r="A4" s="881" t="s">
        <v>1952</v>
      </c>
      <c r="B4" s="876"/>
      <c r="C4" s="876"/>
      <c r="D4" s="876"/>
      <c r="E4" s="876"/>
      <c r="F4" s="876"/>
      <c r="G4" s="876"/>
      <c r="H4" s="877"/>
      <c r="I4" s="876"/>
      <c r="J4" s="878"/>
      <c r="K4" s="878"/>
      <c r="L4" s="876"/>
      <c r="M4" s="878"/>
      <c r="N4" s="878"/>
      <c r="O4" s="878"/>
      <c r="P4" s="879"/>
      <c r="Q4" s="879"/>
      <c r="R4" s="878"/>
      <c r="S4" s="876"/>
      <c r="T4" s="876"/>
      <c r="U4" s="876"/>
      <c r="V4" s="876"/>
      <c r="W4" s="876"/>
      <c r="X4" s="876"/>
      <c r="Y4" s="876"/>
      <c r="Z4" s="876"/>
      <c r="AA4" s="876"/>
      <c r="AB4" s="879"/>
      <c r="AC4" s="879"/>
      <c r="AD4" s="876"/>
      <c r="AE4" s="879"/>
      <c r="AF4" s="879"/>
      <c r="AG4" s="876"/>
      <c r="AH4" s="879"/>
      <c r="AI4" s="879"/>
      <c r="AJ4" s="876"/>
      <c r="AK4" s="876"/>
      <c r="AL4" s="876"/>
      <c r="AM4" s="876"/>
      <c r="AN4" s="879"/>
      <c r="AO4" s="879"/>
      <c r="AP4" s="876"/>
      <c r="AQ4" s="879"/>
      <c r="AR4" s="879"/>
      <c r="AS4" s="876"/>
      <c r="AT4" s="879"/>
      <c r="AU4" s="879"/>
      <c r="AV4" s="876"/>
      <c r="AW4" s="879"/>
      <c r="AX4" s="879"/>
      <c r="AY4" s="876"/>
      <c r="AZ4" s="879"/>
      <c r="BA4" s="879"/>
      <c r="BB4" s="876"/>
      <c r="BC4" s="879"/>
      <c r="BD4" s="879"/>
      <c r="BE4" s="876"/>
      <c r="BF4" s="879"/>
      <c r="BG4" s="879"/>
      <c r="BH4" s="876"/>
      <c r="BI4" s="879"/>
      <c r="BJ4" s="879"/>
      <c r="BK4" s="876"/>
      <c r="BL4" s="876"/>
      <c r="BM4" s="879"/>
      <c r="BN4" s="879"/>
      <c r="BO4" s="876"/>
      <c r="BP4" s="876"/>
      <c r="BQ4" s="879"/>
      <c r="BR4" s="879"/>
      <c r="BS4" s="876"/>
      <c r="BT4" s="879"/>
      <c r="BU4" s="879"/>
      <c r="BV4" s="876"/>
      <c r="BW4" s="876"/>
      <c r="BX4" s="879"/>
      <c r="BY4" s="879"/>
      <c r="BZ4" s="876"/>
      <c r="CA4" s="879"/>
      <c r="CB4" s="879"/>
      <c r="CC4" s="876"/>
      <c r="CD4" s="879"/>
      <c r="CE4" s="879"/>
      <c r="CF4" s="876"/>
      <c r="CG4" s="879"/>
      <c r="CH4" s="879"/>
      <c r="CI4" s="876"/>
      <c r="CJ4" s="879"/>
      <c r="CK4" s="879"/>
      <c r="CL4" s="876"/>
      <c r="CM4" s="876"/>
      <c r="CN4" s="879"/>
      <c r="CO4" s="879"/>
      <c r="CP4" s="876"/>
      <c r="CQ4" s="879"/>
      <c r="CR4" s="879"/>
      <c r="CS4" s="876"/>
      <c r="CT4" s="879"/>
      <c r="CU4" s="879"/>
      <c r="CV4" s="876"/>
      <c r="CW4" s="876"/>
      <c r="CX4" s="879"/>
      <c r="CY4" s="879"/>
      <c r="CZ4" s="879"/>
      <c r="DA4" s="876"/>
      <c r="DB4" s="876"/>
      <c r="DC4" s="876"/>
      <c r="DD4" s="876"/>
      <c r="DE4" s="876"/>
      <c r="DF4" s="876"/>
      <c r="DG4" s="876"/>
      <c r="DH4" s="876"/>
      <c r="DI4" s="879"/>
      <c r="DJ4" s="879"/>
      <c r="DK4" s="876"/>
      <c r="DL4" s="876"/>
      <c r="DM4" s="876"/>
      <c r="DN4" s="876"/>
      <c r="DO4" s="878"/>
      <c r="DP4" s="880"/>
      <c r="DQ4" s="876"/>
    </row>
    <row r="5" spans="1:128" ht="14.25" thickBot="1" x14ac:dyDescent="0.3">
      <c r="A5" s="882" t="s">
        <v>219</v>
      </c>
      <c r="B5" s="876"/>
      <c r="C5" s="876"/>
      <c r="D5" s="876"/>
      <c r="E5" s="876"/>
      <c r="F5" s="876"/>
      <c r="G5" s="876"/>
      <c r="H5" s="883"/>
      <c r="I5" s="884"/>
      <c r="J5" s="885"/>
      <c r="K5" s="885"/>
      <c r="L5" s="885"/>
      <c r="M5" s="885"/>
      <c r="N5" s="885"/>
      <c r="O5" s="885"/>
      <c r="P5" s="670"/>
      <c r="Q5" s="670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670"/>
      <c r="AC5" s="670"/>
      <c r="AD5" s="885"/>
      <c r="AE5" s="670"/>
      <c r="AF5" s="670"/>
      <c r="AG5" s="885"/>
      <c r="AH5" s="670"/>
      <c r="AI5" s="670"/>
      <c r="AJ5" s="885"/>
      <c r="AK5" s="885"/>
      <c r="AL5" s="885"/>
      <c r="AM5" s="885"/>
      <c r="AN5" s="670"/>
      <c r="AO5" s="670"/>
      <c r="AP5" s="885"/>
      <c r="AQ5" s="670"/>
      <c r="AR5" s="670"/>
      <c r="AS5" s="885"/>
      <c r="AT5" s="670"/>
      <c r="AU5" s="670"/>
      <c r="AV5" s="885"/>
      <c r="AW5" s="670"/>
      <c r="AX5" s="670"/>
      <c r="AY5" s="885"/>
      <c r="AZ5" s="670"/>
      <c r="BA5" s="670"/>
      <c r="BB5" s="885"/>
      <c r="BC5" s="670"/>
      <c r="BD5" s="670"/>
      <c r="BE5" s="885"/>
      <c r="BF5" s="670"/>
      <c r="BG5" s="670"/>
      <c r="BH5" s="885"/>
      <c r="BI5" s="670"/>
      <c r="BJ5" s="670"/>
      <c r="BK5" s="885"/>
      <c r="BL5" s="885"/>
      <c r="BM5" s="670"/>
      <c r="BN5" s="670"/>
      <c r="BO5" s="885"/>
      <c r="BP5" s="885"/>
      <c r="BQ5" s="670"/>
      <c r="BR5" s="670"/>
      <c r="BS5" s="885"/>
      <c r="BT5" s="670"/>
      <c r="BU5" s="670"/>
      <c r="BV5" s="885"/>
      <c r="BW5" s="885"/>
      <c r="BX5" s="670"/>
      <c r="BY5" s="670"/>
      <c r="BZ5" s="885"/>
      <c r="CA5" s="670"/>
      <c r="CB5" s="670"/>
      <c r="CC5" s="885"/>
      <c r="CD5" s="670"/>
      <c r="CE5" s="670"/>
      <c r="CF5" s="885"/>
      <c r="CG5" s="670"/>
      <c r="CH5" s="670"/>
      <c r="CI5" s="885"/>
      <c r="CJ5" s="670"/>
      <c r="CK5" s="670"/>
      <c r="CL5" s="885"/>
      <c r="CM5" s="885"/>
      <c r="CN5" s="670"/>
      <c r="CO5" s="670"/>
      <c r="CP5" s="885"/>
      <c r="CQ5" s="670"/>
      <c r="CR5" s="670"/>
      <c r="CS5" s="885"/>
      <c r="CT5" s="670"/>
      <c r="CU5" s="670"/>
      <c r="CV5" s="885"/>
      <c r="CW5" s="885"/>
      <c r="CX5" s="670"/>
      <c r="CY5" s="670"/>
      <c r="CZ5" s="670"/>
      <c r="DA5" s="885"/>
      <c r="DB5" s="885"/>
      <c r="DC5" s="885"/>
      <c r="DD5" s="885"/>
      <c r="DE5" s="885"/>
      <c r="DF5" s="885"/>
      <c r="DG5" s="885"/>
      <c r="DH5" s="885"/>
      <c r="DI5" s="670"/>
      <c r="DJ5" s="670"/>
      <c r="DK5" s="885"/>
      <c r="DL5" s="885"/>
      <c r="DM5" s="885"/>
      <c r="DN5" s="876"/>
      <c r="DO5" s="878"/>
      <c r="DP5" s="880"/>
      <c r="DQ5" s="885" t="s">
        <v>869</v>
      </c>
    </row>
    <row r="6" spans="1:128" ht="39" customHeight="1" thickBot="1" x14ac:dyDescent="0.3">
      <c r="A6" s="886" t="s">
        <v>10</v>
      </c>
      <c r="B6" s="886" t="s">
        <v>0</v>
      </c>
      <c r="C6" s="887" t="s">
        <v>870</v>
      </c>
      <c r="D6" s="887" t="s">
        <v>1701</v>
      </c>
      <c r="E6" s="887" t="s">
        <v>1287</v>
      </c>
      <c r="F6" s="887" t="s">
        <v>1717</v>
      </c>
      <c r="G6" s="887" t="s">
        <v>1747</v>
      </c>
      <c r="H6" s="887" t="s">
        <v>1950</v>
      </c>
      <c r="I6" s="888" t="s">
        <v>160</v>
      </c>
      <c r="J6" s="888" t="s">
        <v>161</v>
      </c>
      <c r="K6" s="888" t="s">
        <v>1055</v>
      </c>
      <c r="L6" s="888" t="s">
        <v>162</v>
      </c>
      <c r="M6" s="888" t="s">
        <v>986</v>
      </c>
      <c r="N6" s="888" t="s">
        <v>1285</v>
      </c>
      <c r="O6" s="888" t="s">
        <v>414</v>
      </c>
      <c r="P6" s="889" t="s">
        <v>1315</v>
      </c>
      <c r="Q6" s="890" t="s">
        <v>289</v>
      </c>
      <c r="R6" s="888" t="s">
        <v>1286</v>
      </c>
      <c r="S6" s="891" t="s">
        <v>289</v>
      </c>
      <c r="T6" s="892" t="s">
        <v>163</v>
      </c>
      <c r="U6" s="888" t="s">
        <v>164</v>
      </c>
      <c r="V6" s="888" t="s">
        <v>165</v>
      </c>
      <c r="W6" s="888" t="s">
        <v>166</v>
      </c>
      <c r="X6" s="888" t="s">
        <v>226</v>
      </c>
      <c r="Y6" s="888" t="s">
        <v>167</v>
      </c>
      <c r="Z6" s="888" t="s">
        <v>168</v>
      </c>
      <c r="AA6" s="888" t="s">
        <v>169</v>
      </c>
      <c r="AB6" s="889" t="s">
        <v>1312</v>
      </c>
      <c r="AC6" s="893" t="s">
        <v>289</v>
      </c>
      <c r="AD6" s="888" t="s">
        <v>170</v>
      </c>
      <c r="AE6" s="889" t="s">
        <v>603</v>
      </c>
      <c r="AF6" s="893" t="s">
        <v>289</v>
      </c>
      <c r="AG6" s="888" t="s">
        <v>171</v>
      </c>
      <c r="AH6" s="889" t="s">
        <v>1312</v>
      </c>
      <c r="AI6" s="893" t="s">
        <v>289</v>
      </c>
      <c r="AJ6" s="888" t="s">
        <v>172</v>
      </c>
      <c r="AK6" s="888" t="s">
        <v>173</v>
      </c>
      <c r="AL6" s="888" t="s">
        <v>174</v>
      </c>
      <c r="AM6" s="888" t="s">
        <v>175</v>
      </c>
      <c r="AN6" s="889" t="s">
        <v>603</v>
      </c>
      <c r="AO6" s="893" t="s">
        <v>289</v>
      </c>
      <c r="AP6" s="888" t="s">
        <v>1313</v>
      </c>
      <c r="AQ6" s="889" t="s">
        <v>1312</v>
      </c>
      <c r="AR6" s="893" t="s">
        <v>289</v>
      </c>
      <c r="AS6" s="888" t="s">
        <v>176</v>
      </c>
      <c r="AT6" s="889" t="s">
        <v>1312</v>
      </c>
      <c r="AU6" s="893" t="s">
        <v>289</v>
      </c>
      <c r="AV6" s="888" t="s">
        <v>177</v>
      </c>
      <c r="AW6" s="889" t="s">
        <v>1312</v>
      </c>
      <c r="AX6" s="893" t="s">
        <v>289</v>
      </c>
      <c r="AY6" s="888" t="s">
        <v>178</v>
      </c>
      <c r="AZ6" s="889" t="s">
        <v>1312</v>
      </c>
      <c r="BA6" s="893" t="s">
        <v>289</v>
      </c>
      <c r="BB6" s="888" t="s">
        <v>890</v>
      </c>
      <c r="BC6" s="889" t="s">
        <v>1312</v>
      </c>
      <c r="BD6" s="893" t="s">
        <v>289</v>
      </c>
      <c r="BE6" s="888" t="s">
        <v>179</v>
      </c>
      <c r="BF6" s="889" t="s">
        <v>1312</v>
      </c>
      <c r="BG6" s="893" t="s">
        <v>289</v>
      </c>
      <c r="BH6" s="888" t="s">
        <v>180</v>
      </c>
      <c r="BI6" s="889" t="s">
        <v>1312</v>
      </c>
      <c r="BJ6" s="893" t="s">
        <v>289</v>
      </c>
      <c r="BK6" s="888" t="s">
        <v>181</v>
      </c>
      <c r="BL6" s="888" t="s">
        <v>393</v>
      </c>
      <c r="BM6" s="889" t="s">
        <v>1312</v>
      </c>
      <c r="BN6" s="893" t="s">
        <v>289</v>
      </c>
      <c r="BO6" s="888" t="s">
        <v>182</v>
      </c>
      <c r="BP6" s="888" t="s">
        <v>183</v>
      </c>
      <c r="BQ6" s="889" t="s">
        <v>603</v>
      </c>
      <c r="BR6" s="893" t="s">
        <v>289</v>
      </c>
      <c r="BS6" s="888" t="s">
        <v>184</v>
      </c>
      <c r="BT6" s="889" t="s">
        <v>1312</v>
      </c>
      <c r="BU6" s="893" t="s">
        <v>289</v>
      </c>
      <c r="BV6" s="888" t="s">
        <v>987</v>
      </c>
      <c r="BW6" s="888" t="s">
        <v>988</v>
      </c>
      <c r="BX6" s="889" t="s">
        <v>1312</v>
      </c>
      <c r="BY6" s="893" t="s">
        <v>289</v>
      </c>
      <c r="BZ6" s="888" t="s">
        <v>989</v>
      </c>
      <c r="CA6" s="889" t="s">
        <v>1312</v>
      </c>
      <c r="CB6" s="893" t="s">
        <v>289</v>
      </c>
      <c r="CC6" s="888" t="s">
        <v>990</v>
      </c>
      <c r="CD6" s="889" t="s">
        <v>603</v>
      </c>
      <c r="CE6" s="893" t="s">
        <v>289</v>
      </c>
      <c r="CF6" s="888" t="s">
        <v>991</v>
      </c>
      <c r="CG6" s="889" t="s">
        <v>603</v>
      </c>
      <c r="CH6" s="893" t="s">
        <v>289</v>
      </c>
      <c r="CI6" s="888" t="s">
        <v>992</v>
      </c>
      <c r="CJ6" s="889" t="s">
        <v>1312</v>
      </c>
      <c r="CK6" s="893" t="s">
        <v>289</v>
      </c>
      <c r="CL6" s="888" t="s">
        <v>993</v>
      </c>
      <c r="CM6" s="888" t="s">
        <v>994</v>
      </c>
      <c r="CN6" s="889" t="s">
        <v>611</v>
      </c>
      <c r="CO6" s="893" t="s">
        <v>289</v>
      </c>
      <c r="CP6" s="888" t="s">
        <v>994</v>
      </c>
      <c r="CQ6" s="889" t="s">
        <v>1314</v>
      </c>
      <c r="CR6" s="893" t="s">
        <v>289</v>
      </c>
      <c r="CS6" s="888" t="s">
        <v>995</v>
      </c>
      <c r="CT6" s="889" t="s">
        <v>611</v>
      </c>
      <c r="CU6" s="893" t="s">
        <v>289</v>
      </c>
      <c r="CV6" s="888" t="s">
        <v>996</v>
      </c>
      <c r="CW6" s="888" t="s">
        <v>997</v>
      </c>
      <c r="CX6" s="889" t="s">
        <v>611</v>
      </c>
      <c r="CY6" s="894" t="s">
        <v>603</v>
      </c>
      <c r="CZ6" s="893" t="s">
        <v>289</v>
      </c>
      <c r="DA6" s="888" t="s">
        <v>349</v>
      </c>
      <c r="DB6" s="888" t="s">
        <v>930</v>
      </c>
      <c r="DC6" s="888" t="s">
        <v>931</v>
      </c>
      <c r="DD6" s="888" t="s">
        <v>1262</v>
      </c>
      <c r="DE6" s="888" t="s">
        <v>312</v>
      </c>
      <c r="DF6" s="888" t="s">
        <v>1883</v>
      </c>
      <c r="DG6" s="888" t="s">
        <v>785</v>
      </c>
      <c r="DH6" s="888" t="s">
        <v>193</v>
      </c>
      <c r="DI6" s="889" t="s">
        <v>611</v>
      </c>
      <c r="DJ6" s="893" t="s">
        <v>289</v>
      </c>
      <c r="DK6" s="888" t="s">
        <v>194</v>
      </c>
      <c r="DL6" s="888" t="s">
        <v>195</v>
      </c>
      <c r="DM6" s="888" t="s">
        <v>196</v>
      </c>
      <c r="DN6" s="446"/>
      <c r="DO6" s="872"/>
      <c r="DP6" s="873"/>
      <c r="DQ6" s="895" t="s">
        <v>289</v>
      </c>
    </row>
    <row r="7" spans="1:128" ht="13.5" customHeight="1" thickBot="1" x14ac:dyDescent="0.3">
      <c r="A7" s="896"/>
      <c r="B7" s="897"/>
      <c r="C7" s="898"/>
      <c r="D7" s="898"/>
      <c r="E7" s="898"/>
      <c r="F7" s="898"/>
      <c r="G7" s="898"/>
      <c r="H7" s="1910"/>
      <c r="I7" s="899" t="s">
        <v>197</v>
      </c>
      <c r="J7" s="900"/>
      <c r="K7" s="900">
        <v>5213</v>
      </c>
      <c r="L7" s="900">
        <v>6409</v>
      </c>
      <c r="M7" s="900">
        <v>6112</v>
      </c>
      <c r="N7" s="900">
        <v>6117</v>
      </c>
      <c r="O7" s="900">
        <v>6171</v>
      </c>
      <c r="P7" s="900"/>
      <c r="Q7" s="901"/>
      <c r="R7" s="900" t="s">
        <v>1578</v>
      </c>
      <c r="S7" s="902">
        <v>3639</v>
      </c>
      <c r="T7" s="900" t="s">
        <v>198</v>
      </c>
      <c r="U7" s="900" t="s">
        <v>199</v>
      </c>
      <c r="V7" s="900" t="s">
        <v>233</v>
      </c>
      <c r="W7" s="900">
        <v>3319</v>
      </c>
      <c r="X7" s="900">
        <v>3314</v>
      </c>
      <c r="Y7" s="900">
        <v>3349</v>
      </c>
      <c r="Z7" s="900" t="s">
        <v>200</v>
      </c>
      <c r="AA7" s="900">
        <v>3612</v>
      </c>
      <c r="AB7" s="900"/>
      <c r="AC7" s="900"/>
      <c r="AD7" s="900" t="s">
        <v>201</v>
      </c>
      <c r="AE7" s="900"/>
      <c r="AF7" s="900"/>
      <c r="AG7" s="900" t="s">
        <v>202</v>
      </c>
      <c r="AH7" s="900"/>
      <c r="AI7" s="900"/>
      <c r="AJ7" s="900">
        <v>5512</v>
      </c>
      <c r="AK7" s="900">
        <v>3519</v>
      </c>
      <c r="AL7" s="900" t="s">
        <v>203</v>
      </c>
      <c r="AM7" s="900">
        <v>3632</v>
      </c>
      <c r="AN7" s="900"/>
      <c r="AO7" s="900"/>
      <c r="AP7" s="900" t="s">
        <v>204</v>
      </c>
      <c r="AQ7" s="900"/>
      <c r="AR7" s="900"/>
      <c r="AS7" s="900">
        <v>3113</v>
      </c>
      <c r="AT7" s="900"/>
      <c r="AU7" s="900"/>
      <c r="AV7" s="900">
        <v>3114</v>
      </c>
      <c r="AW7" s="900"/>
      <c r="AX7" s="900"/>
      <c r="AY7" s="900">
        <v>3421</v>
      </c>
      <c r="AZ7" s="900"/>
      <c r="BA7" s="900"/>
      <c r="BB7" s="900" t="s">
        <v>205</v>
      </c>
      <c r="BC7" s="900"/>
      <c r="BD7" s="900"/>
      <c r="BE7" s="900" t="s">
        <v>206</v>
      </c>
      <c r="BF7" s="900"/>
      <c r="BG7" s="900"/>
      <c r="BH7" s="900" t="s">
        <v>207</v>
      </c>
      <c r="BI7" s="900"/>
      <c r="BJ7" s="900"/>
      <c r="BK7" s="900" t="s">
        <v>208</v>
      </c>
      <c r="BL7" s="900" t="s">
        <v>551</v>
      </c>
      <c r="BM7" s="900"/>
      <c r="BN7" s="900"/>
      <c r="BO7" s="900">
        <v>3635</v>
      </c>
      <c r="BP7" s="900">
        <v>3631</v>
      </c>
      <c r="BQ7" s="900"/>
      <c r="BR7" s="900"/>
      <c r="BS7" s="900" t="s">
        <v>209</v>
      </c>
      <c r="BT7" s="900"/>
      <c r="BU7" s="900"/>
      <c r="BV7" s="900" t="s">
        <v>210</v>
      </c>
      <c r="BW7" s="900">
        <v>2310</v>
      </c>
      <c r="BX7" s="900"/>
      <c r="BY7" s="900"/>
      <c r="BZ7" s="900" t="s">
        <v>211</v>
      </c>
      <c r="CA7" s="900"/>
      <c r="CB7" s="900"/>
      <c r="CC7" s="900" t="s">
        <v>212</v>
      </c>
      <c r="CD7" s="900"/>
      <c r="CE7" s="900"/>
      <c r="CF7" s="900" t="s">
        <v>257</v>
      </c>
      <c r="CG7" s="900"/>
      <c r="CH7" s="900"/>
      <c r="CI7" s="900">
        <v>3633</v>
      </c>
      <c r="CJ7" s="900"/>
      <c r="CK7" s="900"/>
      <c r="CL7" s="900">
        <v>1036</v>
      </c>
      <c r="CM7" s="900" t="s">
        <v>213</v>
      </c>
      <c r="CN7" s="900"/>
      <c r="CO7" s="900"/>
      <c r="CP7" s="900" t="s">
        <v>214</v>
      </c>
      <c r="CQ7" s="900"/>
      <c r="CR7" s="900"/>
      <c r="CS7" s="900">
        <v>3729</v>
      </c>
      <c r="CT7" s="900"/>
      <c r="CU7" s="900"/>
      <c r="CV7" s="900">
        <v>3744</v>
      </c>
      <c r="CW7" s="900">
        <v>3749</v>
      </c>
      <c r="CX7" s="900"/>
      <c r="CY7" s="900"/>
      <c r="CZ7" s="900"/>
      <c r="DA7" s="900" t="s">
        <v>348</v>
      </c>
      <c r="DB7" s="900" t="s">
        <v>928</v>
      </c>
      <c r="DC7" s="900" t="s">
        <v>929</v>
      </c>
      <c r="DD7" s="900" t="s">
        <v>1958</v>
      </c>
      <c r="DE7" s="900" t="s">
        <v>313</v>
      </c>
      <c r="DF7" s="900" t="s">
        <v>1884</v>
      </c>
      <c r="DG7" s="900" t="s">
        <v>786</v>
      </c>
      <c r="DH7" s="900" t="s">
        <v>215</v>
      </c>
      <c r="DI7" s="900"/>
      <c r="DJ7" s="900"/>
      <c r="DK7" s="900" t="s">
        <v>216</v>
      </c>
      <c r="DL7" s="900" t="s">
        <v>217</v>
      </c>
      <c r="DM7" s="903" t="s">
        <v>218</v>
      </c>
      <c r="DN7" s="446"/>
      <c r="DO7" s="872"/>
      <c r="DP7" s="873"/>
      <c r="DQ7" s="904" t="s">
        <v>218</v>
      </c>
    </row>
    <row r="8" spans="1:128" ht="17.25" customHeight="1" outlineLevel="1" x14ac:dyDescent="0.25">
      <c r="A8" s="575">
        <v>5011</v>
      </c>
      <c r="B8" s="542" t="s">
        <v>91</v>
      </c>
      <c r="C8" s="905">
        <v>21368700</v>
      </c>
      <c r="D8" s="905">
        <v>23730000</v>
      </c>
      <c r="E8" s="905">
        <v>24920000</v>
      </c>
      <c r="F8" s="905">
        <v>24920000</v>
      </c>
      <c r="G8" s="905">
        <v>22000000</v>
      </c>
      <c r="H8" s="905">
        <f>SUM(I8:O8)+SUM(S8:AA8)+AD8+AG8+SUM(AJ8:AM8)+AP8+AS8+AV8+AY8+BB8+BE8+BH8+BK8+BL8+BO8+BP8+BS8+SUM(BV8:BW8)+CF8+CI8+CL8+CM8+CP8+CS8+CV8+CW8+SUM(DA8:DM8)+BZ8+CC8+R8</f>
        <v>22720000</v>
      </c>
      <c r="I8" s="906"/>
      <c r="J8" s="907"/>
      <c r="K8" s="907"/>
      <c r="L8" s="907"/>
      <c r="M8" s="907">
        <f>'[1]2021'!$B$19</f>
        <v>0</v>
      </c>
      <c r="N8" s="907"/>
      <c r="O8" s="907">
        <f>+P8+Q8</f>
        <v>14900000</v>
      </c>
      <c r="P8" s="908">
        <f>+'[1]2021'!$B$3+'[1]2021'!$B$13+'[1]2021'!$B$14+'[1]2021'!$B$16+'[1]2021'!$B$17</f>
        <v>14900000</v>
      </c>
      <c r="Q8" s="909"/>
      <c r="R8" s="907">
        <f>+'[1]2021'!$B$15</f>
        <v>1600000</v>
      </c>
      <c r="S8" s="910">
        <f>+'[1]2021'!$B$10</f>
        <v>50000</v>
      </c>
      <c r="T8" s="907">
        <f>'[1]2021'!$B$6</f>
        <v>1400000</v>
      </c>
      <c r="U8" s="907"/>
      <c r="V8" s="907">
        <f>'[1]2021'!$B$4</f>
        <v>3500000</v>
      </c>
      <c r="W8" s="907">
        <f>'[1]2021'!$B$7</f>
        <v>0</v>
      </c>
      <c r="X8" s="907">
        <f>'[1]2021'!$B$8</f>
        <v>1270000</v>
      </c>
      <c r="Y8" s="907">
        <f>+'[1]2021'!$B$9</f>
        <v>0</v>
      </c>
      <c r="Z8" s="907"/>
      <c r="AA8" s="907"/>
      <c r="AB8" s="908"/>
      <c r="AC8" s="908"/>
      <c r="AD8" s="907">
        <f>'[1]2021'!$B$11</f>
        <v>0</v>
      </c>
      <c r="AE8" s="908"/>
      <c r="AF8" s="908"/>
      <c r="AG8" s="907"/>
      <c r="AH8" s="908"/>
      <c r="AI8" s="908"/>
      <c r="AJ8" s="907">
        <f>+'[1]2021'!$B$5</f>
        <v>0</v>
      </c>
      <c r="AK8" s="907"/>
      <c r="AL8" s="907"/>
      <c r="AM8" s="907"/>
      <c r="AN8" s="908"/>
      <c r="AO8" s="908"/>
      <c r="AP8" s="907"/>
      <c r="AQ8" s="908"/>
      <c r="AR8" s="908"/>
      <c r="AS8" s="907"/>
      <c r="AT8" s="908"/>
      <c r="AU8" s="908"/>
      <c r="AV8" s="907">
        <f>'[1]2021'!$B$11</f>
        <v>0</v>
      </c>
      <c r="AW8" s="908"/>
      <c r="AX8" s="908"/>
      <c r="AY8" s="907"/>
      <c r="AZ8" s="908"/>
      <c r="BA8" s="908"/>
      <c r="BB8" s="907"/>
      <c r="BC8" s="908"/>
      <c r="BD8" s="908"/>
      <c r="BE8" s="907"/>
      <c r="BF8" s="908"/>
      <c r="BG8" s="908"/>
      <c r="BH8" s="907"/>
      <c r="BI8" s="908"/>
      <c r="BJ8" s="908"/>
      <c r="BK8" s="907"/>
      <c r="BL8" s="907"/>
      <c r="BM8" s="908"/>
      <c r="BN8" s="908"/>
      <c r="BO8" s="907"/>
      <c r="BP8" s="907"/>
      <c r="BQ8" s="908"/>
      <c r="BR8" s="908"/>
      <c r="BS8" s="907"/>
      <c r="BT8" s="908"/>
      <c r="BU8" s="908"/>
      <c r="BV8" s="907"/>
      <c r="BW8" s="907"/>
      <c r="BX8" s="908"/>
      <c r="BY8" s="908"/>
      <c r="BZ8" s="907"/>
      <c r="CA8" s="908"/>
      <c r="CB8" s="908"/>
      <c r="CC8" s="907"/>
      <c r="CD8" s="908"/>
      <c r="CE8" s="908"/>
      <c r="CF8" s="907"/>
      <c r="CG8" s="908"/>
      <c r="CH8" s="908"/>
      <c r="CI8" s="907"/>
      <c r="CJ8" s="908"/>
      <c r="CK8" s="908"/>
      <c r="CL8" s="907"/>
      <c r="CM8" s="907"/>
      <c r="CN8" s="908"/>
      <c r="CO8" s="908"/>
      <c r="CP8" s="907"/>
      <c r="CQ8" s="908"/>
      <c r="CR8" s="908"/>
      <c r="CS8" s="907"/>
      <c r="CT8" s="908"/>
      <c r="CU8" s="908"/>
      <c r="CV8" s="907"/>
      <c r="CW8" s="907"/>
      <c r="CX8" s="908"/>
      <c r="CY8" s="908"/>
      <c r="CZ8" s="908"/>
      <c r="DA8" s="907"/>
      <c r="DB8" s="907"/>
      <c r="DC8" s="907"/>
      <c r="DD8" s="907"/>
      <c r="DE8" s="907"/>
      <c r="DF8" s="907"/>
      <c r="DG8" s="907"/>
      <c r="DH8" s="907"/>
      <c r="DI8" s="908"/>
      <c r="DJ8" s="908"/>
      <c r="DK8" s="907"/>
      <c r="DL8" s="907"/>
      <c r="DM8" s="911"/>
      <c r="DN8" s="527"/>
      <c r="DO8" s="912"/>
      <c r="DP8" s="913"/>
      <c r="DQ8" s="914">
        <f>+Q8+AC8+AF8++AI8+AO8+AR8+AU8+AX8+BA8+BD8+BG8+BJ8+BN8+BR8+BU8+BY8+CK8+CO8+CR8+CU8+CZ8</f>
        <v>0</v>
      </c>
      <c r="DS8" s="762"/>
      <c r="DW8" s="762"/>
      <c r="DX8" s="762"/>
    </row>
    <row r="9" spans="1:128" ht="17.25" customHeight="1" outlineLevel="1" x14ac:dyDescent="0.25">
      <c r="A9" s="575">
        <v>5021</v>
      </c>
      <c r="B9" s="542" t="s">
        <v>92</v>
      </c>
      <c r="C9" s="915">
        <v>1477589</v>
      </c>
      <c r="D9" s="915">
        <v>1823000</v>
      </c>
      <c r="E9" s="915">
        <v>1580000</v>
      </c>
      <c r="F9" s="915">
        <v>1580000</v>
      </c>
      <c r="G9" s="915">
        <v>1500000</v>
      </c>
      <c r="H9" s="915">
        <f t="shared" ref="H9:H14" si="0">SUM(I9:O9)+SUM(S9:AA9)+AD9+AG9+SUM(AJ9:AM9)+AP9+AS9+AV9+AY9+BB9+BE9+BH9+BK9+BL9+BO9+BP9+BS9+SUM(BV9:BW9)+CF9+CI9+CL9+CM9+CP9+CS9+CV9+CW9+SUM(DA9:DM9)+BZ9+CC9+R9</f>
        <v>1432000</v>
      </c>
      <c r="I9" s="571"/>
      <c r="J9" s="492"/>
      <c r="K9" s="492"/>
      <c r="L9" s="492"/>
      <c r="M9" s="492">
        <f>'[1]2021'!$C$19+'[1]2021'!$D$19</f>
        <v>0</v>
      </c>
      <c r="N9" s="492">
        <f>'[2]Volby '!$B$4</f>
        <v>0</v>
      </c>
      <c r="O9" s="492">
        <f t="shared" ref="O9:O15" si="1">+P9+Q9</f>
        <v>1138000</v>
      </c>
      <c r="P9" s="916">
        <f>+'[1]2021'!$C$3+'[1]2021'!$D$3+'[1]2021'!$C$13+'[1]2021'!$D$13+'[1]2021'!$C$14+'[1]2021'!$D$14+'[1]2021'!$C$16+'[1]2021'!$D$16+'[1]2021'!$C$17+'[1]2021'!$D$17</f>
        <v>1138000</v>
      </c>
      <c r="Q9" s="917"/>
      <c r="R9" s="492">
        <f>+'[1]2021'!$C$15+'[1]2021'!$D$15</f>
        <v>0</v>
      </c>
      <c r="S9" s="918"/>
      <c r="T9" s="492">
        <f>+'[1]2021'!$C$6+'[1]2021'!$D$6</f>
        <v>0</v>
      </c>
      <c r="U9" s="492"/>
      <c r="V9" s="492">
        <f>+'[1]2021'!$C$4+'[1]2021'!$D$4</f>
        <v>0</v>
      </c>
      <c r="W9" s="492">
        <f>+'[1]2021'!$C$7+'[1]2021'!$D$7</f>
        <v>24000</v>
      </c>
      <c r="X9" s="492">
        <f>+'[1]2021'!$C$8+'[1]2021'!$D$8</f>
        <v>30000</v>
      </c>
      <c r="Y9" s="492">
        <f>+'[1]2021'!$C$9+'[1]2021'!$D$9</f>
        <v>150000</v>
      </c>
      <c r="Z9" s="492"/>
      <c r="AA9" s="492"/>
      <c r="AB9" s="916"/>
      <c r="AC9" s="916"/>
      <c r="AD9" s="492">
        <f>+'[1]2021'!$C$11+'[1]2021'!$D$11</f>
        <v>0</v>
      </c>
      <c r="AE9" s="916"/>
      <c r="AF9" s="916"/>
      <c r="AG9" s="492"/>
      <c r="AH9" s="916"/>
      <c r="AI9" s="916"/>
      <c r="AJ9" s="492">
        <f>+'[1]2021'!$C$5+'[1]2021'!$D$5</f>
        <v>90000</v>
      </c>
      <c r="AK9" s="492"/>
      <c r="AL9" s="492"/>
      <c r="AM9" s="492"/>
      <c r="AN9" s="916"/>
      <c r="AO9" s="916"/>
      <c r="AP9" s="492"/>
      <c r="AQ9" s="916"/>
      <c r="AR9" s="916"/>
      <c r="AS9" s="492"/>
      <c r="AT9" s="916"/>
      <c r="AU9" s="916"/>
      <c r="AV9" s="492">
        <f>+'[1]2021'!$C$11+'[1]2021'!$D$11</f>
        <v>0</v>
      </c>
      <c r="AW9" s="916"/>
      <c r="AX9" s="916"/>
      <c r="AY9" s="492"/>
      <c r="AZ9" s="916"/>
      <c r="BA9" s="916"/>
      <c r="BB9" s="492"/>
      <c r="BC9" s="916"/>
      <c r="BD9" s="916"/>
      <c r="BE9" s="492"/>
      <c r="BF9" s="916"/>
      <c r="BG9" s="916"/>
      <c r="BH9" s="492"/>
      <c r="BI9" s="916"/>
      <c r="BJ9" s="916"/>
      <c r="BK9" s="492"/>
      <c r="BL9" s="492"/>
      <c r="BM9" s="916"/>
      <c r="BN9" s="916"/>
      <c r="BO9" s="492"/>
      <c r="BP9" s="492"/>
      <c r="BQ9" s="916"/>
      <c r="BR9" s="916"/>
      <c r="BS9" s="492"/>
      <c r="BT9" s="916"/>
      <c r="BU9" s="916"/>
      <c r="BV9" s="492"/>
      <c r="BW9" s="492"/>
      <c r="BX9" s="916"/>
      <c r="BY9" s="916"/>
      <c r="BZ9" s="492"/>
      <c r="CA9" s="916"/>
      <c r="CB9" s="916"/>
      <c r="CC9" s="492"/>
      <c r="CD9" s="916"/>
      <c r="CE9" s="916"/>
      <c r="CF9" s="492"/>
      <c r="CG9" s="916"/>
      <c r="CH9" s="916"/>
      <c r="CI9" s="492"/>
      <c r="CJ9" s="916"/>
      <c r="CK9" s="916"/>
      <c r="CL9" s="492"/>
      <c r="CM9" s="492"/>
      <c r="CN9" s="916"/>
      <c r="CO9" s="916"/>
      <c r="CP9" s="492"/>
      <c r="CQ9" s="916"/>
      <c r="CR9" s="916"/>
      <c r="CS9" s="492"/>
      <c r="CT9" s="916"/>
      <c r="CU9" s="916"/>
      <c r="CV9" s="492"/>
      <c r="CW9" s="492"/>
      <c r="CX9" s="916"/>
      <c r="CY9" s="916"/>
      <c r="CZ9" s="916"/>
      <c r="DA9" s="492"/>
      <c r="DB9" s="492"/>
      <c r="DC9" s="492"/>
      <c r="DD9" s="492"/>
      <c r="DE9" s="492"/>
      <c r="DF9" s="492"/>
      <c r="DG9" s="492"/>
      <c r="DH9" s="492"/>
      <c r="DI9" s="916"/>
      <c r="DJ9" s="916"/>
      <c r="DK9" s="492"/>
      <c r="DL9" s="492"/>
      <c r="DM9" s="919"/>
      <c r="DN9" s="527"/>
      <c r="DO9" s="912"/>
      <c r="DP9" s="913"/>
      <c r="DQ9" s="915">
        <f t="shared" ref="DQ9:DQ15" si="2">+Q9+AC9+AF9++AI9+AO9+AR9+AU9+AX9+BA9+BD9+BG9+BJ9+BN9+BR9+BU9+BY9+CK9+CO9+CR9+CU9+CZ9</f>
        <v>0</v>
      </c>
      <c r="DS9" s="762"/>
      <c r="DW9" s="762"/>
      <c r="DX9" s="762"/>
    </row>
    <row r="10" spans="1:128" ht="17.25" customHeight="1" outlineLevel="1" x14ac:dyDescent="0.25">
      <c r="A10" s="575">
        <v>5023</v>
      </c>
      <c r="B10" s="542" t="s">
        <v>550</v>
      </c>
      <c r="C10" s="915">
        <v>2347000</v>
      </c>
      <c r="D10" s="915">
        <v>2512000</v>
      </c>
      <c r="E10" s="915">
        <v>2687840</v>
      </c>
      <c r="F10" s="915">
        <v>2687840</v>
      </c>
      <c r="G10" s="915">
        <v>2360000</v>
      </c>
      <c r="H10" s="915">
        <f t="shared" si="0"/>
        <v>2790000</v>
      </c>
      <c r="I10" s="571" t="s">
        <v>691</v>
      </c>
      <c r="J10" s="492"/>
      <c r="K10" s="492"/>
      <c r="L10" s="492"/>
      <c r="M10" s="492">
        <f>+'[1]2021'!$E$19</f>
        <v>2790000</v>
      </c>
      <c r="N10" s="492"/>
      <c r="O10" s="492">
        <f t="shared" si="1"/>
        <v>0</v>
      </c>
      <c r="P10" s="916">
        <f>+'[1]2021'!$E$3+'[1]2021'!$E$13+'[1]2021'!$E$14+'[1]2021'!$E$16+'[1]2021'!$E$17</f>
        <v>0</v>
      </c>
      <c r="Q10" s="917"/>
      <c r="R10" s="492">
        <f>+'[1]2021'!$E$15</f>
        <v>0</v>
      </c>
      <c r="S10" s="918"/>
      <c r="T10" s="907">
        <f>+'[1]2021'!$E$6</f>
        <v>0</v>
      </c>
      <c r="U10" s="492"/>
      <c r="V10" s="907">
        <f>+'[1]2021'!$E$4</f>
        <v>0</v>
      </c>
      <c r="W10" s="907">
        <f>+'[1]2021'!$E$7</f>
        <v>0</v>
      </c>
      <c r="X10" s="907">
        <f>+'[1]2021'!$E$8</f>
        <v>0</v>
      </c>
      <c r="Y10" s="907">
        <f>+'[1]2021'!$E$9</f>
        <v>0</v>
      </c>
      <c r="Z10" s="492"/>
      <c r="AA10" s="492"/>
      <c r="AB10" s="916"/>
      <c r="AC10" s="916"/>
      <c r="AD10" s="907">
        <f>+'[1]2021'!$E$11</f>
        <v>0</v>
      </c>
      <c r="AE10" s="916"/>
      <c r="AF10" s="916"/>
      <c r="AG10" s="492"/>
      <c r="AH10" s="916"/>
      <c r="AI10" s="916"/>
      <c r="AJ10" s="907">
        <f>+'[1]2021'!$E$5</f>
        <v>0</v>
      </c>
      <c r="AK10" s="492"/>
      <c r="AL10" s="492"/>
      <c r="AM10" s="492"/>
      <c r="AN10" s="916"/>
      <c r="AO10" s="916"/>
      <c r="AP10" s="492"/>
      <c r="AQ10" s="916"/>
      <c r="AR10" s="916"/>
      <c r="AS10" s="492"/>
      <c r="AT10" s="916"/>
      <c r="AU10" s="916"/>
      <c r="AV10" s="907">
        <f>+'[1]2021'!$E$11</f>
        <v>0</v>
      </c>
      <c r="AW10" s="916"/>
      <c r="AX10" s="916"/>
      <c r="AY10" s="492"/>
      <c r="AZ10" s="916"/>
      <c r="BA10" s="916"/>
      <c r="BB10" s="492"/>
      <c r="BC10" s="916"/>
      <c r="BD10" s="916"/>
      <c r="BE10" s="492"/>
      <c r="BF10" s="916"/>
      <c r="BG10" s="916"/>
      <c r="BH10" s="492"/>
      <c r="BI10" s="916"/>
      <c r="BJ10" s="916"/>
      <c r="BK10" s="492"/>
      <c r="BL10" s="492"/>
      <c r="BM10" s="916"/>
      <c r="BN10" s="916"/>
      <c r="BO10" s="492"/>
      <c r="BP10" s="492"/>
      <c r="BQ10" s="916"/>
      <c r="BR10" s="916"/>
      <c r="BS10" s="492"/>
      <c r="BT10" s="916"/>
      <c r="BU10" s="916"/>
      <c r="BV10" s="492"/>
      <c r="BW10" s="492"/>
      <c r="BX10" s="916"/>
      <c r="BY10" s="916"/>
      <c r="BZ10" s="492"/>
      <c r="CA10" s="916"/>
      <c r="CB10" s="916"/>
      <c r="CC10" s="492"/>
      <c r="CD10" s="916"/>
      <c r="CE10" s="916"/>
      <c r="CF10" s="492"/>
      <c r="CG10" s="916"/>
      <c r="CH10" s="916"/>
      <c r="CI10" s="492"/>
      <c r="CJ10" s="916"/>
      <c r="CK10" s="916"/>
      <c r="CL10" s="492"/>
      <c r="CM10" s="492"/>
      <c r="CN10" s="916"/>
      <c r="CO10" s="916"/>
      <c r="CP10" s="492"/>
      <c r="CQ10" s="916"/>
      <c r="CR10" s="916"/>
      <c r="CS10" s="492"/>
      <c r="CT10" s="916"/>
      <c r="CU10" s="916"/>
      <c r="CV10" s="492"/>
      <c r="CW10" s="492"/>
      <c r="CX10" s="916"/>
      <c r="CY10" s="916"/>
      <c r="CZ10" s="916"/>
      <c r="DA10" s="492"/>
      <c r="DB10" s="492"/>
      <c r="DC10" s="492"/>
      <c r="DD10" s="492"/>
      <c r="DE10" s="492"/>
      <c r="DF10" s="492"/>
      <c r="DG10" s="492"/>
      <c r="DH10" s="492"/>
      <c r="DI10" s="916"/>
      <c r="DJ10" s="916"/>
      <c r="DK10" s="492"/>
      <c r="DL10" s="492"/>
      <c r="DM10" s="919"/>
      <c r="DN10" s="527"/>
      <c r="DO10" s="912"/>
      <c r="DP10" s="913"/>
      <c r="DQ10" s="915">
        <f t="shared" si="2"/>
        <v>0</v>
      </c>
      <c r="DS10" s="762"/>
      <c r="DW10" s="762"/>
      <c r="DX10" s="762"/>
    </row>
    <row r="11" spans="1:128" ht="17.25" customHeight="1" outlineLevel="1" x14ac:dyDescent="0.25">
      <c r="A11" s="575">
        <v>5024</v>
      </c>
      <c r="B11" s="542" t="s">
        <v>970</v>
      </c>
      <c r="C11" s="915">
        <v>657000</v>
      </c>
      <c r="D11" s="915">
        <v>198530</v>
      </c>
      <c r="E11" s="915">
        <v>0</v>
      </c>
      <c r="F11" s="915">
        <v>0</v>
      </c>
      <c r="G11" s="915">
        <v>0</v>
      </c>
      <c r="H11" s="915">
        <f t="shared" si="0"/>
        <v>0</v>
      </c>
      <c r="I11" s="571"/>
      <c r="J11" s="492"/>
      <c r="K11" s="492"/>
      <c r="L11" s="492"/>
      <c r="M11" s="492">
        <f>+'[1]2021'!$F$19</f>
        <v>0</v>
      </c>
      <c r="N11" s="492"/>
      <c r="O11" s="492">
        <f t="shared" si="1"/>
        <v>0</v>
      </c>
      <c r="P11" s="916">
        <f>+'[1]2021'!$F$3+'[1]2021'!$F$13+'[1]2021'!$F$14+'[1]2021'!$F$16+'[1]2021'!$F$17</f>
        <v>0</v>
      </c>
      <c r="Q11" s="917"/>
      <c r="R11" s="492">
        <f>+'[1]2021'!$F$15</f>
        <v>0</v>
      </c>
      <c r="S11" s="918"/>
      <c r="T11" s="907">
        <f>+'[1]2021'!$F$6</f>
        <v>0</v>
      </c>
      <c r="U11" s="492"/>
      <c r="V11" s="907">
        <f>+'[1]2021'!$F$4</f>
        <v>0</v>
      </c>
      <c r="W11" s="907">
        <f>+'[1]2021'!$F$7</f>
        <v>0</v>
      </c>
      <c r="X11" s="907">
        <f>+'[1]2021'!$F$8</f>
        <v>0</v>
      </c>
      <c r="Y11" s="907">
        <f>+'[1]2021'!$F$9</f>
        <v>0</v>
      </c>
      <c r="Z11" s="492"/>
      <c r="AA11" s="492"/>
      <c r="AB11" s="916"/>
      <c r="AC11" s="916"/>
      <c r="AD11" s="907">
        <f>+'[1]2021'!$F$11</f>
        <v>0</v>
      </c>
      <c r="AE11" s="916"/>
      <c r="AF11" s="916"/>
      <c r="AG11" s="492"/>
      <c r="AH11" s="916"/>
      <c r="AI11" s="916"/>
      <c r="AJ11" s="907">
        <f>+'[1]2021'!$F$5</f>
        <v>0</v>
      </c>
      <c r="AK11" s="492"/>
      <c r="AL11" s="492"/>
      <c r="AM11" s="492"/>
      <c r="AN11" s="916"/>
      <c r="AO11" s="916"/>
      <c r="AP11" s="492"/>
      <c r="AQ11" s="916"/>
      <c r="AR11" s="916"/>
      <c r="AS11" s="492"/>
      <c r="AT11" s="916"/>
      <c r="AU11" s="916"/>
      <c r="AV11" s="907">
        <f>+'[1]2021'!$F$11</f>
        <v>0</v>
      </c>
      <c r="AW11" s="916"/>
      <c r="AX11" s="916"/>
      <c r="AY11" s="492"/>
      <c r="AZ11" s="916"/>
      <c r="BA11" s="916"/>
      <c r="BB11" s="492"/>
      <c r="BC11" s="916"/>
      <c r="BD11" s="916"/>
      <c r="BE11" s="492"/>
      <c r="BF11" s="916"/>
      <c r="BG11" s="916"/>
      <c r="BH11" s="492"/>
      <c r="BI11" s="916"/>
      <c r="BJ11" s="916"/>
      <c r="BK11" s="492"/>
      <c r="BL11" s="492"/>
      <c r="BM11" s="916"/>
      <c r="BN11" s="916"/>
      <c r="BO11" s="492"/>
      <c r="BP11" s="492"/>
      <c r="BQ11" s="916"/>
      <c r="BR11" s="916"/>
      <c r="BS11" s="492"/>
      <c r="BT11" s="916"/>
      <c r="BU11" s="916"/>
      <c r="BV11" s="492"/>
      <c r="BW11" s="492"/>
      <c r="BX11" s="916"/>
      <c r="BY11" s="916"/>
      <c r="BZ11" s="492"/>
      <c r="CA11" s="916"/>
      <c r="CB11" s="916"/>
      <c r="CC11" s="492"/>
      <c r="CD11" s="916"/>
      <c r="CE11" s="916"/>
      <c r="CF11" s="492"/>
      <c r="CG11" s="916"/>
      <c r="CH11" s="916"/>
      <c r="CI11" s="492"/>
      <c r="CJ11" s="916"/>
      <c r="CK11" s="916"/>
      <c r="CL11" s="492"/>
      <c r="CM11" s="492"/>
      <c r="CN11" s="916"/>
      <c r="CO11" s="916"/>
      <c r="CP11" s="492"/>
      <c r="CQ11" s="916"/>
      <c r="CR11" s="916"/>
      <c r="CS11" s="492"/>
      <c r="CT11" s="916"/>
      <c r="CU11" s="916"/>
      <c r="CV11" s="492"/>
      <c r="CW11" s="492"/>
      <c r="CX11" s="916"/>
      <c r="CY11" s="916"/>
      <c r="CZ11" s="916"/>
      <c r="DA11" s="492"/>
      <c r="DB11" s="492"/>
      <c r="DC11" s="492"/>
      <c r="DD11" s="492"/>
      <c r="DE11" s="492"/>
      <c r="DF11" s="492"/>
      <c r="DG11" s="492"/>
      <c r="DH11" s="492"/>
      <c r="DI11" s="916"/>
      <c r="DJ11" s="916"/>
      <c r="DK11" s="492"/>
      <c r="DL11" s="492"/>
      <c r="DM11" s="919"/>
      <c r="DN11" s="527"/>
      <c r="DO11" s="912"/>
      <c r="DP11" s="913"/>
      <c r="DQ11" s="915">
        <f t="shared" si="2"/>
        <v>0</v>
      </c>
      <c r="DS11" s="762"/>
      <c r="DW11" s="762"/>
      <c r="DX11" s="762"/>
    </row>
    <row r="12" spans="1:128" ht="17.25" customHeight="1" outlineLevel="1" x14ac:dyDescent="0.25">
      <c r="A12" s="575">
        <v>5029</v>
      </c>
      <c r="B12" s="542" t="s">
        <v>95</v>
      </c>
      <c r="C12" s="915">
        <v>30000</v>
      </c>
      <c r="D12" s="915">
        <v>30000</v>
      </c>
      <c r="E12" s="915">
        <v>30000</v>
      </c>
      <c r="F12" s="915">
        <v>30000</v>
      </c>
      <c r="G12" s="915">
        <v>30000</v>
      </c>
      <c r="H12" s="915">
        <f t="shared" si="0"/>
        <v>30000</v>
      </c>
      <c r="I12" s="571"/>
      <c r="J12" s="492"/>
      <c r="K12" s="492"/>
      <c r="L12" s="492"/>
      <c r="M12" s="492">
        <f>'[1]2021'!$G$19</f>
        <v>0</v>
      </c>
      <c r="N12" s="492"/>
      <c r="O12" s="492">
        <f t="shared" si="1"/>
        <v>0</v>
      </c>
      <c r="P12" s="916">
        <f>+'[1]2021'!$G$3+'[1]2021'!$G$13+'[1]2021'!$G$14+'[1]2021'!$G$16+'[1]2021'!$G$17</f>
        <v>0</v>
      </c>
      <c r="Q12" s="917"/>
      <c r="R12" s="492">
        <f>+'[1]2021'!$G$15</f>
        <v>0</v>
      </c>
      <c r="S12" s="918"/>
      <c r="T12" s="907">
        <f>+'[1]2021'!$G$6</f>
        <v>0</v>
      </c>
      <c r="U12" s="492"/>
      <c r="V12" s="907">
        <f>+'[1]2021'!$G$4</f>
        <v>0</v>
      </c>
      <c r="W12" s="907">
        <f>+'[1]2021'!$G$7</f>
        <v>0</v>
      </c>
      <c r="X12" s="907">
        <f>+'[1]2021'!$G$8</f>
        <v>0</v>
      </c>
      <c r="Y12" s="907">
        <f>+'[1]2021'!$G$9</f>
        <v>0</v>
      </c>
      <c r="Z12" s="492"/>
      <c r="AA12" s="492"/>
      <c r="AB12" s="916"/>
      <c r="AC12" s="916"/>
      <c r="AD12" s="907">
        <f>+'[1]2021'!$G$11</f>
        <v>0</v>
      </c>
      <c r="AE12" s="916"/>
      <c r="AF12" s="916"/>
      <c r="AG12" s="492"/>
      <c r="AH12" s="916"/>
      <c r="AI12" s="916"/>
      <c r="AJ12" s="907">
        <f>+'[1]2021'!$G$5</f>
        <v>30000</v>
      </c>
      <c r="AK12" s="492"/>
      <c r="AL12" s="492"/>
      <c r="AM12" s="492"/>
      <c r="AN12" s="916"/>
      <c r="AO12" s="916"/>
      <c r="AP12" s="492"/>
      <c r="AQ12" s="916"/>
      <c r="AR12" s="916"/>
      <c r="AS12" s="492"/>
      <c r="AT12" s="916"/>
      <c r="AU12" s="916"/>
      <c r="AV12" s="907">
        <f>+'[1]2021'!$G$11</f>
        <v>0</v>
      </c>
      <c r="AW12" s="916"/>
      <c r="AX12" s="916"/>
      <c r="AY12" s="492"/>
      <c r="AZ12" s="916"/>
      <c r="BA12" s="916"/>
      <c r="BB12" s="492"/>
      <c r="BC12" s="916"/>
      <c r="BD12" s="916"/>
      <c r="BE12" s="492"/>
      <c r="BF12" s="916"/>
      <c r="BG12" s="916"/>
      <c r="BH12" s="492"/>
      <c r="BI12" s="916"/>
      <c r="BJ12" s="916"/>
      <c r="BK12" s="492"/>
      <c r="BL12" s="492"/>
      <c r="BM12" s="916"/>
      <c r="BN12" s="916"/>
      <c r="BO12" s="492"/>
      <c r="BP12" s="492"/>
      <c r="BQ12" s="916"/>
      <c r="BR12" s="916"/>
      <c r="BS12" s="492"/>
      <c r="BT12" s="916"/>
      <c r="BU12" s="916"/>
      <c r="BV12" s="492"/>
      <c r="BW12" s="492"/>
      <c r="BX12" s="916"/>
      <c r="BY12" s="916"/>
      <c r="BZ12" s="492"/>
      <c r="CA12" s="916"/>
      <c r="CB12" s="916"/>
      <c r="CC12" s="492"/>
      <c r="CD12" s="916"/>
      <c r="CE12" s="916"/>
      <c r="CF12" s="492"/>
      <c r="CG12" s="916"/>
      <c r="CH12" s="916"/>
      <c r="CI12" s="492"/>
      <c r="CJ12" s="916"/>
      <c r="CK12" s="916"/>
      <c r="CL12" s="492"/>
      <c r="CM12" s="492"/>
      <c r="CN12" s="916"/>
      <c r="CO12" s="916"/>
      <c r="CP12" s="492"/>
      <c r="CQ12" s="916"/>
      <c r="CR12" s="916"/>
      <c r="CS12" s="492"/>
      <c r="CT12" s="916"/>
      <c r="CU12" s="916"/>
      <c r="CV12" s="492"/>
      <c r="CW12" s="492"/>
      <c r="CX12" s="916"/>
      <c r="CY12" s="916"/>
      <c r="CZ12" s="916"/>
      <c r="DA12" s="492"/>
      <c r="DB12" s="492"/>
      <c r="DC12" s="492"/>
      <c r="DD12" s="492"/>
      <c r="DE12" s="492"/>
      <c r="DF12" s="492"/>
      <c r="DG12" s="492"/>
      <c r="DH12" s="492"/>
      <c r="DI12" s="916"/>
      <c r="DJ12" s="916"/>
      <c r="DK12" s="492"/>
      <c r="DL12" s="492"/>
      <c r="DM12" s="919"/>
      <c r="DN12" s="527"/>
      <c r="DO12" s="912"/>
      <c r="DP12" s="913"/>
      <c r="DQ12" s="915">
        <f t="shared" si="2"/>
        <v>0</v>
      </c>
      <c r="DS12" s="762"/>
      <c r="DW12" s="762"/>
      <c r="DX12" s="762"/>
    </row>
    <row r="13" spans="1:128" ht="17.25" customHeight="1" outlineLevel="1" x14ac:dyDescent="0.25">
      <c r="A13" s="575">
        <v>5031</v>
      </c>
      <c r="B13" s="542" t="s">
        <v>96</v>
      </c>
      <c r="C13" s="915">
        <v>6218375</v>
      </c>
      <c r="D13" s="915">
        <v>6933332</v>
      </c>
      <c r="E13" s="915">
        <v>7219092</v>
      </c>
      <c r="F13" s="915">
        <v>7219092</v>
      </c>
      <c r="G13" s="915">
        <v>6489632</v>
      </c>
      <c r="H13" s="915">
        <f t="shared" si="0"/>
        <v>6675500</v>
      </c>
      <c r="I13" s="571"/>
      <c r="J13" s="492"/>
      <c r="K13" s="492"/>
      <c r="L13" s="492"/>
      <c r="M13" s="492">
        <f>'[1]2021'!$H$19</f>
        <v>697500</v>
      </c>
      <c r="N13" s="492"/>
      <c r="O13" s="492">
        <f t="shared" si="1"/>
        <v>3994500</v>
      </c>
      <c r="P13" s="916">
        <f>+'[1]2021'!$H$3+'[1]2021'!$H$13+'[1]2021'!$H$14+'[1]2021'!$H$16+'[1]2021'!$H$17</f>
        <v>3994500</v>
      </c>
      <c r="Q13" s="917"/>
      <c r="R13" s="492">
        <f>+'[1]2021'!$H$15</f>
        <v>400000</v>
      </c>
      <c r="S13" s="918">
        <f>'[1]2021'!$H$10</f>
        <v>12500</v>
      </c>
      <c r="T13" s="907">
        <f>+'[1]2021'!$H$6</f>
        <v>350000</v>
      </c>
      <c r="U13" s="492"/>
      <c r="V13" s="907">
        <f>+'[1]2021'!$H$4</f>
        <v>875000</v>
      </c>
      <c r="W13" s="907">
        <f>+'[1]2021'!$H$7</f>
        <v>6000</v>
      </c>
      <c r="X13" s="907">
        <f>+'[1]2021'!$H$8</f>
        <v>317500</v>
      </c>
      <c r="Y13" s="907">
        <f>+'[1]2021'!$H$9</f>
        <v>0</v>
      </c>
      <c r="Z13" s="492"/>
      <c r="AA13" s="492"/>
      <c r="AB13" s="916"/>
      <c r="AC13" s="916"/>
      <c r="AD13" s="907">
        <f>+'[1]2021'!$H$11</f>
        <v>0</v>
      </c>
      <c r="AE13" s="916"/>
      <c r="AF13" s="916"/>
      <c r="AG13" s="492"/>
      <c r="AH13" s="916"/>
      <c r="AI13" s="916"/>
      <c r="AJ13" s="907">
        <f>+'[1]2021'!$H$5</f>
        <v>22500</v>
      </c>
      <c r="AK13" s="492"/>
      <c r="AL13" s="492"/>
      <c r="AM13" s="492"/>
      <c r="AN13" s="916"/>
      <c r="AO13" s="916"/>
      <c r="AP13" s="492"/>
      <c r="AQ13" s="916"/>
      <c r="AR13" s="916"/>
      <c r="AS13" s="492"/>
      <c r="AT13" s="916"/>
      <c r="AU13" s="916"/>
      <c r="AV13" s="907">
        <f>+'[1]2021'!$H$11</f>
        <v>0</v>
      </c>
      <c r="AW13" s="916"/>
      <c r="AX13" s="916"/>
      <c r="AY13" s="492"/>
      <c r="AZ13" s="916"/>
      <c r="BA13" s="916"/>
      <c r="BB13" s="492"/>
      <c r="BC13" s="916"/>
      <c r="BD13" s="916"/>
      <c r="BE13" s="492"/>
      <c r="BF13" s="916"/>
      <c r="BG13" s="916"/>
      <c r="BH13" s="492"/>
      <c r="BI13" s="916"/>
      <c r="BJ13" s="916"/>
      <c r="BK13" s="492"/>
      <c r="BL13" s="492"/>
      <c r="BM13" s="916"/>
      <c r="BN13" s="916"/>
      <c r="BO13" s="492"/>
      <c r="BP13" s="492"/>
      <c r="BQ13" s="916"/>
      <c r="BR13" s="916"/>
      <c r="BS13" s="492"/>
      <c r="BT13" s="916"/>
      <c r="BU13" s="916"/>
      <c r="BV13" s="492"/>
      <c r="BW13" s="492"/>
      <c r="BX13" s="916"/>
      <c r="BY13" s="916"/>
      <c r="BZ13" s="492"/>
      <c r="CA13" s="916"/>
      <c r="CB13" s="916"/>
      <c r="CC13" s="492"/>
      <c r="CD13" s="916"/>
      <c r="CE13" s="916"/>
      <c r="CF13" s="492"/>
      <c r="CG13" s="916"/>
      <c r="CH13" s="916"/>
      <c r="CI13" s="492"/>
      <c r="CJ13" s="916"/>
      <c r="CK13" s="916"/>
      <c r="CL13" s="492"/>
      <c r="CM13" s="492"/>
      <c r="CN13" s="916"/>
      <c r="CO13" s="916"/>
      <c r="CP13" s="492"/>
      <c r="CQ13" s="916"/>
      <c r="CR13" s="916"/>
      <c r="CS13" s="492"/>
      <c r="CT13" s="916"/>
      <c r="CU13" s="916"/>
      <c r="CV13" s="492"/>
      <c r="CW13" s="492"/>
      <c r="CX13" s="916"/>
      <c r="CY13" s="916"/>
      <c r="CZ13" s="916"/>
      <c r="DA13" s="492"/>
      <c r="DB13" s="492"/>
      <c r="DC13" s="492"/>
      <c r="DD13" s="492"/>
      <c r="DE13" s="492"/>
      <c r="DF13" s="492"/>
      <c r="DG13" s="492"/>
      <c r="DH13" s="492"/>
      <c r="DI13" s="916"/>
      <c r="DJ13" s="916"/>
      <c r="DK13" s="492"/>
      <c r="DL13" s="492"/>
      <c r="DM13" s="919"/>
      <c r="DN13" s="527"/>
      <c r="DO13" s="912"/>
      <c r="DP13" s="913"/>
      <c r="DQ13" s="915">
        <f t="shared" si="2"/>
        <v>0</v>
      </c>
      <c r="DS13" s="762"/>
      <c r="DW13" s="762"/>
      <c r="DX13" s="762"/>
    </row>
    <row r="14" spans="1:128" ht="17.25" customHeight="1" outlineLevel="1" x14ac:dyDescent="0.25">
      <c r="A14" s="575">
        <v>5032</v>
      </c>
      <c r="B14" s="542" t="s">
        <v>97</v>
      </c>
      <c r="C14" s="915">
        <v>2238615.0000000009</v>
      </c>
      <c r="D14" s="915">
        <v>2496028.0000000009</v>
      </c>
      <c r="E14" s="915">
        <v>2598873.6000000015</v>
      </c>
      <c r="F14" s="915">
        <v>2598873.6000000015</v>
      </c>
      <c r="G14" s="915">
        <v>2336268.0000000009</v>
      </c>
      <c r="H14" s="915">
        <f t="shared" si="0"/>
        <v>2403180</v>
      </c>
      <c r="I14" s="571"/>
      <c r="J14" s="492"/>
      <c r="K14" s="492"/>
      <c r="L14" s="492"/>
      <c r="M14" s="492">
        <f>'[1]2021'!$I$19</f>
        <v>251100</v>
      </c>
      <c r="N14" s="492"/>
      <c r="O14" s="492">
        <f t="shared" si="1"/>
        <v>1438020</v>
      </c>
      <c r="P14" s="916">
        <f>+'[1]2021'!$I$3+'[1]2021'!$I$13+'[1]2021'!$I$14+'[1]2021'!$I$16+'[1]2021'!$I$17</f>
        <v>1438020</v>
      </c>
      <c r="Q14" s="917"/>
      <c r="R14" s="492">
        <f>+'[1]2021'!$I$15</f>
        <v>144000</v>
      </c>
      <c r="S14" s="918">
        <f>'[1]2021'!$I$10</f>
        <v>4500</v>
      </c>
      <c r="T14" s="907">
        <f>+'[1]2021'!$I$6</f>
        <v>126000</v>
      </c>
      <c r="U14" s="492"/>
      <c r="V14" s="907">
        <f>+'[1]2021'!$I$4</f>
        <v>315000</v>
      </c>
      <c r="W14" s="907">
        <f>+'[1]2021'!$I$7</f>
        <v>2160</v>
      </c>
      <c r="X14" s="907">
        <f>+'[1]2021'!$I$8</f>
        <v>114300</v>
      </c>
      <c r="Y14" s="907">
        <f>+'[1]2021'!$I$9</f>
        <v>0</v>
      </c>
      <c r="Z14" s="492"/>
      <c r="AA14" s="492"/>
      <c r="AB14" s="916"/>
      <c r="AC14" s="916"/>
      <c r="AD14" s="907">
        <f>+'[1]2021'!$I$11</f>
        <v>0</v>
      </c>
      <c r="AE14" s="916"/>
      <c r="AF14" s="916"/>
      <c r="AG14" s="492"/>
      <c r="AH14" s="916"/>
      <c r="AI14" s="916"/>
      <c r="AJ14" s="907">
        <f>+'[1]2021'!$I$5</f>
        <v>8100</v>
      </c>
      <c r="AK14" s="492"/>
      <c r="AL14" s="492"/>
      <c r="AM14" s="492"/>
      <c r="AN14" s="916"/>
      <c r="AO14" s="916"/>
      <c r="AP14" s="492"/>
      <c r="AQ14" s="916"/>
      <c r="AR14" s="916"/>
      <c r="AS14" s="492"/>
      <c r="AT14" s="916"/>
      <c r="AU14" s="916"/>
      <c r="AV14" s="907">
        <f>+'[1]2021'!$I$11</f>
        <v>0</v>
      </c>
      <c r="AW14" s="916"/>
      <c r="AX14" s="916"/>
      <c r="AY14" s="492"/>
      <c r="AZ14" s="916"/>
      <c r="BA14" s="916"/>
      <c r="BB14" s="492"/>
      <c r="BC14" s="916"/>
      <c r="BD14" s="916"/>
      <c r="BE14" s="492"/>
      <c r="BF14" s="916"/>
      <c r="BG14" s="916"/>
      <c r="BH14" s="492"/>
      <c r="BI14" s="916"/>
      <c r="BJ14" s="916"/>
      <c r="BK14" s="492"/>
      <c r="BL14" s="492"/>
      <c r="BM14" s="916"/>
      <c r="BN14" s="916"/>
      <c r="BO14" s="492"/>
      <c r="BP14" s="492"/>
      <c r="BQ14" s="916"/>
      <c r="BR14" s="916"/>
      <c r="BS14" s="492"/>
      <c r="BT14" s="916"/>
      <c r="BU14" s="916"/>
      <c r="BV14" s="492"/>
      <c r="BW14" s="492"/>
      <c r="BX14" s="916"/>
      <c r="BY14" s="916"/>
      <c r="BZ14" s="492"/>
      <c r="CA14" s="916"/>
      <c r="CB14" s="916"/>
      <c r="CC14" s="492"/>
      <c r="CD14" s="916"/>
      <c r="CE14" s="916"/>
      <c r="CF14" s="492"/>
      <c r="CG14" s="916"/>
      <c r="CH14" s="916"/>
      <c r="CI14" s="492"/>
      <c r="CJ14" s="916"/>
      <c r="CK14" s="916"/>
      <c r="CL14" s="492"/>
      <c r="CM14" s="492"/>
      <c r="CN14" s="916"/>
      <c r="CO14" s="916"/>
      <c r="CP14" s="492"/>
      <c r="CQ14" s="916"/>
      <c r="CR14" s="916"/>
      <c r="CS14" s="492"/>
      <c r="CT14" s="916"/>
      <c r="CU14" s="916"/>
      <c r="CV14" s="492"/>
      <c r="CW14" s="492"/>
      <c r="CX14" s="916"/>
      <c r="CY14" s="916"/>
      <c r="CZ14" s="916"/>
      <c r="DA14" s="492"/>
      <c r="DB14" s="492"/>
      <c r="DC14" s="492"/>
      <c r="DD14" s="492"/>
      <c r="DE14" s="492"/>
      <c r="DF14" s="492"/>
      <c r="DG14" s="492"/>
      <c r="DH14" s="492"/>
      <c r="DI14" s="916"/>
      <c r="DJ14" s="916"/>
      <c r="DK14" s="492"/>
      <c r="DL14" s="492"/>
      <c r="DM14" s="919"/>
      <c r="DN14" s="527"/>
      <c r="DO14" s="912"/>
      <c r="DP14" s="913"/>
      <c r="DQ14" s="915">
        <f t="shared" si="2"/>
        <v>0</v>
      </c>
      <c r="DS14" s="762"/>
      <c r="DW14" s="762"/>
      <c r="DX14" s="762"/>
    </row>
    <row r="15" spans="1:128" ht="17.25" customHeight="1" outlineLevel="1" x14ac:dyDescent="0.25">
      <c r="A15" s="575">
        <v>5038</v>
      </c>
      <c r="B15" s="542" t="s">
        <v>98</v>
      </c>
      <c r="C15" s="915">
        <v>104468.7</v>
      </c>
      <c r="D15" s="915">
        <v>115558.79999999999</v>
      </c>
      <c r="E15" s="915">
        <v>120908.92799999999</v>
      </c>
      <c r="F15" s="915">
        <v>120908.92799999999</v>
      </c>
      <c r="G15" s="915">
        <v>107352</v>
      </c>
      <c r="H15" s="915">
        <f>SUM(I15:O15)+SUM(S15:AA15)+AD15+AG15+SUM(AJ15:AM15)+AP15+AS15+AV15+AY15+BB15+BE15+BH15+BK15+BL15+BO15+BP15+BS15+SUM(BV15:BW15)+CF15+CI15+CL15+CM15+CP15+CS15+CV15+CW15+SUM(DA15:DM15)+BZ15+CC15+R15</f>
        <v>112148.40000000001</v>
      </c>
      <c r="I15" s="571"/>
      <c r="J15" s="492"/>
      <c r="K15" s="492"/>
      <c r="L15" s="492"/>
      <c r="M15" s="492">
        <f>'[1]2021'!$J$19</f>
        <v>11718</v>
      </c>
      <c r="N15" s="492"/>
      <c r="O15" s="492">
        <f t="shared" si="1"/>
        <v>67107.600000000006</v>
      </c>
      <c r="P15" s="916">
        <f>+'[1]2021'!$J$3+'[1]2021'!$J$13+'[1]2021'!$J$14+'[1]2021'!$J$16+'[1]2021'!$J$17</f>
        <v>67107.600000000006</v>
      </c>
      <c r="Q15" s="917"/>
      <c r="R15" s="492">
        <f>+'[1]2021'!$J$15</f>
        <v>6720</v>
      </c>
      <c r="S15" s="918">
        <f>'[1]2021'!$J$10</f>
        <v>210</v>
      </c>
      <c r="T15" s="907">
        <f>+'[1]2021'!$J$6</f>
        <v>5880</v>
      </c>
      <c r="U15" s="492"/>
      <c r="V15" s="907">
        <f>+'[1]2021'!$J$4</f>
        <v>14700</v>
      </c>
      <c r="W15" s="907">
        <f>+'[1]2021'!$J$7</f>
        <v>100.8</v>
      </c>
      <c r="X15" s="907">
        <f>+'[1]2021'!$J$8</f>
        <v>5334</v>
      </c>
      <c r="Y15" s="907">
        <f>+'[1]2021'!$J$9</f>
        <v>0</v>
      </c>
      <c r="Z15" s="492"/>
      <c r="AA15" s="492"/>
      <c r="AB15" s="916"/>
      <c r="AC15" s="916"/>
      <c r="AD15" s="907">
        <f>+'[1]2021'!$J$11</f>
        <v>0</v>
      </c>
      <c r="AE15" s="916"/>
      <c r="AF15" s="916"/>
      <c r="AG15" s="492"/>
      <c r="AH15" s="916"/>
      <c r="AI15" s="916"/>
      <c r="AJ15" s="907">
        <f>+'[1]2021'!$J$5</f>
        <v>378</v>
      </c>
      <c r="AK15" s="492"/>
      <c r="AL15" s="492"/>
      <c r="AM15" s="492"/>
      <c r="AN15" s="916"/>
      <c r="AO15" s="916"/>
      <c r="AP15" s="492"/>
      <c r="AQ15" s="916"/>
      <c r="AR15" s="916"/>
      <c r="AS15" s="492"/>
      <c r="AT15" s="916"/>
      <c r="AU15" s="916"/>
      <c r="AV15" s="907">
        <f>+'[1]2021'!$J$11</f>
        <v>0</v>
      </c>
      <c r="AW15" s="916"/>
      <c r="AX15" s="916"/>
      <c r="AY15" s="492"/>
      <c r="AZ15" s="916"/>
      <c r="BA15" s="916"/>
      <c r="BB15" s="492"/>
      <c r="BC15" s="916"/>
      <c r="BD15" s="916"/>
      <c r="BE15" s="492"/>
      <c r="BF15" s="916"/>
      <c r="BG15" s="916"/>
      <c r="BH15" s="492"/>
      <c r="BI15" s="916"/>
      <c r="BJ15" s="916"/>
      <c r="BK15" s="492"/>
      <c r="BL15" s="492"/>
      <c r="BM15" s="916"/>
      <c r="BN15" s="916"/>
      <c r="BO15" s="492"/>
      <c r="BP15" s="492"/>
      <c r="BQ15" s="916"/>
      <c r="BR15" s="916"/>
      <c r="BS15" s="492"/>
      <c r="BT15" s="916"/>
      <c r="BU15" s="916"/>
      <c r="BV15" s="492"/>
      <c r="BW15" s="492"/>
      <c r="BX15" s="916"/>
      <c r="BY15" s="916"/>
      <c r="BZ15" s="492"/>
      <c r="CA15" s="916"/>
      <c r="CB15" s="916"/>
      <c r="CC15" s="492"/>
      <c r="CD15" s="916"/>
      <c r="CE15" s="916"/>
      <c r="CF15" s="492"/>
      <c r="CG15" s="916"/>
      <c r="CH15" s="916"/>
      <c r="CI15" s="492"/>
      <c r="CJ15" s="916"/>
      <c r="CK15" s="916"/>
      <c r="CL15" s="492"/>
      <c r="CM15" s="492"/>
      <c r="CN15" s="916"/>
      <c r="CO15" s="916"/>
      <c r="CP15" s="492"/>
      <c r="CQ15" s="916"/>
      <c r="CR15" s="916"/>
      <c r="CS15" s="492"/>
      <c r="CT15" s="916"/>
      <c r="CU15" s="916"/>
      <c r="CV15" s="492"/>
      <c r="CW15" s="492"/>
      <c r="CX15" s="916"/>
      <c r="CY15" s="916"/>
      <c r="CZ15" s="916"/>
      <c r="DA15" s="492"/>
      <c r="DB15" s="492"/>
      <c r="DC15" s="492"/>
      <c r="DD15" s="492"/>
      <c r="DE15" s="492"/>
      <c r="DF15" s="492"/>
      <c r="DG15" s="492"/>
      <c r="DH15" s="492"/>
      <c r="DI15" s="916"/>
      <c r="DJ15" s="916"/>
      <c r="DK15" s="492"/>
      <c r="DL15" s="492"/>
      <c r="DM15" s="919"/>
      <c r="DN15" s="527"/>
      <c r="DO15" s="912"/>
      <c r="DP15" s="913"/>
      <c r="DQ15" s="915">
        <f t="shared" si="2"/>
        <v>0</v>
      </c>
      <c r="DS15" s="762"/>
      <c r="DW15" s="762"/>
      <c r="DX15" s="762"/>
    </row>
    <row r="16" spans="1:128" s="616" customFormat="1" ht="15.75" customHeight="1" thickBot="1" x14ac:dyDescent="0.35">
      <c r="A16" s="550" t="s">
        <v>99</v>
      </c>
      <c r="B16" s="551" t="s">
        <v>151</v>
      </c>
      <c r="C16" s="920">
        <v>34441747.700000003</v>
      </c>
      <c r="D16" s="920">
        <f t="shared" ref="D16:Q16" si="3">SUM(D8:D15)</f>
        <v>37838448.799999997</v>
      </c>
      <c r="E16" s="920">
        <v>39156714.528000005</v>
      </c>
      <c r="F16" s="920">
        <v>39156714.528000005</v>
      </c>
      <c r="G16" s="920">
        <v>34823252</v>
      </c>
      <c r="H16" s="920">
        <f t="shared" si="3"/>
        <v>36162828.399999999</v>
      </c>
      <c r="I16" s="556">
        <f t="shared" si="3"/>
        <v>0</v>
      </c>
      <c r="J16" s="554">
        <f t="shared" si="3"/>
        <v>0</v>
      </c>
      <c r="K16" s="554"/>
      <c r="L16" s="554">
        <f t="shared" si="3"/>
        <v>0</v>
      </c>
      <c r="M16" s="554">
        <f t="shared" si="3"/>
        <v>3750318</v>
      </c>
      <c r="N16" s="554">
        <f t="shared" ref="N16" si="4">SUM(N8:N15)</f>
        <v>0</v>
      </c>
      <c r="O16" s="554">
        <f t="shared" si="3"/>
        <v>21537627.600000001</v>
      </c>
      <c r="P16" s="921">
        <f t="shared" si="3"/>
        <v>21537627.600000001</v>
      </c>
      <c r="Q16" s="922">
        <f t="shared" si="3"/>
        <v>0</v>
      </c>
      <c r="R16" s="554">
        <f t="shared" ref="R16" si="5">SUM(R8:R15)</f>
        <v>2150720</v>
      </c>
      <c r="S16" s="923">
        <f t="shared" ref="S16:AA16" si="6">SUM(S8:S15)</f>
        <v>67210</v>
      </c>
      <c r="T16" s="554">
        <f t="shared" si="6"/>
        <v>1881880</v>
      </c>
      <c r="U16" s="554">
        <f t="shared" si="6"/>
        <v>0</v>
      </c>
      <c r="V16" s="554">
        <f t="shared" si="6"/>
        <v>4704700</v>
      </c>
      <c r="W16" s="554">
        <f>SUM(W9:W15)</f>
        <v>32260.799999999999</v>
      </c>
      <c r="X16" s="554">
        <f t="shared" si="6"/>
        <v>1737134</v>
      </c>
      <c r="Y16" s="554">
        <f t="shared" si="6"/>
        <v>150000</v>
      </c>
      <c r="Z16" s="554">
        <f t="shared" si="6"/>
        <v>0</v>
      </c>
      <c r="AA16" s="554">
        <f t="shared" si="6"/>
        <v>0</v>
      </c>
      <c r="AB16" s="921">
        <f t="shared" ref="AB16:CO16" si="7">SUM(AB8:AB15)</f>
        <v>0</v>
      </c>
      <c r="AC16" s="921">
        <f t="shared" si="7"/>
        <v>0</v>
      </c>
      <c r="AD16" s="554">
        <f t="shared" si="7"/>
        <v>0</v>
      </c>
      <c r="AE16" s="921">
        <f t="shared" si="7"/>
        <v>0</v>
      </c>
      <c r="AF16" s="921">
        <f t="shared" si="7"/>
        <v>0</v>
      </c>
      <c r="AG16" s="554">
        <f t="shared" si="7"/>
        <v>0</v>
      </c>
      <c r="AH16" s="921">
        <f t="shared" si="7"/>
        <v>0</v>
      </c>
      <c r="AI16" s="921">
        <f t="shared" si="7"/>
        <v>0</v>
      </c>
      <c r="AJ16" s="554">
        <f t="shared" si="7"/>
        <v>150978</v>
      </c>
      <c r="AK16" s="554">
        <f t="shared" si="7"/>
        <v>0</v>
      </c>
      <c r="AL16" s="554">
        <f t="shared" si="7"/>
        <v>0</v>
      </c>
      <c r="AM16" s="554">
        <f t="shared" si="7"/>
        <v>0</v>
      </c>
      <c r="AN16" s="921">
        <f t="shared" si="7"/>
        <v>0</v>
      </c>
      <c r="AO16" s="921">
        <f t="shared" si="7"/>
        <v>0</v>
      </c>
      <c r="AP16" s="554">
        <f t="shared" si="7"/>
        <v>0</v>
      </c>
      <c r="AQ16" s="921">
        <f t="shared" si="7"/>
        <v>0</v>
      </c>
      <c r="AR16" s="921">
        <f t="shared" si="7"/>
        <v>0</v>
      </c>
      <c r="AS16" s="554">
        <f t="shared" si="7"/>
        <v>0</v>
      </c>
      <c r="AT16" s="921">
        <f t="shared" si="7"/>
        <v>0</v>
      </c>
      <c r="AU16" s="921">
        <f t="shared" si="7"/>
        <v>0</v>
      </c>
      <c r="AV16" s="554">
        <f t="shared" si="7"/>
        <v>0</v>
      </c>
      <c r="AW16" s="921">
        <f t="shared" si="7"/>
        <v>0</v>
      </c>
      <c r="AX16" s="921">
        <f t="shared" si="7"/>
        <v>0</v>
      </c>
      <c r="AY16" s="554">
        <f t="shared" si="7"/>
        <v>0</v>
      </c>
      <c r="AZ16" s="921">
        <f t="shared" si="7"/>
        <v>0</v>
      </c>
      <c r="BA16" s="921">
        <f t="shared" si="7"/>
        <v>0</v>
      </c>
      <c r="BB16" s="554">
        <f t="shared" si="7"/>
        <v>0</v>
      </c>
      <c r="BC16" s="921">
        <f t="shared" si="7"/>
        <v>0</v>
      </c>
      <c r="BD16" s="921">
        <f t="shared" si="7"/>
        <v>0</v>
      </c>
      <c r="BE16" s="554">
        <f t="shared" si="7"/>
        <v>0</v>
      </c>
      <c r="BF16" s="921">
        <f t="shared" si="7"/>
        <v>0</v>
      </c>
      <c r="BG16" s="921">
        <f t="shared" si="7"/>
        <v>0</v>
      </c>
      <c r="BH16" s="554">
        <f t="shared" si="7"/>
        <v>0</v>
      </c>
      <c r="BI16" s="921">
        <f t="shared" si="7"/>
        <v>0</v>
      </c>
      <c r="BJ16" s="921">
        <f t="shared" si="7"/>
        <v>0</v>
      </c>
      <c r="BK16" s="554">
        <f t="shared" si="7"/>
        <v>0</v>
      </c>
      <c r="BL16" s="554">
        <f t="shared" si="7"/>
        <v>0</v>
      </c>
      <c r="BM16" s="921">
        <f t="shared" si="7"/>
        <v>0</v>
      </c>
      <c r="BN16" s="921">
        <f t="shared" si="7"/>
        <v>0</v>
      </c>
      <c r="BO16" s="554">
        <f t="shared" si="7"/>
        <v>0</v>
      </c>
      <c r="BP16" s="554">
        <f t="shared" si="7"/>
        <v>0</v>
      </c>
      <c r="BQ16" s="921">
        <f t="shared" si="7"/>
        <v>0</v>
      </c>
      <c r="BR16" s="921">
        <f t="shared" si="7"/>
        <v>0</v>
      </c>
      <c r="BS16" s="554">
        <f t="shared" si="7"/>
        <v>0</v>
      </c>
      <c r="BT16" s="921">
        <f t="shared" si="7"/>
        <v>0</v>
      </c>
      <c r="BU16" s="921">
        <f t="shared" si="7"/>
        <v>0</v>
      </c>
      <c r="BV16" s="554">
        <f t="shared" si="7"/>
        <v>0</v>
      </c>
      <c r="BW16" s="554">
        <f t="shared" si="7"/>
        <v>0</v>
      </c>
      <c r="BX16" s="921">
        <f t="shared" si="7"/>
        <v>0</v>
      </c>
      <c r="BY16" s="921">
        <f t="shared" si="7"/>
        <v>0</v>
      </c>
      <c r="BZ16" s="554">
        <f t="shared" si="7"/>
        <v>0</v>
      </c>
      <c r="CA16" s="921">
        <f t="shared" si="7"/>
        <v>0</v>
      </c>
      <c r="CB16" s="921">
        <f t="shared" si="7"/>
        <v>0</v>
      </c>
      <c r="CC16" s="554">
        <f t="shared" si="7"/>
        <v>0</v>
      </c>
      <c r="CD16" s="921">
        <f t="shared" ref="CD16:CE16" si="8">SUM(CD8:CD15)</f>
        <v>0</v>
      </c>
      <c r="CE16" s="921">
        <f t="shared" si="8"/>
        <v>0</v>
      </c>
      <c r="CF16" s="554">
        <f t="shared" si="7"/>
        <v>0</v>
      </c>
      <c r="CG16" s="921">
        <f t="shared" si="7"/>
        <v>0</v>
      </c>
      <c r="CH16" s="921">
        <f t="shared" si="7"/>
        <v>0</v>
      </c>
      <c r="CI16" s="554">
        <f t="shared" si="7"/>
        <v>0</v>
      </c>
      <c r="CJ16" s="921">
        <f t="shared" si="7"/>
        <v>0</v>
      </c>
      <c r="CK16" s="921">
        <f t="shared" si="7"/>
        <v>0</v>
      </c>
      <c r="CL16" s="554">
        <f t="shared" si="7"/>
        <v>0</v>
      </c>
      <c r="CM16" s="554">
        <f t="shared" si="7"/>
        <v>0</v>
      </c>
      <c r="CN16" s="921">
        <f t="shared" si="7"/>
        <v>0</v>
      </c>
      <c r="CO16" s="921">
        <f t="shared" si="7"/>
        <v>0</v>
      </c>
      <c r="CP16" s="554">
        <f t="shared" ref="CP16:DM16" si="9">SUM(CP8:CP15)</f>
        <v>0</v>
      </c>
      <c r="CQ16" s="921">
        <f t="shared" si="9"/>
        <v>0</v>
      </c>
      <c r="CR16" s="921">
        <f t="shared" si="9"/>
        <v>0</v>
      </c>
      <c r="CS16" s="554">
        <f t="shared" si="9"/>
        <v>0</v>
      </c>
      <c r="CT16" s="921">
        <f t="shared" si="9"/>
        <v>0</v>
      </c>
      <c r="CU16" s="921">
        <f t="shared" si="9"/>
        <v>0</v>
      </c>
      <c r="CV16" s="554">
        <f t="shared" si="9"/>
        <v>0</v>
      </c>
      <c r="CW16" s="554">
        <f t="shared" si="9"/>
        <v>0</v>
      </c>
      <c r="CX16" s="921">
        <f t="shared" si="9"/>
        <v>0</v>
      </c>
      <c r="CY16" s="921">
        <f t="shared" si="9"/>
        <v>0</v>
      </c>
      <c r="CZ16" s="921">
        <f t="shared" si="9"/>
        <v>0</v>
      </c>
      <c r="DA16" s="554">
        <f t="shared" si="9"/>
        <v>0</v>
      </c>
      <c r="DB16" s="554">
        <f t="shared" si="9"/>
        <v>0</v>
      </c>
      <c r="DC16" s="554">
        <f t="shared" si="9"/>
        <v>0</v>
      </c>
      <c r="DD16" s="554">
        <f t="shared" ref="DD16" si="10">SUM(DD8:DD15)</f>
        <v>0</v>
      </c>
      <c r="DE16" s="554">
        <f t="shared" si="9"/>
        <v>0</v>
      </c>
      <c r="DF16" s="554">
        <f t="shared" si="9"/>
        <v>0</v>
      </c>
      <c r="DG16" s="554">
        <f t="shared" si="9"/>
        <v>0</v>
      </c>
      <c r="DH16" s="554">
        <f t="shared" si="9"/>
        <v>0</v>
      </c>
      <c r="DI16" s="921">
        <f t="shared" ref="DI16:DJ16" si="11">SUM(DI8:DI15)</f>
        <v>0</v>
      </c>
      <c r="DJ16" s="921">
        <f t="shared" si="11"/>
        <v>0</v>
      </c>
      <c r="DK16" s="554">
        <f t="shared" si="9"/>
        <v>0</v>
      </c>
      <c r="DL16" s="554">
        <f t="shared" si="9"/>
        <v>0</v>
      </c>
      <c r="DM16" s="924">
        <f t="shared" si="9"/>
        <v>0</v>
      </c>
      <c r="DN16" s="527"/>
      <c r="DO16" s="912"/>
      <c r="DP16" s="913"/>
      <c r="DQ16" s="925">
        <f>SUM(DQ8:DQ15)</f>
        <v>0</v>
      </c>
      <c r="DS16" s="762"/>
    </row>
    <row r="17" spans="1:123" ht="13.5" hidden="1" customHeight="1" x14ac:dyDescent="0.25">
      <c r="A17" s="559">
        <v>5178</v>
      </c>
      <c r="B17" s="542" t="s">
        <v>100</v>
      </c>
      <c r="C17" s="914">
        <v>0</v>
      </c>
      <c r="D17" s="914">
        <v>0</v>
      </c>
      <c r="E17" s="914">
        <v>0</v>
      </c>
      <c r="F17" s="914">
        <v>0</v>
      </c>
      <c r="G17" s="914">
        <v>0</v>
      </c>
      <c r="H17" s="914">
        <f t="shared" ref="H17:H18" si="12">SUM(I17:O17)+SUM(T17:AA17)+AD17+AG17+SUM(AJ17:AM17)+AP17+AS17+AV17+AY17+BB17+BE17+BH17+BK17+BL17+BO17+BP17+BS17+SUM(BV17:BW17)+CF17+CI17+CL17+CM17+CP17+CS17+CV17+CW17+SUM(DA17:DM17)+BZ17+CC17</f>
        <v>0</v>
      </c>
      <c r="I17" s="906"/>
      <c r="J17" s="907"/>
      <c r="K17" s="907"/>
      <c r="L17" s="907"/>
      <c r="M17" s="907"/>
      <c r="N17" s="907"/>
      <c r="O17" s="907">
        <f>+P17+Q17</f>
        <v>0</v>
      </c>
      <c r="P17" s="908"/>
      <c r="Q17" s="909"/>
      <c r="R17" s="907"/>
      <c r="S17" s="926"/>
      <c r="T17" s="907"/>
      <c r="U17" s="907"/>
      <c r="V17" s="907"/>
      <c r="W17" s="907"/>
      <c r="X17" s="907"/>
      <c r="Y17" s="907"/>
      <c r="Z17" s="907"/>
      <c r="AA17" s="907">
        <f>+AB17+AC17</f>
        <v>0</v>
      </c>
      <c r="AB17" s="908"/>
      <c r="AC17" s="908"/>
      <c r="AD17" s="907">
        <f>+AE17+AF17</f>
        <v>0</v>
      </c>
      <c r="AE17" s="908"/>
      <c r="AF17" s="908"/>
      <c r="AG17" s="907">
        <f>+AH17+AI17</f>
        <v>0</v>
      </c>
      <c r="AH17" s="908"/>
      <c r="AI17" s="908"/>
      <c r="AJ17" s="907"/>
      <c r="AK17" s="907"/>
      <c r="AL17" s="907"/>
      <c r="AM17" s="907">
        <f>+AN17+AO17</f>
        <v>0</v>
      </c>
      <c r="AN17" s="908"/>
      <c r="AO17" s="908"/>
      <c r="AP17" s="907">
        <f>+AQ17+AR17</f>
        <v>0</v>
      </c>
      <c r="AQ17" s="908"/>
      <c r="AR17" s="908"/>
      <c r="AS17" s="907">
        <f>+AT17+AU17</f>
        <v>0</v>
      </c>
      <c r="AT17" s="908"/>
      <c r="AU17" s="908"/>
      <c r="AV17" s="907">
        <f>+AW17+AX17</f>
        <v>0</v>
      </c>
      <c r="AW17" s="908"/>
      <c r="AX17" s="908"/>
      <c r="AY17" s="907">
        <f>+AZ17+BA17</f>
        <v>0</v>
      </c>
      <c r="AZ17" s="908"/>
      <c r="BA17" s="908"/>
      <c r="BB17" s="907">
        <f>+BC17+BD17</f>
        <v>0</v>
      </c>
      <c r="BC17" s="908"/>
      <c r="BD17" s="908"/>
      <c r="BE17" s="907">
        <f>+BF17+BG17</f>
        <v>0</v>
      </c>
      <c r="BF17" s="908"/>
      <c r="BG17" s="908"/>
      <c r="BH17" s="907">
        <f>+BI17+BJ17</f>
        <v>0</v>
      </c>
      <c r="BI17" s="908"/>
      <c r="BJ17" s="908"/>
      <c r="BK17" s="907"/>
      <c r="BL17" s="907">
        <f>+BM17+BN17</f>
        <v>0</v>
      </c>
      <c r="BM17" s="908"/>
      <c r="BN17" s="908"/>
      <c r="BO17" s="907"/>
      <c r="BP17" s="907">
        <f>+BQ17+BR17</f>
        <v>0</v>
      </c>
      <c r="BQ17" s="908"/>
      <c r="BR17" s="908"/>
      <c r="BS17" s="907">
        <f>+BT17+BU17</f>
        <v>0</v>
      </c>
      <c r="BT17" s="908"/>
      <c r="BU17" s="908"/>
      <c r="BV17" s="907"/>
      <c r="BW17" s="907">
        <f>+BX17+BY17</f>
        <v>0</v>
      </c>
      <c r="BX17" s="908"/>
      <c r="BY17" s="908"/>
      <c r="BZ17" s="907"/>
      <c r="CA17" s="908"/>
      <c r="CB17" s="908"/>
      <c r="CC17" s="907"/>
      <c r="CD17" s="908"/>
      <c r="CE17" s="908"/>
      <c r="CF17" s="907"/>
      <c r="CG17" s="908"/>
      <c r="CH17" s="908"/>
      <c r="CI17" s="907">
        <f>+CJ17+CK17</f>
        <v>0</v>
      </c>
      <c r="CJ17" s="908"/>
      <c r="CK17" s="908"/>
      <c r="CL17" s="907"/>
      <c r="CM17" s="907">
        <f>+CN17+CO17</f>
        <v>0</v>
      </c>
      <c r="CN17" s="908"/>
      <c r="CO17" s="908"/>
      <c r="CP17" s="907">
        <f>+CQ17+CR17</f>
        <v>0</v>
      </c>
      <c r="CQ17" s="908"/>
      <c r="CR17" s="908"/>
      <c r="CS17" s="907">
        <f>+CT17+CU17</f>
        <v>0</v>
      </c>
      <c r="CT17" s="908"/>
      <c r="CU17" s="908"/>
      <c r="CV17" s="907"/>
      <c r="CW17" s="907">
        <f>+CX17+CY17+CZ17</f>
        <v>0</v>
      </c>
      <c r="CX17" s="908"/>
      <c r="CY17" s="908"/>
      <c r="CZ17" s="908"/>
      <c r="DA17" s="907"/>
      <c r="DB17" s="907"/>
      <c r="DC17" s="907"/>
      <c r="DD17" s="907"/>
      <c r="DE17" s="907"/>
      <c r="DF17" s="907"/>
      <c r="DG17" s="907"/>
      <c r="DH17" s="907"/>
      <c r="DI17" s="908"/>
      <c r="DJ17" s="908"/>
      <c r="DK17" s="907"/>
      <c r="DL17" s="907"/>
      <c r="DM17" s="911"/>
      <c r="DN17" s="527">
        <f>+I17+J17+K17+L17+M17+N17+O17+R17+S17+T17+U17+V17+W17+X17+Y17+Z17+AA17+AD17+AG17+AJ17+AK17+AL17+AM17+AP17+AS17+AV17+AY17+BB17+BE17+BH17+BK17+BL17+BO17+BP17+BS17+BV17+BW17+BZ17+CC17+CF17+CI17+CL17+CM17+CP17+CS17+CV17+CW17+DA17+DB17+DC17+DD17+DE17+DG17+DH17+DK17+DL17+DM17-S17</f>
        <v>0</v>
      </c>
      <c r="DO17" s="912">
        <f t="shared" ref="DO17:DO39" si="13">DN17-H17</f>
        <v>0</v>
      </c>
      <c r="DP17" s="913"/>
      <c r="DQ17" s="914">
        <f t="shared" ref="DQ17:DQ50" si="14">+Q17+AC17+AF17++AI17+AO17+AR17+AU17+AX17+BA17+BD17+BG17+BJ17+BN17+BR17+BU17+BY17+CK17+CO17+CR17+CU17+CZ17</f>
        <v>0</v>
      </c>
      <c r="DS17" s="762"/>
    </row>
    <row r="18" spans="1:123" ht="13.5" hidden="1" customHeight="1" x14ac:dyDescent="0.25">
      <c r="A18" s="559">
        <v>5132</v>
      </c>
      <c r="B18" s="542" t="s">
        <v>101</v>
      </c>
      <c r="C18" s="915">
        <v>0</v>
      </c>
      <c r="D18" s="915">
        <v>0</v>
      </c>
      <c r="E18" s="915">
        <v>0</v>
      </c>
      <c r="F18" s="915">
        <v>0</v>
      </c>
      <c r="G18" s="915">
        <v>0</v>
      </c>
      <c r="H18" s="915">
        <f t="shared" si="12"/>
        <v>0</v>
      </c>
      <c r="I18" s="571"/>
      <c r="J18" s="492"/>
      <c r="K18" s="492"/>
      <c r="L18" s="492"/>
      <c r="M18" s="492"/>
      <c r="N18" s="492"/>
      <c r="O18" s="492">
        <f t="shared" ref="O18:O51" si="15">+P18+Q18</f>
        <v>0</v>
      </c>
      <c r="P18" s="916"/>
      <c r="Q18" s="917"/>
      <c r="R18" s="492"/>
      <c r="S18" s="927"/>
      <c r="T18" s="492"/>
      <c r="U18" s="492"/>
      <c r="V18" s="492"/>
      <c r="W18" s="492"/>
      <c r="X18" s="492"/>
      <c r="Y18" s="492"/>
      <c r="Z18" s="492"/>
      <c r="AA18" s="492">
        <f t="shared" ref="AA18:AA50" si="16">+AB18+AC18</f>
        <v>0</v>
      </c>
      <c r="AB18" s="916"/>
      <c r="AC18" s="916"/>
      <c r="AD18" s="492">
        <f t="shared" ref="AD18:AD50" si="17">+AE18+AF18</f>
        <v>0</v>
      </c>
      <c r="AE18" s="916"/>
      <c r="AF18" s="916"/>
      <c r="AG18" s="492">
        <f t="shared" ref="AG18:AG50" si="18">+AH18+AI18</f>
        <v>0</v>
      </c>
      <c r="AH18" s="916"/>
      <c r="AI18" s="916"/>
      <c r="AJ18" s="492"/>
      <c r="AK18" s="492"/>
      <c r="AL18" s="492"/>
      <c r="AM18" s="492">
        <f t="shared" ref="AM18:AM50" si="19">+AN18+AO18</f>
        <v>0</v>
      </c>
      <c r="AN18" s="916"/>
      <c r="AO18" s="916"/>
      <c r="AP18" s="492">
        <f t="shared" ref="AP18:AP50" si="20">+AQ18+AR18</f>
        <v>0</v>
      </c>
      <c r="AQ18" s="916"/>
      <c r="AR18" s="916"/>
      <c r="AS18" s="492">
        <f t="shared" ref="AS18:AS50" si="21">+AT18+AU18</f>
        <v>0</v>
      </c>
      <c r="AT18" s="916"/>
      <c r="AU18" s="916"/>
      <c r="AV18" s="492">
        <f t="shared" ref="AV18:AV50" si="22">+AW18+AX18</f>
        <v>0</v>
      </c>
      <c r="AW18" s="916"/>
      <c r="AX18" s="916"/>
      <c r="AY18" s="492">
        <f t="shared" ref="AY18:AY50" si="23">+AZ18+BA18</f>
        <v>0</v>
      </c>
      <c r="AZ18" s="916"/>
      <c r="BA18" s="916"/>
      <c r="BB18" s="492">
        <f t="shared" ref="BB18:BB50" si="24">+BC18+BD18</f>
        <v>0</v>
      </c>
      <c r="BC18" s="916"/>
      <c r="BD18" s="916"/>
      <c r="BE18" s="492">
        <f t="shared" ref="BE18:BE50" si="25">+BF18+BG18</f>
        <v>0</v>
      </c>
      <c r="BF18" s="916"/>
      <c r="BG18" s="916"/>
      <c r="BH18" s="492">
        <f t="shared" ref="BH18:BH50" si="26">+BI18+BJ18</f>
        <v>0</v>
      </c>
      <c r="BI18" s="916"/>
      <c r="BJ18" s="916"/>
      <c r="BK18" s="492"/>
      <c r="BL18" s="492">
        <f t="shared" ref="BL18:BL50" si="27">+BM18+BN18</f>
        <v>0</v>
      </c>
      <c r="BM18" s="916"/>
      <c r="BN18" s="916"/>
      <c r="BO18" s="492"/>
      <c r="BP18" s="492">
        <f t="shared" ref="BP18:BP50" si="28">+BQ18+BR18</f>
        <v>0</v>
      </c>
      <c r="BQ18" s="916"/>
      <c r="BR18" s="916"/>
      <c r="BS18" s="492">
        <f t="shared" ref="BS18:BS50" si="29">+BT18+BU18</f>
        <v>0</v>
      </c>
      <c r="BT18" s="916"/>
      <c r="BU18" s="916"/>
      <c r="BV18" s="492"/>
      <c r="BW18" s="492">
        <f t="shared" ref="BW18:BW50" si="30">+BX18+BY18</f>
        <v>0</v>
      </c>
      <c r="BX18" s="916"/>
      <c r="BY18" s="916"/>
      <c r="BZ18" s="492"/>
      <c r="CA18" s="916"/>
      <c r="CB18" s="916"/>
      <c r="CC18" s="492"/>
      <c r="CD18" s="916"/>
      <c r="CE18" s="916"/>
      <c r="CF18" s="492"/>
      <c r="CG18" s="916"/>
      <c r="CH18" s="916"/>
      <c r="CI18" s="492">
        <f t="shared" ref="CI18:CI50" si="31">+CJ18+CK18</f>
        <v>0</v>
      </c>
      <c r="CJ18" s="916"/>
      <c r="CK18" s="916"/>
      <c r="CL18" s="492"/>
      <c r="CM18" s="492">
        <f t="shared" ref="CM18:CM50" si="32">+CN18+CO18</f>
        <v>0</v>
      </c>
      <c r="CN18" s="916"/>
      <c r="CO18" s="916"/>
      <c r="CP18" s="492">
        <f t="shared" ref="CP18:CP50" si="33">+CQ18+CR18</f>
        <v>0</v>
      </c>
      <c r="CQ18" s="916"/>
      <c r="CR18" s="916"/>
      <c r="CS18" s="492">
        <f t="shared" ref="CS18:CS50" si="34">+CT18+CU18</f>
        <v>0</v>
      </c>
      <c r="CT18" s="916"/>
      <c r="CU18" s="916"/>
      <c r="CV18" s="492"/>
      <c r="CW18" s="492">
        <f t="shared" ref="CW18:CW50" si="35">+CX18+CY18+CZ18</f>
        <v>0</v>
      </c>
      <c r="CX18" s="916"/>
      <c r="CY18" s="916"/>
      <c r="CZ18" s="916"/>
      <c r="DA18" s="492"/>
      <c r="DB18" s="492"/>
      <c r="DC18" s="492"/>
      <c r="DD18" s="492"/>
      <c r="DE18" s="492"/>
      <c r="DF18" s="492"/>
      <c r="DG18" s="492"/>
      <c r="DH18" s="492"/>
      <c r="DI18" s="916"/>
      <c r="DJ18" s="916"/>
      <c r="DK18" s="492"/>
      <c r="DL18" s="492"/>
      <c r="DM18" s="919"/>
      <c r="DN18" s="527">
        <f t="shared" ref="DN18:DN73" si="36">+I18+J18+K18+L18+M18+N18+O18+R18+S18+T18+U18+V18+W18+X18+Y18+Z18+AA18+AD18+AG18+AJ18+AK18+AL18+AM18+AP18+AS18+AV18+AY18+BB18+BE18+BH18+BK18+BL18+BO18+BP18+BS18+BV18+BW18+BZ18+CC18+CF18+CI18+CL18+CM18+CP18+CS18+CV18+CW18+DA18+DB18+DC18+DD18+DE18+DG18+DH18+DK18+DL18+DM18-S18</f>
        <v>0</v>
      </c>
      <c r="DO18" s="912">
        <f t="shared" si="13"/>
        <v>0</v>
      </c>
      <c r="DP18" s="913"/>
      <c r="DQ18" s="915">
        <f t="shared" si="14"/>
        <v>0</v>
      </c>
      <c r="DS18" s="762"/>
    </row>
    <row r="19" spans="1:123" ht="13.5" customHeight="1" outlineLevel="1" x14ac:dyDescent="0.25">
      <c r="A19" s="559">
        <v>5134</v>
      </c>
      <c r="B19" s="542" t="s">
        <v>102</v>
      </c>
      <c r="C19" s="915">
        <v>156000</v>
      </c>
      <c r="D19" s="915">
        <v>140000</v>
      </c>
      <c r="E19" s="915">
        <v>225000</v>
      </c>
      <c r="F19" s="915">
        <v>225000</v>
      </c>
      <c r="G19" s="915">
        <v>225000</v>
      </c>
      <c r="H19" s="915">
        <f>SUM(I19:O19)+SUM(T19:AA19)+AD19+AG19+SUM(AJ19:AM19)+AP19+AS19+AV19+AY19+BB19+BE19+BH19+BK19+BL19+BO19+BP19+BS19+SUM(BV19:BW19)+CF19+CI19+CL19+CM19+CP19+CS19+CV19+CW19+SUM(DA19:DH19)+BZ19+CC19+SUM(DK19:DM19)</f>
        <v>195000</v>
      </c>
      <c r="I19" s="571"/>
      <c r="J19" s="492"/>
      <c r="K19" s="492"/>
      <c r="L19" s="492"/>
      <c r="M19" s="492"/>
      <c r="N19" s="492"/>
      <c r="O19" s="492">
        <f t="shared" si="15"/>
        <v>0</v>
      </c>
      <c r="P19" s="916"/>
      <c r="Q19" s="917"/>
      <c r="R19" s="492"/>
      <c r="S19" s="927">
        <f t="shared" ref="S19:S21" si="37">+Q19+AO19+BU19+BR19+BN19+CZ19+AC19+AI19+AR19+AU19+AX19+BA19+BD19+BG19+BJ19+BY19+CK19+CO19+CR19+CU19+AF19+DJ19</f>
        <v>0</v>
      </c>
      <c r="T19" s="492">
        <f>'[3]Pečovatelská služba'!$B$4</f>
        <v>20000</v>
      </c>
      <c r="U19" s="492"/>
      <c r="V19" s="492">
        <f>'[3]Městská policie'!$B$4</f>
        <v>95000</v>
      </c>
      <c r="W19" s="492"/>
      <c r="X19" s="492"/>
      <c r="Y19" s="492"/>
      <c r="Z19" s="492"/>
      <c r="AA19" s="492">
        <f t="shared" si="16"/>
        <v>0</v>
      </c>
      <c r="AB19" s="916"/>
      <c r="AC19" s="916"/>
      <c r="AD19" s="492">
        <f t="shared" si="17"/>
        <v>0</v>
      </c>
      <c r="AE19" s="916"/>
      <c r="AF19" s="916"/>
      <c r="AG19" s="492">
        <f t="shared" si="18"/>
        <v>0</v>
      </c>
      <c r="AH19" s="916"/>
      <c r="AI19" s="916"/>
      <c r="AJ19" s="492">
        <f>[3]Hasiči!$B$4</f>
        <v>80000</v>
      </c>
      <c r="AK19" s="492"/>
      <c r="AL19" s="492"/>
      <c r="AM19" s="492">
        <f t="shared" si="19"/>
        <v>0</v>
      </c>
      <c r="AN19" s="916"/>
      <c r="AO19" s="916"/>
      <c r="AP19" s="492">
        <f t="shared" si="20"/>
        <v>0</v>
      </c>
      <c r="AQ19" s="916"/>
      <c r="AR19" s="916"/>
      <c r="AS19" s="492">
        <f t="shared" si="21"/>
        <v>0</v>
      </c>
      <c r="AT19" s="916"/>
      <c r="AU19" s="916"/>
      <c r="AV19" s="492">
        <f t="shared" si="22"/>
        <v>0</v>
      </c>
      <c r="AW19" s="916"/>
      <c r="AX19" s="916"/>
      <c r="AY19" s="492">
        <f t="shared" si="23"/>
        <v>0</v>
      </c>
      <c r="AZ19" s="916"/>
      <c r="BA19" s="916"/>
      <c r="BB19" s="492">
        <f t="shared" si="24"/>
        <v>0</v>
      </c>
      <c r="BC19" s="916"/>
      <c r="BD19" s="916"/>
      <c r="BE19" s="492">
        <f t="shared" si="25"/>
        <v>0</v>
      </c>
      <c r="BF19" s="916"/>
      <c r="BG19" s="916"/>
      <c r="BH19" s="492">
        <f t="shared" si="26"/>
        <v>0</v>
      </c>
      <c r="BI19" s="916"/>
      <c r="BJ19" s="916"/>
      <c r="BK19" s="492"/>
      <c r="BL19" s="492">
        <f t="shared" si="27"/>
        <v>0</v>
      </c>
      <c r="BM19" s="916"/>
      <c r="BN19" s="916"/>
      <c r="BO19" s="492"/>
      <c r="BP19" s="492">
        <f t="shared" si="28"/>
        <v>0</v>
      </c>
      <c r="BQ19" s="916"/>
      <c r="BR19" s="916"/>
      <c r="BS19" s="492">
        <f t="shared" si="29"/>
        <v>0</v>
      </c>
      <c r="BT19" s="916"/>
      <c r="BU19" s="916"/>
      <c r="BV19" s="492"/>
      <c r="BW19" s="492">
        <f t="shared" si="30"/>
        <v>0</v>
      </c>
      <c r="BX19" s="916"/>
      <c r="BY19" s="916"/>
      <c r="BZ19" s="492"/>
      <c r="CA19" s="916"/>
      <c r="CB19" s="916"/>
      <c r="CC19" s="492"/>
      <c r="CD19" s="916"/>
      <c r="CE19" s="916"/>
      <c r="CF19" s="492"/>
      <c r="CG19" s="916"/>
      <c r="CH19" s="916"/>
      <c r="CI19" s="492">
        <f t="shared" si="31"/>
        <v>0</v>
      </c>
      <c r="CJ19" s="916"/>
      <c r="CK19" s="916"/>
      <c r="CL19" s="492"/>
      <c r="CM19" s="492">
        <f t="shared" si="32"/>
        <v>0</v>
      </c>
      <c r="CN19" s="916"/>
      <c r="CO19" s="916"/>
      <c r="CP19" s="492">
        <f t="shared" si="33"/>
        <v>0</v>
      </c>
      <c r="CQ19" s="916"/>
      <c r="CR19" s="916"/>
      <c r="CS19" s="492">
        <f t="shared" si="34"/>
        <v>0</v>
      </c>
      <c r="CT19" s="916"/>
      <c r="CU19" s="916"/>
      <c r="CV19" s="492"/>
      <c r="CW19" s="492">
        <f t="shared" si="35"/>
        <v>0</v>
      </c>
      <c r="CY19" s="916"/>
      <c r="CZ19" s="916"/>
      <c r="DA19" s="492"/>
      <c r="DB19" s="492"/>
      <c r="DC19" s="492"/>
      <c r="DD19" s="492"/>
      <c r="DE19" s="492"/>
      <c r="DF19" s="492"/>
      <c r="DG19" s="492"/>
      <c r="DH19" s="492"/>
      <c r="DI19" s="916"/>
      <c r="DJ19" s="916"/>
      <c r="DK19" s="492"/>
      <c r="DL19" s="492"/>
      <c r="DM19" s="919"/>
      <c r="DN19" s="527">
        <f t="shared" si="36"/>
        <v>195000</v>
      </c>
      <c r="DO19" s="912">
        <f t="shared" si="13"/>
        <v>0</v>
      </c>
      <c r="DP19" s="913"/>
      <c r="DQ19" s="915">
        <f t="shared" si="14"/>
        <v>0</v>
      </c>
      <c r="DS19" s="762"/>
    </row>
    <row r="20" spans="1:123" ht="13.5" customHeight="1" outlineLevel="1" x14ac:dyDescent="0.25">
      <c r="A20" s="559">
        <v>5136</v>
      </c>
      <c r="B20" s="542" t="s">
        <v>103</v>
      </c>
      <c r="C20" s="915">
        <v>261000</v>
      </c>
      <c r="D20" s="915">
        <v>231000</v>
      </c>
      <c r="E20" s="915">
        <v>213000</v>
      </c>
      <c r="F20" s="915">
        <v>213000</v>
      </c>
      <c r="G20" s="915">
        <v>213000</v>
      </c>
      <c r="H20" s="915">
        <f t="shared" ref="H20:H51" si="38">SUM(I20:O20)+SUM(T20:AA20)+AD20+AG20+SUM(AJ20:AM20)+AP20+AS20+AV20+AY20+BB20+BE20+BH20+BK20+BL20+BO20+BP20+BS20+SUM(BV20:BW20)+CF20+CI20+CL20+CM20+CP20+CS20+CV20+CW20+SUM(DA20:DH20)+BZ20+CC20+SUM(DK20:DM20)</f>
        <v>263000</v>
      </c>
      <c r="I20" s="571"/>
      <c r="J20" s="492"/>
      <c r="K20" s="492"/>
      <c r="L20" s="492"/>
      <c r="M20" s="492">
        <f>[3]Zastupitelé!$B$4</f>
        <v>8000</v>
      </c>
      <c r="N20" s="492"/>
      <c r="O20" s="492">
        <f t="shared" si="15"/>
        <v>45000</v>
      </c>
      <c r="P20" s="916">
        <f>[3]Správa!$D$4</f>
        <v>45000</v>
      </c>
      <c r="Q20" s="917">
        <f>[3]Správa!$E$4</f>
        <v>0</v>
      </c>
      <c r="R20" s="492"/>
      <c r="S20" s="927">
        <f t="shared" si="37"/>
        <v>0</v>
      </c>
      <c r="T20" s="492"/>
      <c r="U20" s="492"/>
      <c r="V20" s="492">
        <f>'[3]Městská policie'!$B$11</f>
        <v>5000</v>
      </c>
      <c r="W20" s="492">
        <f>[3]Kronika!$B$4</f>
        <v>5000</v>
      </c>
      <c r="X20" s="492">
        <f>[3]Knihovna!$B$4</f>
        <v>200000</v>
      </c>
      <c r="Y20" s="492"/>
      <c r="Z20" s="492"/>
      <c r="AA20" s="492">
        <f t="shared" si="16"/>
        <v>0</v>
      </c>
      <c r="AB20" s="916"/>
      <c r="AC20" s="916"/>
      <c r="AD20" s="492">
        <f t="shared" si="17"/>
        <v>0</v>
      </c>
      <c r="AE20" s="916"/>
      <c r="AF20" s="916"/>
      <c r="AG20" s="492">
        <f t="shared" si="18"/>
        <v>0</v>
      </c>
      <c r="AH20" s="916"/>
      <c r="AI20" s="916"/>
      <c r="AJ20" s="492"/>
      <c r="AK20" s="492"/>
      <c r="AL20" s="492"/>
      <c r="AM20" s="492">
        <f t="shared" si="19"/>
        <v>0</v>
      </c>
      <c r="AN20" s="916"/>
      <c r="AO20" s="916"/>
      <c r="AP20" s="492">
        <f t="shared" si="20"/>
        <v>0</v>
      </c>
      <c r="AQ20" s="916"/>
      <c r="AR20" s="916"/>
      <c r="AS20" s="492">
        <f t="shared" si="21"/>
        <v>0</v>
      </c>
      <c r="AT20" s="916"/>
      <c r="AU20" s="916"/>
      <c r="AV20" s="492">
        <f t="shared" si="22"/>
        <v>0</v>
      </c>
      <c r="AW20" s="916"/>
      <c r="AX20" s="916"/>
      <c r="AY20" s="492">
        <f t="shared" si="23"/>
        <v>0</v>
      </c>
      <c r="AZ20" s="916"/>
      <c r="BA20" s="916"/>
      <c r="BB20" s="492">
        <f t="shared" si="24"/>
        <v>0</v>
      </c>
      <c r="BC20" s="916"/>
      <c r="BD20" s="916"/>
      <c r="BE20" s="492">
        <f t="shared" si="25"/>
        <v>0</v>
      </c>
      <c r="BF20" s="916"/>
      <c r="BG20" s="916"/>
      <c r="BH20" s="492">
        <f t="shared" si="26"/>
        <v>0</v>
      </c>
      <c r="BI20" s="916"/>
      <c r="BJ20" s="916"/>
      <c r="BK20" s="492"/>
      <c r="BL20" s="492">
        <f t="shared" si="27"/>
        <v>0</v>
      </c>
      <c r="BM20" s="916"/>
      <c r="BN20" s="916"/>
      <c r="BO20" s="492"/>
      <c r="BP20" s="492">
        <f t="shared" si="28"/>
        <v>0</v>
      </c>
      <c r="BQ20" s="916"/>
      <c r="BR20" s="916"/>
      <c r="BS20" s="492">
        <f t="shared" si="29"/>
        <v>0</v>
      </c>
      <c r="BT20" s="916"/>
      <c r="BU20" s="916"/>
      <c r="BV20" s="492"/>
      <c r="BW20" s="492">
        <f t="shared" si="30"/>
        <v>0</v>
      </c>
      <c r="BX20" s="916"/>
      <c r="BY20" s="916"/>
      <c r="BZ20" s="492"/>
      <c r="CA20" s="916"/>
      <c r="CB20" s="916"/>
      <c r="CC20" s="492"/>
      <c r="CD20" s="916"/>
      <c r="CE20" s="916"/>
      <c r="CF20" s="492"/>
      <c r="CG20" s="916"/>
      <c r="CH20" s="916"/>
      <c r="CI20" s="492">
        <f t="shared" si="31"/>
        <v>0</v>
      </c>
      <c r="CJ20" s="916"/>
      <c r="CK20" s="916"/>
      <c r="CL20" s="492"/>
      <c r="CM20" s="492">
        <f t="shared" si="32"/>
        <v>0</v>
      </c>
      <c r="CN20" s="916"/>
      <c r="CO20" s="916"/>
      <c r="CP20" s="492">
        <f t="shared" si="33"/>
        <v>0</v>
      </c>
      <c r="CQ20" s="916"/>
      <c r="CR20" s="916"/>
      <c r="CS20" s="492">
        <f t="shared" si="34"/>
        <v>0</v>
      </c>
      <c r="CT20" s="916"/>
      <c r="CU20" s="916"/>
      <c r="CV20" s="492"/>
      <c r="CW20" s="492">
        <f t="shared" si="35"/>
        <v>0</v>
      </c>
      <c r="CX20" s="916"/>
      <c r="CY20" s="916"/>
      <c r="CZ20" s="916"/>
      <c r="DA20" s="492"/>
      <c r="DB20" s="492"/>
      <c r="DC20" s="492"/>
      <c r="DD20" s="492"/>
      <c r="DE20" s="492"/>
      <c r="DF20" s="492"/>
      <c r="DG20" s="492"/>
      <c r="DH20" s="492"/>
      <c r="DI20" s="916"/>
      <c r="DJ20" s="916"/>
      <c r="DK20" s="492"/>
      <c r="DL20" s="492"/>
      <c r="DM20" s="919"/>
      <c r="DN20" s="527">
        <f t="shared" si="36"/>
        <v>263000</v>
      </c>
      <c r="DO20" s="912">
        <f t="shared" si="13"/>
        <v>0</v>
      </c>
      <c r="DP20" s="913"/>
      <c r="DQ20" s="915">
        <f t="shared" si="14"/>
        <v>0</v>
      </c>
      <c r="DS20" s="762"/>
    </row>
    <row r="21" spans="1:123" ht="13.5" customHeight="1" outlineLevel="1" x14ac:dyDescent="0.25">
      <c r="A21" s="559">
        <v>5137</v>
      </c>
      <c r="B21" s="542" t="s">
        <v>104</v>
      </c>
      <c r="C21" s="915">
        <v>1980000</v>
      </c>
      <c r="D21" s="915">
        <v>1326640</v>
      </c>
      <c r="E21" s="915">
        <v>1275000</v>
      </c>
      <c r="F21" s="915">
        <v>1310000</v>
      </c>
      <c r="G21" s="915">
        <v>1160000</v>
      </c>
      <c r="H21" s="915">
        <f>SUM(I21:O21)+SUM(T21:AA21)+AD21+AG21+SUM(AJ21:AM21)+AP21+AS21+AV21+AY21+BB21+BE21+BH21+BK21+BL21+BO21+BP21+BS21+SUM(BV21:BW21)+CF21+CI21+CL21+CM21+CP21+CS21+CV21+CW21+SUM(DA21:DH21)+BZ21+CC21+SUM(DK21:DM21)</f>
        <v>1495000</v>
      </c>
      <c r="I21" s="571"/>
      <c r="J21" s="492"/>
      <c r="K21" s="492"/>
      <c r="L21" s="492"/>
      <c r="M21" s="492">
        <f>[3]Zastupitelé!$B$10</f>
        <v>85000</v>
      </c>
      <c r="N21" s="492">
        <f>'[2]Volby '!$B$11</f>
        <v>0</v>
      </c>
      <c r="O21" s="492">
        <f t="shared" si="15"/>
        <v>600000</v>
      </c>
      <c r="P21" s="916">
        <f>[3]Správa!$D$11</f>
        <v>600000</v>
      </c>
      <c r="Q21" s="917">
        <f>[3]Správa!$E$11</f>
        <v>0</v>
      </c>
      <c r="R21" s="492"/>
      <c r="S21" s="927">
        <f t="shared" si="37"/>
        <v>0</v>
      </c>
      <c r="T21" s="492">
        <f>'[3]Pečovatelská služba'!$B$11</f>
        <v>60000</v>
      </c>
      <c r="U21" s="492"/>
      <c r="V21" s="492">
        <f>'[3]Městská policie'!$B$18</f>
        <v>160000</v>
      </c>
      <c r="W21" s="492"/>
      <c r="X21" s="492">
        <f>[3]Knihovna!$B$11</f>
        <v>70000</v>
      </c>
      <c r="Y21" s="492"/>
      <c r="Z21" s="492">
        <f>[3]Kultura!$B$4</f>
        <v>150000</v>
      </c>
      <c r="AA21" s="492">
        <f t="shared" si="16"/>
        <v>100000</v>
      </c>
      <c r="AB21" s="916">
        <f>[4]Byty!$D$4</f>
        <v>100000</v>
      </c>
      <c r="AC21" s="916">
        <f>[4]Byty!$E$4</f>
        <v>0</v>
      </c>
      <c r="AD21" s="492">
        <f t="shared" si="17"/>
        <v>20000</v>
      </c>
      <c r="AE21" s="916">
        <f>[4]DPS!$B$4</f>
        <v>20000</v>
      </c>
      <c r="AF21" s="916"/>
      <c r="AG21" s="492">
        <f t="shared" si="18"/>
        <v>0</v>
      </c>
      <c r="AH21" s="916"/>
      <c r="AI21" s="916"/>
      <c r="AJ21" s="492">
        <f>[3]Hasiči!$B$11</f>
        <v>150000</v>
      </c>
      <c r="AK21" s="492"/>
      <c r="AL21" s="492"/>
      <c r="AM21" s="492">
        <f t="shared" si="19"/>
        <v>0</v>
      </c>
      <c r="AN21" s="916"/>
      <c r="AO21" s="916"/>
      <c r="AP21" s="492">
        <f t="shared" si="20"/>
        <v>0</v>
      </c>
      <c r="AQ21" s="916"/>
      <c r="AR21" s="916"/>
      <c r="AS21" s="492">
        <f t="shared" si="21"/>
        <v>0</v>
      </c>
      <c r="AT21" s="916"/>
      <c r="AU21" s="916"/>
      <c r="AV21" s="492">
        <f t="shared" si="22"/>
        <v>50000</v>
      </c>
      <c r="AW21" s="916">
        <f>[3]č.p.65!$D$4</f>
        <v>50000</v>
      </c>
      <c r="AX21" s="916">
        <f>[3]č.p.65!$E$4</f>
        <v>0</v>
      </c>
      <c r="AY21" s="492">
        <f t="shared" si="23"/>
        <v>0</v>
      </c>
      <c r="AZ21" s="916"/>
      <c r="BA21" s="916"/>
      <c r="BB21" s="492">
        <f t="shared" si="24"/>
        <v>0</v>
      </c>
      <c r="BC21" s="916"/>
      <c r="BD21" s="916"/>
      <c r="BE21" s="492">
        <f t="shared" si="25"/>
        <v>0</v>
      </c>
      <c r="BF21" s="916"/>
      <c r="BG21" s="916"/>
      <c r="BH21" s="492">
        <f t="shared" si="26"/>
        <v>0</v>
      </c>
      <c r="BI21" s="916"/>
      <c r="BJ21" s="916"/>
      <c r="BK21" s="492"/>
      <c r="BL21" s="492">
        <f t="shared" si="27"/>
        <v>0</v>
      </c>
      <c r="BM21" s="916"/>
      <c r="BN21" s="916"/>
      <c r="BO21" s="492"/>
      <c r="BP21" s="492">
        <f t="shared" si="28"/>
        <v>0</v>
      </c>
      <c r="BQ21" s="916"/>
      <c r="BR21" s="916"/>
      <c r="BS21" s="492">
        <f t="shared" si="29"/>
        <v>50000</v>
      </c>
      <c r="BT21" s="916">
        <f>[4]Silnice!$D$4</f>
        <v>50000</v>
      </c>
      <c r="BU21" s="916">
        <f>[4]Silnice!$E$4</f>
        <v>0</v>
      </c>
      <c r="BV21" s="492"/>
      <c r="BW21" s="492">
        <f t="shared" si="30"/>
        <v>0</v>
      </c>
      <c r="BX21" s="916"/>
      <c r="BY21" s="916"/>
      <c r="BZ21" s="492"/>
      <c r="CA21" s="916"/>
      <c r="CB21" s="916"/>
      <c r="CC21" s="492"/>
      <c r="CD21" s="916"/>
      <c r="CE21" s="916"/>
      <c r="CF21" s="492"/>
      <c r="CG21" s="916"/>
      <c r="CH21" s="916"/>
      <c r="CI21" s="492">
        <f t="shared" si="31"/>
        <v>0</v>
      </c>
      <c r="CJ21" s="916"/>
      <c r="CK21" s="916"/>
      <c r="CL21" s="492"/>
      <c r="CM21" s="492">
        <f t="shared" si="32"/>
        <v>0</v>
      </c>
      <c r="CN21" s="916"/>
      <c r="CO21" s="916"/>
      <c r="CP21" s="492">
        <f t="shared" si="33"/>
        <v>0</v>
      </c>
      <c r="CQ21" s="916"/>
      <c r="CR21" s="916"/>
      <c r="CS21" s="492">
        <f t="shared" si="34"/>
        <v>0</v>
      </c>
      <c r="CT21" s="916"/>
      <c r="CU21" s="916"/>
      <c r="CV21" s="492"/>
      <c r="CW21" s="492">
        <f t="shared" si="35"/>
        <v>0</v>
      </c>
      <c r="CX21" s="916"/>
      <c r="CY21" s="916"/>
      <c r="CZ21" s="916"/>
      <c r="DA21" s="492"/>
      <c r="DB21" s="492"/>
      <c r="DC21" s="492"/>
      <c r="DD21" s="492"/>
      <c r="DE21" s="492"/>
      <c r="DF21" s="492"/>
      <c r="DG21" s="492"/>
      <c r="DH21" s="492"/>
      <c r="DI21" s="916"/>
      <c r="DJ21" s="916"/>
      <c r="DK21" s="492"/>
      <c r="DL21" s="492"/>
      <c r="DM21" s="919"/>
      <c r="DN21" s="527">
        <f t="shared" si="36"/>
        <v>1495000</v>
      </c>
      <c r="DO21" s="912">
        <f t="shared" si="13"/>
        <v>0</v>
      </c>
      <c r="DP21" s="913"/>
      <c r="DQ21" s="915">
        <f t="shared" si="14"/>
        <v>0</v>
      </c>
      <c r="DS21" s="762"/>
    </row>
    <row r="22" spans="1:123" ht="13.5" customHeight="1" outlineLevel="1" x14ac:dyDescent="0.25">
      <c r="A22" s="559">
        <v>5139</v>
      </c>
      <c r="B22" s="542" t="s">
        <v>105</v>
      </c>
      <c r="C22" s="915">
        <v>3648101</v>
      </c>
      <c r="D22" s="915">
        <v>1532905</v>
      </c>
      <c r="E22" s="915">
        <v>1824000</v>
      </c>
      <c r="F22" s="915">
        <v>1724000</v>
      </c>
      <c r="G22" s="915">
        <v>1724000</v>
      </c>
      <c r="H22" s="915">
        <f t="shared" si="38"/>
        <v>1704000</v>
      </c>
      <c r="I22" s="571"/>
      <c r="J22" s="492"/>
      <c r="K22" s="492"/>
      <c r="L22" s="492"/>
      <c r="M22" s="492">
        <f>[3]Zastupitelé!$B$17</f>
        <v>45000</v>
      </c>
      <c r="N22" s="492">
        <f>'[2]Volby '!$B$18</f>
        <v>0</v>
      </c>
      <c r="O22" s="492">
        <f t="shared" si="15"/>
        <v>650000</v>
      </c>
      <c r="P22" s="916">
        <f>[3]Správa!$D$20</f>
        <v>580000</v>
      </c>
      <c r="Q22" s="917">
        <f>[3]Správa!$E$20</f>
        <v>70000</v>
      </c>
      <c r="R22" s="492"/>
      <c r="S22" s="928">
        <f>+Q22+AO22+BU22+BR22+BN22+CZ22+AC22+AI22+AR22+AU22+AX22+BA22+BD22+BG22+BJ22+BY22+CK22+CO22+CR22+CU22+AF22+DJ22</f>
        <v>90000</v>
      </c>
      <c r="T22" s="492">
        <f>'[3]Pečovatelská služba'!$B$18</f>
        <v>70000</v>
      </c>
      <c r="U22" s="492"/>
      <c r="V22" s="492">
        <f>'[3]Městská policie'!$B$28</f>
        <v>30000</v>
      </c>
      <c r="W22" s="492">
        <f>[3]Kronika!$B$11</f>
        <v>4000</v>
      </c>
      <c r="X22" s="492">
        <f>[3]Knihovna!$B$19</f>
        <v>40000</v>
      </c>
      <c r="Y22" s="492"/>
      <c r="Z22" s="492">
        <f>[3]Kultura!$B$13</f>
        <v>60000</v>
      </c>
      <c r="AA22" s="492">
        <f t="shared" si="16"/>
        <v>20000</v>
      </c>
      <c r="AB22" s="916">
        <f>[4]Byty!$D$11</f>
        <v>20000</v>
      </c>
      <c r="AC22" s="916">
        <f>[4]Byty!$E$11</f>
        <v>0</v>
      </c>
      <c r="AD22" s="492">
        <f t="shared" si="17"/>
        <v>50000</v>
      </c>
      <c r="AE22" s="916">
        <f>[4]DPS!$B$12</f>
        <v>50000</v>
      </c>
      <c r="AF22" s="916"/>
      <c r="AG22" s="492">
        <f t="shared" si="18"/>
        <v>0</v>
      </c>
      <c r="AH22" s="916"/>
      <c r="AI22" s="916"/>
      <c r="AJ22" s="492">
        <f>+[4]Hasiči!$B$4+[3]Hasiči!$B$19</f>
        <v>85000</v>
      </c>
      <c r="AK22" s="492"/>
      <c r="AL22" s="492"/>
      <c r="AM22" s="492">
        <f t="shared" ref="AM22" si="39">+AN22+AO22</f>
        <v>50000</v>
      </c>
      <c r="AN22" s="916">
        <f>[4]Hřbitov!$D$4</f>
        <v>30000</v>
      </c>
      <c r="AO22" s="916">
        <f>[4]Hřbitov!$E$4</f>
        <v>20000</v>
      </c>
      <c r="AP22" s="492">
        <f t="shared" si="20"/>
        <v>0</v>
      </c>
      <c r="AQ22" s="916"/>
      <c r="AR22" s="916"/>
      <c r="AS22" s="492">
        <f t="shared" si="21"/>
        <v>0</v>
      </c>
      <c r="AT22" s="916"/>
      <c r="AU22" s="916"/>
      <c r="AV22" s="492">
        <f t="shared" si="22"/>
        <v>30000</v>
      </c>
      <c r="AW22" s="916">
        <f>[3]č.p.65!$D$11</f>
        <v>30000</v>
      </c>
      <c r="AX22" s="916">
        <f>[3]č.p.65!$E$11</f>
        <v>0</v>
      </c>
      <c r="AY22" s="492">
        <f t="shared" si="23"/>
        <v>0</v>
      </c>
      <c r="AZ22" s="916"/>
      <c r="BA22" s="916"/>
      <c r="BB22" s="492">
        <f t="shared" si="24"/>
        <v>0</v>
      </c>
      <c r="BC22" s="916"/>
      <c r="BD22" s="916"/>
      <c r="BE22" s="492">
        <f t="shared" si="25"/>
        <v>0</v>
      </c>
      <c r="BF22" s="916"/>
      <c r="BG22" s="916"/>
      <c r="BH22" s="492">
        <f t="shared" si="26"/>
        <v>0</v>
      </c>
      <c r="BI22" s="916"/>
      <c r="BJ22" s="916"/>
      <c r="BK22" s="492"/>
      <c r="BL22" s="492">
        <f t="shared" si="27"/>
        <v>0</v>
      </c>
      <c r="BM22" s="916"/>
      <c r="BN22" s="916"/>
      <c r="BO22" s="492"/>
      <c r="BP22" s="492">
        <f t="shared" si="28"/>
        <v>150000</v>
      </c>
      <c r="BQ22" s="916">
        <f>[4]VO!$D$4</f>
        <v>150000</v>
      </c>
      <c r="BR22" s="916">
        <f>[4]VO!$E$4</f>
        <v>0</v>
      </c>
      <c r="BS22" s="492">
        <f t="shared" si="29"/>
        <v>200000</v>
      </c>
      <c r="BT22" s="916">
        <f>'[5]Silnice nákup materiálu'!$D$3</f>
        <v>200000</v>
      </c>
      <c r="BU22" s="916">
        <f>'[5]Silnice nákup materiálu'!$E$3</f>
        <v>0</v>
      </c>
      <c r="BV22" s="492"/>
      <c r="BW22" s="492">
        <f t="shared" si="30"/>
        <v>0</v>
      </c>
      <c r="BX22" s="916"/>
      <c r="BY22" s="916"/>
      <c r="BZ22" s="492"/>
      <c r="CA22" s="916"/>
      <c r="CB22" s="916"/>
      <c r="CC22" s="492"/>
      <c r="CD22" s="916"/>
      <c r="CE22" s="916"/>
      <c r="CF22" s="492"/>
      <c r="CG22" s="916"/>
      <c r="CH22" s="916"/>
      <c r="CI22" s="492">
        <f t="shared" si="31"/>
        <v>0</v>
      </c>
      <c r="CJ22" s="916"/>
      <c r="CK22" s="916"/>
      <c r="CL22" s="492"/>
      <c r="CM22" s="492">
        <f t="shared" si="32"/>
        <v>0</v>
      </c>
      <c r="CN22" s="916"/>
      <c r="CO22" s="916"/>
      <c r="CP22" s="492">
        <f t="shared" si="33"/>
        <v>0</v>
      </c>
      <c r="CQ22" s="916"/>
      <c r="CR22" s="916"/>
      <c r="CS22" s="492">
        <f t="shared" si="34"/>
        <v>0</v>
      </c>
      <c r="CT22" s="916"/>
      <c r="CU22" s="916"/>
      <c r="CV22" s="492"/>
      <c r="CW22" s="866">
        <f>+CX22+CY22+CZ22</f>
        <v>220000</v>
      </c>
      <c r="CX22" s="916">
        <f>'[6]Příroda 3749'!$D$4</f>
        <v>220000</v>
      </c>
      <c r="CY22" s="916"/>
      <c r="CZ22" s="929">
        <f>'[6]Příroda 3749'!$E$4</f>
        <v>0</v>
      </c>
      <c r="DA22" s="492"/>
      <c r="DB22" s="492"/>
      <c r="DC22" s="492"/>
      <c r="DD22" s="492"/>
      <c r="DE22" s="492">
        <f>'[6]Park Úvaly 3749-1'!$B$4</f>
        <v>0</v>
      </c>
      <c r="DF22" s="492">
        <f>'[6]Park Úvaly 3749-8 dosádba'!$B$4</f>
        <v>0</v>
      </c>
      <c r="DG22" s="492"/>
      <c r="DH22" s="492"/>
      <c r="DI22" s="916"/>
      <c r="DJ22" s="929"/>
      <c r="DK22" s="492"/>
      <c r="DL22" s="492"/>
      <c r="DM22" s="919"/>
      <c r="DN22" s="527">
        <f t="shared" si="36"/>
        <v>1704000</v>
      </c>
      <c r="DO22" s="912">
        <f t="shared" si="13"/>
        <v>0</v>
      </c>
      <c r="DP22" s="930"/>
      <c r="DQ22" s="915">
        <f t="shared" si="14"/>
        <v>90000</v>
      </c>
      <c r="DS22" s="762"/>
    </row>
    <row r="23" spans="1:123" ht="13.5" customHeight="1" outlineLevel="1" x14ac:dyDescent="0.25">
      <c r="A23" s="559">
        <v>5151</v>
      </c>
      <c r="B23" s="542" t="s">
        <v>106</v>
      </c>
      <c r="C23" s="915">
        <v>673000</v>
      </c>
      <c r="D23" s="915">
        <v>723000</v>
      </c>
      <c r="E23" s="915">
        <v>688000</v>
      </c>
      <c r="F23" s="915">
        <v>688000</v>
      </c>
      <c r="G23" s="915">
        <v>688000</v>
      </c>
      <c r="H23" s="915">
        <f t="shared" si="38"/>
        <v>688000</v>
      </c>
      <c r="I23" s="571"/>
      <c r="J23" s="492"/>
      <c r="K23" s="492"/>
      <c r="L23" s="492"/>
      <c r="M23" s="492"/>
      <c r="N23" s="492"/>
      <c r="O23" s="492">
        <f t="shared" si="15"/>
        <v>35000</v>
      </c>
      <c r="P23" s="916">
        <f>[2]Správa!$B$4</f>
        <v>35000</v>
      </c>
      <c r="Q23" s="917"/>
      <c r="R23" s="492"/>
      <c r="S23" s="927">
        <f t="shared" ref="S23:S50" si="40">+Q23+AO23+BU23+BR23+BN23+CZ23+AC23+AI23+AR23+AU23+AX23+BA23+BD23+BG23+BJ23+BY23+CK23+CO23+CR23+CU23+AF23+DJ23</f>
        <v>0</v>
      </c>
      <c r="T23" s="492"/>
      <c r="U23" s="492"/>
      <c r="V23" s="492"/>
      <c r="W23" s="492"/>
      <c r="X23" s="492">
        <f>[2]Knihovna!$B$4</f>
        <v>5000</v>
      </c>
      <c r="Y23" s="492"/>
      <c r="Z23" s="492"/>
      <c r="AA23" s="492">
        <f t="shared" si="16"/>
        <v>30000</v>
      </c>
      <c r="AB23" s="916">
        <f>[2]Byty!$B$4</f>
        <v>30000</v>
      </c>
      <c r="AC23" s="916"/>
      <c r="AD23" s="492">
        <f t="shared" si="17"/>
        <v>500000</v>
      </c>
      <c r="AE23" s="916">
        <f>+[2]DPS!$B$4</f>
        <v>500000</v>
      </c>
      <c r="AF23" s="916"/>
      <c r="AG23" s="492">
        <f t="shared" si="18"/>
        <v>30000</v>
      </c>
      <c r="AH23" s="916">
        <f>[2]Nebyty!$B$4</f>
        <v>30000</v>
      </c>
      <c r="AI23" s="916"/>
      <c r="AJ23" s="492">
        <f>[2]Hasiči!$B$4</f>
        <v>3000</v>
      </c>
      <c r="AK23" s="492"/>
      <c r="AL23" s="492"/>
      <c r="AM23" s="492">
        <f t="shared" si="19"/>
        <v>20000</v>
      </c>
      <c r="AN23" s="916">
        <f>[2]Hřbitov!$B$4+[4]Hřbitov!$B$11</f>
        <v>20000</v>
      </c>
      <c r="AO23" s="916"/>
      <c r="AP23" s="492">
        <f>+AQ23+AR23</f>
        <v>0</v>
      </c>
      <c r="AQ23" s="916"/>
      <c r="AR23" s="916"/>
      <c r="AS23" s="492">
        <f t="shared" si="21"/>
        <v>30000</v>
      </c>
      <c r="AT23" s="916">
        <f>[2]ZŠ!$B$4</f>
        <v>30000</v>
      </c>
      <c r="AU23" s="916"/>
      <c r="AV23" s="492">
        <f t="shared" si="22"/>
        <v>20000</v>
      </c>
      <c r="AW23" s="916">
        <f>[2]č.p.65!$B$4</f>
        <v>20000</v>
      </c>
      <c r="AX23" s="916"/>
      <c r="AY23" s="492">
        <f t="shared" si="23"/>
        <v>0</v>
      </c>
      <c r="AZ23" s="916"/>
      <c r="BA23" s="916"/>
      <c r="BB23" s="492">
        <f t="shared" si="24"/>
        <v>0</v>
      </c>
      <c r="BC23" s="916"/>
      <c r="BD23" s="916"/>
      <c r="BE23" s="492">
        <f t="shared" si="25"/>
        <v>0</v>
      </c>
      <c r="BF23" s="916"/>
      <c r="BG23" s="916"/>
      <c r="BH23" s="492">
        <f t="shared" si="26"/>
        <v>0</v>
      </c>
      <c r="BI23" s="916"/>
      <c r="BJ23" s="916"/>
      <c r="BK23" s="492"/>
      <c r="BL23" s="492">
        <f t="shared" si="27"/>
        <v>0</v>
      </c>
      <c r="BM23" s="916"/>
      <c r="BN23" s="916"/>
      <c r="BO23" s="492"/>
      <c r="BP23" s="492">
        <f t="shared" si="28"/>
        <v>0</v>
      </c>
      <c r="BQ23" s="916"/>
      <c r="BR23" s="916"/>
      <c r="BS23" s="492">
        <f t="shared" si="29"/>
        <v>15000</v>
      </c>
      <c r="BT23" s="916">
        <f>[2]Silnice!$B$4</f>
        <v>15000</v>
      </c>
      <c r="BU23" s="916"/>
      <c r="BV23" s="492"/>
      <c r="BW23" s="492">
        <f t="shared" si="30"/>
        <v>0</v>
      </c>
      <c r="BX23" s="916"/>
      <c r="BY23" s="916"/>
      <c r="BZ23" s="492"/>
      <c r="CA23" s="916"/>
      <c r="CB23" s="916"/>
      <c r="CC23" s="492"/>
      <c r="CD23" s="916"/>
      <c r="CE23" s="916"/>
      <c r="CF23" s="492"/>
      <c r="CG23" s="916"/>
      <c r="CH23" s="916"/>
      <c r="CI23" s="492">
        <f t="shared" si="31"/>
        <v>0</v>
      </c>
      <c r="CJ23" s="916"/>
      <c r="CK23" s="916"/>
      <c r="CL23" s="492"/>
      <c r="CM23" s="492">
        <f t="shared" si="32"/>
        <v>0</v>
      </c>
      <c r="CN23" s="916"/>
      <c r="CO23" s="916"/>
      <c r="CP23" s="492">
        <f t="shared" si="33"/>
        <v>0</v>
      </c>
      <c r="CQ23" s="916"/>
      <c r="CR23" s="916"/>
      <c r="CS23" s="492">
        <f t="shared" si="34"/>
        <v>0</v>
      </c>
      <c r="CT23" s="916"/>
      <c r="CU23" s="916"/>
      <c r="CV23" s="492"/>
      <c r="CW23" s="492">
        <f t="shared" si="35"/>
        <v>0</v>
      </c>
      <c r="CX23" s="916"/>
      <c r="CY23" s="916"/>
      <c r="CZ23" s="916"/>
      <c r="DA23" s="492"/>
      <c r="DB23" s="492"/>
      <c r="DC23" s="492"/>
      <c r="DD23" s="492"/>
      <c r="DE23" s="492"/>
      <c r="DF23" s="492"/>
      <c r="DG23" s="492"/>
      <c r="DH23" s="492"/>
      <c r="DI23" s="916"/>
      <c r="DJ23" s="916"/>
      <c r="DK23" s="492"/>
      <c r="DL23" s="492"/>
      <c r="DM23" s="919"/>
      <c r="DN23" s="527">
        <f t="shared" si="36"/>
        <v>688000</v>
      </c>
      <c r="DO23" s="912">
        <f t="shared" si="13"/>
        <v>0</v>
      </c>
      <c r="DP23" s="913"/>
      <c r="DQ23" s="915">
        <f t="shared" si="14"/>
        <v>0</v>
      </c>
      <c r="DS23" s="762"/>
    </row>
    <row r="24" spans="1:123" s="652" customFormat="1" ht="13.5" customHeight="1" outlineLevel="1" x14ac:dyDescent="0.3">
      <c r="A24" s="559">
        <v>5153</v>
      </c>
      <c r="B24" s="542" t="s">
        <v>107</v>
      </c>
      <c r="C24" s="915">
        <v>2955000</v>
      </c>
      <c r="D24" s="915">
        <v>2955000</v>
      </c>
      <c r="E24" s="915">
        <v>2955000</v>
      </c>
      <c r="F24" s="915">
        <v>2955000</v>
      </c>
      <c r="G24" s="915">
        <v>2955000</v>
      </c>
      <c r="H24" s="915">
        <f t="shared" si="38"/>
        <v>2955000</v>
      </c>
      <c r="I24" s="571"/>
      <c r="J24" s="492"/>
      <c r="K24" s="492"/>
      <c r="L24" s="492"/>
      <c r="M24" s="492"/>
      <c r="N24" s="492"/>
      <c r="O24" s="492">
        <f t="shared" si="15"/>
        <v>350000</v>
      </c>
      <c r="P24" s="916">
        <f>[2]Správa!$B$11</f>
        <v>350000</v>
      </c>
      <c r="Q24" s="917"/>
      <c r="R24" s="492"/>
      <c r="S24" s="927">
        <f t="shared" si="40"/>
        <v>0</v>
      </c>
      <c r="T24" s="492"/>
      <c r="U24" s="492"/>
      <c r="V24" s="492"/>
      <c r="W24" s="492"/>
      <c r="X24" s="492">
        <f>+[2]Knihovna!$B$11</f>
        <v>5000</v>
      </c>
      <c r="Y24" s="492"/>
      <c r="Z24" s="492"/>
      <c r="AA24" s="492">
        <f t="shared" si="16"/>
        <v>120000</v>
      </c>
      <c r="AB24" s="916">
        <f>+[2]Byty!$B$11</f>
        <v>120000</v>
      </c>
      <c r="AC24" s="916"/>
      <c r="AD24" s="492">
        <f t="shared" si="17"/>
        <v>930000</v>
      </c>
      <c r="AE24" s="916">
        <f>[2]DPS!$B$11</f>
        <v>930000</v>
      </c>
      <c r="AF24" s="916"/>
      <c r="AG24" s="492">
        <f t="shared" si="18"/>
        <v>500000</v>
      </c>
      <c r="AH24" s="916">
        <f>[2]Nebyty!$B$11</f>
        <v>500000</v>
      </c>
      <c r="AI24" s="916"/>
      <c r="AJ24" s="492">
        <f>+[2]Hasiči!$B$11</f>
        <v>50000</v>
      </c>
      <c r="AK24" s="492"/>
      <c r="AL24" s="492"/>
      <c r="AM24" s="492">
        <f t="shared" si="19"/>
        <v>0</v>
      </c>
      <c r="AN24" s="916"/>
      <c r="AO24" s="916"/>
      <c r="AP24" s="492">
        <f t="shared" si="20"/>
        <v>0</v>
      </c>
      <c r="AQ24" s="916"/>
      <c r="AR24" s="916"/>
      <c r="AS24" s="492">
        <f t="shared" si="21"/>
        <v>900000</v>
      </c>
      <c r="AT24" s="916">
        <f>[2]ZŠ!$B$11</f>
        <v>900000</v>
      </c>
      <c r="AU24" s="916"/>
      <c r="AV24" s="492">
        <f t="shared" si="22"/>
        <v>100000</v>
      </c>
      <c r="AW24" s="916">
        <f>[2]č.p.65!$B$11</f>
        <v>100000</v>
      </c>
      <c r="AX24" s="916"/>
      <c r="AY24" s="492">
        <f t="shared" si="23"/>
        <v>0</v>
      </c>
      <c r="AZ24" s="916"/>
      <c r="BA24" s="916"/>
      <c r="BB24" s="492">
        <f t="shared" si="24"/>
        <v>0</v>
      </c>
      <c r="BC24" s="916"/>
      <c r="BD24" s="916"/>
      <c r="BE24" s="492">
        <f t="shared" si="25"/>
        <v>0</v>
      </c>
      <c r="BF24" s="916"/>
      <c r="BG24" s="916"/>
      <c r="BH24" s="492">
        <f t="shared" si="26"/>
        <v>0</v>
      </c>
      <c r="BI24" s="916"/>
      <c r="BJ24" s="916"/>
      <c r="BK24" s="492"/>
      <c r="BL24" s="492">
        <f t="shared" si="27"/>
        <v>0</v>
      </c>
      <c r="BM24" s="916"/>
      <c r="BN24" s="916"/>
      <c r="BO24" s="492"/>
      <c r="BP24" s="492">
        <f t="shared" si="28"/>
        <v>0</v>
      </c>
      <c r="BQ24" s="916"/>
      <c r="BR24" s="916"/>
      <c r="BS24" s="492">
        <f t="shared" si="29"/>
        <v>0</v>
      </c>
      <c r="BT24" s="916"/>
      <c r="BU24" s="916"/>
      <c r="BV24" s="492"/>
      <c r="BW24" s="492">
        <f t="shared" si="30"/>
        <v>0</v>
      </c>
      <c r="BX24" s="916"/>
      <c r="BY24" s="916"/>
      <c r="BZ24" s="492"/>
      <c r="CA24" s="916"/>
      <c r="CB24" s="916"/>
      <c r="CC24" s="492"/>
      <c r="CD24" s="916"/>
      <c r="CE24" s="916"/>
      <c r="CF24" s="492"/>
      <c r="CG24" s="916"/>
      <c r="CH24" s="916"/>
      <c r="CI24" s="492">
        <f t="shared" si="31"/>
        <v>0</v>
      </c>
      <c r="CJ24" s="916"/>
      <c r="CK24" s="916"/>
      <c r="CL24" s="492"/>
      <c r="CM24" s="492">
        <f t="shared" si="32"/>
        <v>0</v>
      </c>
      <c r="CN24" s="916"/>
      <c r="CO24" s="916"/>
      <c r="CP24" s="492">
        <f t="shared" si="33"/>
        <v>0</v>
      </c>
      <c r="CQ24" s="916"/>
      <c r="CR24" s="916"/>
      <c r="CS24" s="492">
        <f t="shared" si="34"/>
        <v>0</v>
      </c>
      <c r="CT24" s="916"/>
      <c r="CU24" s="916"/>
      <c r="CV24" s="492"/>
      <c r="CW24" s="492">
        <f t="shared" si="35"/>
        <v>0</v>
      </c>
      <c r="CX24" s="916"/>
      <c r="CY24" s="916"/>
      <c r="CZ24" s="916"/>
      <c r="DA24" s="492"/>
      <c r="DB24" s="492"/>
      <c r="DC24" s="492"/>
      <c r="DD24" s="492"/>
      <c r="DE24" s="492"/>
      <c r="DF24" s="492"/>
      <c r="DG24" s="492"/>
      <c r="DH24" s="492"/>
      <c r="DI24" s="916"/>
      <c r="DJ24" s="916"/>
      <c r="DK24" s="492"/>
      <c r="DL24" s="492"/>
      <c r="DM24" s="919"/>
      <c r="DN24" s="527">
        <f t="shared" si="36"/>
        <v>2955000</v>
      </c>
      <c r="DO24" s="912">
        <f t="shared" si="13"/>
        <v>0</v>
      </c>
      <c r="DP24" s="913"/>
      <c r="DQ24" s="915">
        <f t="shared" si="14"/>
        <v>0</v>
      </c>
      <c r="DS24" s="762"/>
    </row>
    <row r="25" spans="1:123" ht="13.5" customHeight="1" outlineLevel="1" x14ac:dyDescent="0.25">
      <c r="A25" s="559">
        <v>5154</v>
      </c>
      <c r="B25" s="542" t="s">
        <v>108</v>
      </c>
      <c r="C25" s="915">
        <v>2462600</v>
      </c>
      <c r="D25" s="915">
        <v>3239000</v>
      </c>
      <c r="E25" s="915">
        <v>3309000</v>
      </c>
      <c r="F25" s="915">
        <v>3309000</v>
      </c>
      <c r="G25" s="915">
        <v>3319000</v>
      </c>
      <c r="H25" s="915">
        <f t="shared" si="38"/>
        <v>3336000</v>
      </c>
      <c r="I25" s="571"/>
      <c r="J25" s="492"/>
      <c r="K25" s="492"/>
      <c r="L25" s="492"/>
      <c r="M25" s="492"/>
      <c r="N25" s="492"/>
      <c r="O25" s="492">
        <f t="shared" si="15"/>
        <v>350000</v>
      </c>
      <c r="P25" s="916">
        <f>[2]Správa!$B$18</f>
        <v>350000</v>
      </c>
      <c r="Q25" s="917"/>
      <c r="R25" s="492"/>
      <c r="S25" s="927">
        <f t="shared" si="40"/>
        <v>0</v>
      </c>
      <c r="T25" s="492"/>
      <c r="U25" s="492"/>
      <c r="V25" s="492"/>
      <c r="W25" s="492"/>
      <c r="X25" s="492">
        <f>+[2]Knihovna!$B$18</f>
        <v>136000</v>
      </c>
      <c r="Y25" s="492"/>
      <c r="Z25" s="492"/>
      <c r="AA25" s="492">
        <f t="shared" si="16"/>
        <v>100000</v>
      </c>
      <c r="AB25" s="916">
        <f>[2]Byty!$B$18</f>
        <v>100000</v>
      </c>
      <c r="AC25" s="916"/>
      <c r="AD25" s="492">
        <f t="shared" si="17"/>
        <v>300000</v>
      </c>
      <c r="AE25" s="916">
        <f>[2]DPS!$B$18</f>
        <v>300000</v>
      </c>
      <c r="AF25" s="916"/>
      <c r="AG25" s="492">
        <f t="shared" si="18"/>
        <v>359000</v>
      </c>
      <c r="AH25" s="916">
        <f>[2]Nebyty!$B$18</f>
        <v>359000</v>
      </c>
      <c r="AI25" s="916"/>
      <c r="AJ25" s="492">
        <f>[2]Hasiči!$B$18</f>
        <v>43000</v>
      </c>
      <c r="AK25" s="492"/>
      <c r="AL25" s="492">
        <f>[2]TESKO!$B$4</f>
        <v>31000</v>
      </c>
      <c r="AM25" s="492">
        <f t="shared" si="19"/>
        <v>0</v>
      </c>
      <c r="AN25" s="916"/>
      <c r="AO25" s="916"/>
      <c r="AP25" s="492">
        <f t="shared" si="20"/>
        <v>180000</v>
      </c>
      <c r="AQ25" s="916">
        <f>'[2]Sportovní zařízení'!$B$4</f>
        <v>180000</v>
      </c>
      <c r="AR25" s="916"/>
      <c r="AS25" s="492">
        <f t="shared" si="21"/>
        <v>250000</v>
      </c>
      <c r="AT25" s="916">
        <f>[2]ZŠ!$B$18</f>
        <v>250000</v>
      </c>
      <c r="AU25" s="916"/>
      <c r="AV25" s="492">
        <f t="shared" si="22"/>
        <v>100000</v>
      </c>
      <c r="AW25" s="916">
        <f>[2]č.p.65!$B$18</f>
        <v>100000</v>
      </c>
      <c r="AX25" s="916"/>
      <c r="AY25" s="492">
        <f t="shared" si="23"/>
        <v>0</v>
      </c>
      <c r="AZ25" s="916"/>
      <c r="BA25" s="916"/>
      <c r="BB25" s="492">
        <f t="shared" si="24"/>
        <v>0</v>
      </c>
      <c r="BC25" s="916"/>
      <c r="BD25" s="916"/>
      <c r="BE25" s="492">
        <f t="shared" si="25"/>
        <v>0</v>
      </c>
      <c r="BF25" s="916"/>
      <c r="BG25" s="916"/>
      <c r="BH25" s="492">
        <f t="shared" si="26"/>
        <v>0</v>
      </c>
      <c r="BI25" s="916"/>
      <c r="BJ25" s="916"/>
      <c r="BK25" s="492"/>
      <c r="BL25" s="492">
        <f t="shared" si="27"/>
        <v>0</v>
      </c>
      <c r="BM25" s="916"/>
      <c r="BN25" s="916"/>
      <c r="BO25" s="492"/>
      <c r="BP25" s="492">
        <f t="shared" si="28"/>
        <v>1012000</v>
      </c>
      <c r="BQ25" s="916">
        <f>[4]VO!$D$12</f>
        <v>1012000</v>
      </c>
      <c r="BR25" s="916">
        <f>[4]VO!$E$12</f>
        <v>0</v>
      </c>
      <c r="BS25" s="492">
        <f t="shared" si="29"/>
        <v>170000</v>
      </c>
      <c r="BT25" s="916">
        <f>[4]Silnice!$D$12</f>
        <v>170000</v>
      </c>
      <c r="BU25" s="916">
        <f>[4]Silnice!$E$12</f>
        <v>0</v>
      </c>
      <c r="BV25" s="492">
        <f>[5]Doprava!$B$4</f>
        <v>30000</v>
      </c>
      <c r="BW25" s="492">
        <f t="shared" si="30"/>
        <v>255000</v>
      </c>
      <c r="BX25" s="916">
        <f>[4]Vodovod!$D$4</f>
        <v>255000</v>
      </c>
      <c r="BY25" s="916">
        <f>[4]Vodovod!$E$4</f>
        <v>0</v>
      </c>
      <c r="BZ25" s="492"/>
      <c r="CA25" s="916"/>
      <c r="CB25" s="916"/>
      <c r="CC25" s="492">
        <f>+CD25+CE25</f>
        <v>15000</v>
      </c>
      <c r="CD25" s="916">
        <f>[4]Kanalizace!$B$4</f>
        <v>15000</v>
      </c>
      <c r="CE25" s="916"/>
      <c r="CF25" s="492"/>
      <c r="CG25" s="916"/>
      <c r="CH25" s="916"/>
      <c r="CI25" s="492">
        <f t="shared" si="31"/>
        <v>0</v>
      </c>
      <c r="CJ25" s="916"/>
      <c r="CK25" s="916"/>
      <c r="CL25" s="492"/>
      <c r="CM25" s="492">
        <f t="shared" si="32"/>
        <v>0</v>
      </c>
      <c r="CN25" s="916"/>
      <c r="CO25" s="916"/>
      <c r="CP25" s="492">
        <f t="shared" si="33"/>
        <v>0</v>
      </c>
      <c r="CQ25" s="916"/>
      <c r="CR25" s="916"/>
      <c r="CS25" s="492">
        <f t="shared" si="34"/>
        <v>0</v>
      </c>
      <c r="CT25" s="916"/>
      <c r="CU25" s="916"/>
      <c r="CV25" s="492"/>
      <c r="CW25" s="492">
        <f t="shared" si="35"/>
        <v>0</v>
      </c>
      <c r="CX25" s="916"/>
      <c r="CY25" s="916"/>
      <c r="CZ25" s="916"/>
      <c r="DA25" s="492"/>
      <c r="DB25" s="492"/>
      <c r="DC25" s="492"/>
      <c r="DD25" s="492"/>
      <c r="DE25" s="492"/>
      <c r="DF25" s="492"/>
      <c r="DG25" s="492"/>
      <c r="DH25" s="492">
        <f>+DI25+DJ25</f>
        <v>5000</v>
      </c>
      <c r="DI25" s="916">
        <f>'[6]TSÚ-Sběrný dvůr 3722-36'!$B$4</f>
        <v>5000</v>
      </c>
      <c r="DJ25" s="916"/>
      <c r="DK25" s="492"/>
      <c r="DL25" s="492"/>
      <c r="DM25" s="919"/>
      <c r="DN25" s="527">
        <f t="shared" si="36"/>
        <v>3336000</v>
      </c>
      <c r="DO25" s="912">
        <f t="shared" si="13"/>
        <v>0</v>
      </c>
      <c r="DP25" s="913"/>
      <c r="DQ25" s="915">
        <f t="shared" si="14"/>
        <v>0</v>
      </c>
      <c r="DS25" s="762"/>
    </row>
    <row r="26" spans="1:123" ht="13.5" customHeight="1" outlineLevel="1" x14ac:dyDescent="0.25">
      <c r="A26" s="559">
        <v>5156</v>
      </c>
      <c r="B26" s="542" t="s">
        <v>109</v>
      </c>
      <c r="C26" s="915">
        <v>400000</v>
      </c>
      <c r="D26" s="915">
        <v>362000</v>
      </c>
      <c r="E26" s="915">
        <v>300000</v>
      </c>
      <c r="F26" s="915">
        <v>350000</v>
      </c>
      <c r="G26" s="915">
        <v>350000</v>
      </c>
      <c r="H26" s="915">
        <f t="shared" si="38"/>
        <v>350000</v>
      </c>
      <c r="I26" s="571"/>
      <c r="J26" s="492"/>
      <c r="K26" s="492"/>
      <c r="L26" s="492"/>
      <c r="M26" s="492">
        <f>[3]Zastupitelé!$B$24</f>
        <v>50000</v>
      </c>
      <c r="N26" s="492"/>
      <c r="O26" s="492">
        <f t="shared" si="15"/>
        <v>50000</v>
      </c>
      <c r="P26" s="916">
        <f>[3]Správa!$D$27</f>
        <v>50000</v>
      </c>
      <c r="Q26" s="917">
        <f>[3]Správa!$E$27</f>
        <v>0</v>
      </c>
      <c r="R26" s="492"/>
      <c r="S26" s="927">
        <f t="shared" si="40"/>
        <v>0</v>
      </c>
      <c r="T26" s="492">
        <f>'[3]Pečovatelská služba'!$B$25</f>
        <v>100000</v>
      </c>
      <c r="U26" s="492"/>
      <c r="V26" s="492">
        <f>'[3]Městská policie'!$B$35</f>
        <v>100000</v>
      </c>
      <c r="W26" s="492"/>
      <c r="X26" s="492"/>
      <c r="Y26" s="492"/>
      <c r="Z26" s="492"/>
      <c r="AA26" s="492">
        <f t="shared" si="16"/>
        <v>0</v>
      </c>
      <c r="AB26" s="916"/>
      <c r="AC26" s="916"/>
      <c r="AD26" s="492">
        <f t="shared" si="17"/>
        <v>0</v>
      </c>
      <c r="AE26" s="916"/>
      <c r="AF26" s="916"/>
      <c r="AG26" s="492">
        <f t="shared" si="18"/>
        <v>0</v>
      </c>
      <c r="AH26" s="916"/>
      <c r="AI26" s="916"/>
      <c r="AJ26" s="492">
        <f>[4]Hasiči!$B$11+[3]Hasiči!$B$27</f>
        <v>50000</v>
      </c>
      <c r="AK26" s="492"/>
      <c r="AL26" s="492"/>
      <c r="AM26" s="492">
        <f t="shared" si="19"/>
        <v>0</v>
      </c>
      <c r="AN26" s="916"/>
      <c r="AO26" s="916"/>
      <c r="AP26" s="492">
        <f t="shared" si="20"/>
        <v>0</v>
      </c>
      <c r="AQ26" s="916"/>
      <c r="AR26" s="916"/>
      <c r="AS26" s="492">
        <f t="shared" si="21"/>
        <v>0</v>
      </c>
      <c r="AT26" s="916"/>
      <c r="AU26" s="916"/>
      <c r="AV26" s="492">
        <f t="shared" si="22"/>
        <v>0</v>
      </c>
      <c r="AW26" s="916"/>
      <c r="AX26" s="916"/>
      <c r="AY26" s="492">
        <f t="shared" si="23"/>
        <v>0</v>
      </c>
      <c r="AZ26" s="916"/>
      <c r="BA26" s="916"/>
      <c r="BB26" s="492">
        <f t="shared" si="24"/>
        <v>0</v>
      </c>
      <c r="BC26" s="916"/>
      <c r="BD26" s="916"/>
      <c r="BE26" s="492">
        <f t="shared" si="25"/>
        <v>0</v>
      </c>
      <c r="BF26" s="916"/>
      <c r="BG26" s="916"/>
      <c r="BH26" s="492">
        <f t="shared" si="26"/>
        <v>0</v>
      </c>
      <c r="BI26" s="916"/>
      <c r="BJ26" s="916"/>
      <c r="BK26" s="492"/>
      <c r="BL26" s="492">
        <f t="shared" si="27"/>
        <v>0</v>
      </c>
      <c r="BM26" s="916"/>
      <c r="BN26" s="916"/>
      <c r="BO26" s="492"/>
      <c r="BP26" s="492">
        <f t="shared" si="28"/>
        <v>0</v>
      </c>
      <c r="BQ26" s="916"/>
      <c r="BR26" s="916"/>
      <c r="BS26" s="492">
        <f t="shared" si="29"/>
        <v>0</v>
      </c>
      <c r="BT26" s="916"/>
      <c r="BU26" s="916"/>
      <c r="BV26" s="492"/>
      <c r="BW26" s="492">
        <f t="shared" si="30"/>
        <v>0</v>
      </c>
      <c r="BX26" s="916"/>
      <c r="BY26" s="916"/>
      <c r="BZ26" s="492"/>
      <c r="CA26" s="916"/>
      <c r="CB26" s="916"/>
      <c r="CC26" s="492"/>
      <c r="CD26" s="916"/>
      <c r="CE26" s="916"/>
      <c r="CF26" s="492"/>
      <c r="CG26" s="916"/>
      <c r="CH26" s="916"/>
      <c r="CI26" s="492">
        <f t="shared" si="31"/>
        <v>0</v>
      </c>
      <c r="CJ26" s="916"/>
      <c r="CK26" s="916"/>
      <c r="CL26" s="492"/>
      <c r="CM26" s="492">
        <f t="shared" si="32"/>
        <v>0</v>
      </c>
      <c r="CN26" s="916"/>
      <c r="CO26" s="916"/>
      <c r="CP26" s="492">
        <f t="shared" si="33"/>
        <v>0</v>
      </c>
      <c r="CQ26" s="916"/>
      <c r="CR26" s="916"/>
      <c r="CS26" s="492">
        <f t="shared" si="34"/>
        <v>0</v>
      </c>
      <c r="CT26" s="916"/>
      <c r="CU26" s="916"/>
      <c r="CV26" s="492"/>
      <c r="CW26" s="492">
        <f t="shared" si="35"/>
        <v>0</v>
      </c>
      <c r="CX26" s="916"/>
      <c r="CY26" s="916"/>
      <c r="CZ26" s="916"/>
      <c r="DA26" s="492"/>
      <c r="DB26" s="492"/>
      <c r="DC26" s="492"/>
      <c r="DD26" s="492"/>
      <c r="DE26" s="492"/>
      <c r="DF26" s="492"/>
      <c r="DG26" s="492"/>
      <c r="DH26" s="492"/>
      <c r="DI26" s="916"/>
      <c r="DJ26" s="916"/>
      <c r="DK26" s="492"/>
      <c r="DL26" s="492"/>
      <c r="DM26" s="919"/>
      <c r="DN26" s="527">
        <f t="shared" si="36"/>
        <v>350000</v>
      </c>
      <c r="DO26" s="912">
        <f t="shared" si="13"/>
        <v>0</v>
      </c>
      <c r="DP26" s="913"/>
      <c r="DQ26" s="915">
        <f t="shared" si="14"/>
        <v>0</v>
      </c>
      <c r="DS26" s="762"/>
    </row>
    <row r="27" spans="1:123" ht="13.5" customHeight="1" outlineLevel="1" x14ac:dyDescent="0.25">
      <c r="A27" s="559">
        <v>5161</v>
      </c>
      <c r="B27" s="542" t="s">
        <v>110</v>
      </c>
      <c r="C27" s="915">
        <v>648000</v>
      </c>
      <c r="D27" s="915">
        <v>648000</v>
      </c>
      <c r="E27" s="915">
        <v>648000</v>
      </c>
      <c r="F27" s="915">
        <v>648000</v>
      </c>
      <c r="G27" s="915">
        <v>648000</v>
      </c>
      <c r="H27" s="915">
        <f t="shared" si="38"/>
        <v>645000</v>
      </c>
      <c r="I27" s="571"/>
      <c r="J27" s="492"/>
      <c r="K27" s="492"/>
      <c r="L27" s="492"/>
      <c r="M27" s="492"/>
      <c r="N27" s="492"/>
      <c r="O27" s="492">
        <f t="shared" si="15"/>
        <v>600000</v>
      </c>
      <c r="P27" s="916">
        <f>[3]Správa!$D$34</f>
        <v>600000</v>
      </c>
      <c r="Q27" s="917">
        <f>[3]Správa!$E$34</f>
        <v>0</v>
      </c>
      <c r="R27" s="492"/>
      <c r="S27" s="927">
        <f t="shared" si="40"/>
        <v>0</v>
      </c>
      <c r="T27" s="492"/>
      <c r="U27" s="492"/>
      <c r="V27" s="492"/>
      <c r="W27" s="492"/>
      <c r="X27" s="492">
        <f>[3]Knihovna!$B$26</f>
        <v>5000</v>
      </c>
      <c r="Y27" s="492">
        <f>'[3]Život Úval'!$B$4</f>
        <v>40000</v>
      </c>
      <c r="Z27" s="492"/>
      <c r="AA27" s="492">
        <f t="shared" si="16"/>
        <v>0</v>
      </c>
      <c r="AB27" s="916"/>
      <c r="AC27" s="916"/>
      <c r="AD27" s="492">
        <f t="shared" si="17"/>
        <v>0</v>
      </c>
      <c r="AE27" s="916"/>
      <c r="AF27" s="916"/>
      <c r="AG27" s="492">
        <f t="shared" si="18"/>
        <v>0</v>
      </c>
      <c r="AH27" s="916"/>
      <c r="AI27" s="916"/>
      <c r="AJ27" s="492"/>
      <c r="AK27" s="492"/>
      <c r="AL27" s="492"/>
      <c r="AM27" s="492">
        <f t="shared" si="19"/>
        <v>0</v>
      </c>
      <c r="AN27" s="916"/>
      <c r="AO27" s="916"/>
      <c r="AP27" s="492">
        <f t="shared" si="20"/>
        <v>0</v>
      </c>
      <c r="AQ27" s="916"/>
      <c r="AR27" s="916"/>
      <c r="AS27" s="492">
        <f t="shared" si="21"/>
        <v>0</v>
      </c>
      <c r="AT27" s="916"/>
      <c r="AU27" s="916"/>
      <c r="AV27" s="492">
        <f t="shared" si="22"/>
        <v>0</v>
      </c>
      <c r="AW27" s="916"/>
      <c r="AX27" s="916"/>
      <c r="AY27" s="492">
        <f t="shared" si="23"/>
        <v>0</v>
      </c>
      <c r="AZ27" s="916"/>
      <c r="BA27" s="916"/>
      <c r="BB27" s="492">
        <f t="shared" si="24"/>
        <v>0</v>
      </c>
      <c r="BC27" s="916"/>
      <c r="BD27" s="916"/>
      <c r="BE27" s="492">
        <f t="shared" si="25"/>
        <v>0</v>
      </c>
      <c r="BF27" s="916"/>
      <c r="BG27" s="916"/>
      <c r="BH27" s="492">
        <f t="shared" si="26"/>
        <v>0</v>
      </c>
      <c r="BI27" s="916"/>
      <c r="BJ27" s="916"/>
      <c r="BK27" s="492"/>
      <c r="BL27" s="492">
        <f t="shared" si="27"/>
        <v>0</v>
      </c>
      <c r="BM27" s="916"/>
      <c r="BN27" s="916"/>
      <c r="BO27" s="492"/>
      <c r="BP27" s="492">
        <f t="shared" si="28"/>
        <v>0</v>
      </c>
      <c r="BQ27" s="916"/>
      <c r="BR27" s="916"/>
      <c r="BS27" s="492">
        <f t="shared" si="29"/>
        <v>0</v>
      </c>
      <c r="BT27" s="916"/>
      <c r="BU27" s="916"/>
      <c r="BV27" s="492"/>
      <c r="BW27" s="492">
        <f t="shared" si="30"/>
        <v>0</v>
      </c>
      <c r="BX27" s="916"/>
      <c r="BY27" s="916"/>
      <c r="BZ27" s="492"/>
      <c r="CA27" s="916"/>
      <c r="CB27" s="916"/>
      <c r="CC27" s="492"/>
      <c r="CD27" s="916"/>
      <c r="CE27" s="916"/>
      <c r="CF27" s="492"/>
      <c r="CG27" s="916"/>
      <c r="CH27" s="916"/>
      <c r="CI27" s="492">
        <f t="shared" si="31"/>
        <v>0</v>
      </c>
      <c r="CJ27" s="916"/>
      <c r="CK27" s="916"/>
      <c r="CL27" s="492"/>
      <c r="CM27" s="492">
        <f t="shared" si="32"/>
        <v>0</v>
      </c>
      <c r="CN27" s="916"/>
      <c r="CO27" s="916"/>
      <c r="CP27" s="492">
        <f t="shared" si="33"/>
        <v>0</v>
      </c>
      <c r="CQ27" s="916"/>
      <c r="CR27" s="916"/>
      <c r="CS27" s="492">
        <f t="shared" si="34"/>
        <v>0</v>
      </c>
      <c r="CT27" s="916"/>
      <c r="CU27" s="916"/>
      <c r="CV27" s="492"/>
      <c r="CW27" s="492">
        <f t="shared" si="35"/>
        <v>0</v>
      </c>
      <c r="CX27" s="916"/>
      <c r="CY27" s="916"/>
      <c r="CZ27" s="916"/>
      <c r="DA27" s="492"/>
      <c r="DB27" s="492"/>
      <c r="DC27" s="492"/>
      <c r="DD27" s="492"/>
      <c r="DE27" s="492"/>
      <c r="DF27" s="492"/>
      <c r="DG27" s="492"/>
      <c r="DH27" s="492"/>
      <c r="DI27" s="916"/>
      <c r="DJ27" s="916"/>
      <c r="DK27" s="492"/>
      <c r="DL27" s="492"/>
      <c r="DM27" s="919"/>
      <c r="DN27" s="527">
        <f t="shared" si="36"/>
        <v>645000</v>
      </c>
      <c r="DO27" s="912">
        <f t="shared" si="13"/>
        <v>0</v>
      </c>
      <c r="DP27" s="913"/>
      <c r="DQ27" s="915">
        <f t="shared" si="14"/>
        <v>0</v>
      </c>
      <c r="DS27" s="762"/>
    </row>
    <row r="28" spans="1:123" ht="13.5" customHeight="1" outlineLevel="1" x14ac:dyDescent="0.25">
      <c r="A28" s="559">
        <v>5162</v>
      </c>
      <c r="B28" s="542" t="s">
        <v>111</v>
      </c>
      <c r="C28" s="915">
        <v>515000</v>
      </c>
      <c r="D28" s="915">
        <v>520000</v>
      </c>
      <c r="E28" s="915">
        <v>530000</v>
      </c>
      <c r="F28" s="915">
        <v>540000</v>
      </c>
      <c r="G28" s="915">
        <v>540000</v>
      </c>
      <c r="H28" s="915">
        <f t="shared" si="38"/>
        <v>556000</v>
      </c>
      <c r="I28" s="571"/>
      <c r="J28" s="492"/>
      <c r="K28" s="492"/>
      <c r="L28" s="492"/>
      <c r="M28" s="492">
        <f>[3]Zastupitelé!$B$31</f>
        <v>50000</v>
      </c>
      <c r="N28" s="492"/>
      <c r="O28" s="492">
        <f t="shared" si="15"/>
        <v>300000</v>
      </c>
      <c r="P28" s="916">
        <f>[3]Správa!$D$41</f>
        <v>300000</v>
      </c>
      <c r="Q28" s="917">
        <f>[3]Správa!$E$41</f>
        <v>0</v>
      </c>
      <c r="R28" s="492"/>
      <c r="S28" s="927">
        <f t="shared" si="40"/>
        <v>0</v>
      </c>
      <c r="T28" s="492">
        <f>'[3]Pečovatelská služba'!$B$32</f>
        <v>12000</v>
      </c>
      <c r="U28" s="492"/>
      <c r="V28" s="492">
        <f>'[3]Městská policie'!$B$49</f>
        <v>80000</v>
      </c>
      <c r="W28" s="492"/>
      <c r="X28" s="492">
        <f>[3]Knihovna!$B$33</f>
        <v>12000</v>
      </c>
      <c r="Y28" s="492"/>
      <c r="Z28" s="492"/>
      <c r="AA28" s="492">
        <f t="shared" si="16"/>
        <v>0</v>
      </c>
      <c r="AB28" s="916"/>
      <c r="AC28" s="916"/>
      <c r="AD28" s="492">
        <f t="shared" si="17"/>
        <v>60000</v>
      </c>
      <c r="AE28" s="916">
        <f>[4]DPS!$B$19</f>
        <v>60000</v>
      </c>
      <c r="AF28" s="916"/>
      <c r="AG28" s="492">
        <f t="shared" si="18"/>
        <v>0</v>
      </c>
      <c r="AH28" s="916"/>
      <c r="AI28" s="916"/>
      <c r="AJ28" s="492">
        <f>[3]Hasiči!$B$34</f>
        <v>32000</v>
      </c>
      <c r="AK28" s="492"/>
      <c r="AL28" s="492"/>
      <c r="AM28" s="492">
        <f t="shared" si="19"/>
        <v>0</v>
      </c>
      <c r="AN28" s="916"/>
      <c r="AO28" s="916"/>
      <c r="AP28" s="492">
        <f t="shared" si="20"/>
        <v>0</v>
      </c>
      <c r="AQ28" s="916"/>
      <c r="AR28" s="916"/>
      <c r="AS28" s="492">
        <f t="shared" si="21"/>
        <v>0</v>
      </c>
      <c r="AT28" s="916"/>
      <c r="AU28" s="916"/>
      <c r="AV28" s="492">
        <f t="shared" si="22"/>
        <v>10000</v>
      </c>
      <c r="AW28" s="916">
        <f>[3]č.p.65!$D$18</f>
        <v>10000</v>
      </c>
      <c r="AX28" s="916">
        <f>[3]č.p.65!$E$18</f>
        <v>0</v>
      </c>
      <c r="AY28" s="492">
        <f t="shared" si="23"/>
        <v>0</v>
      </c>
      <c r="AZ28" s="916"/>
      <c r="BA28" s="916"/>
      <c r="BB28" s="492">
        <f t="shared" si="24"/>
        <v>0</v>
      </c>
      <c r="BC28" s="916"/>
      <c r="BD28" s="916"/>
      <c r="BE28" s="492">
        <f t="shared" si="25"/>
        <v>0</v>
      </c>
      <c r="BF28" s="916"/>
      <c r="BG28" s="916"/>
      <c r="BH28" s="492">
        <f t="shared" si="26"/>
        <v>0</v>
      </c>
      <c r="BI28" s="916"/>
      <c r="BJ28" s="916"/>
      <c r="BK28" s="492"/>
      <c r="BL28" s="492">
        <f t="shared" si="27"/>
        <v>0</v>
      </c>
      <c r="BM28" s="916"/>
      <c r="BN28" s="916"/>
      <c r="BO28" s="492"/>
      <c r="BP28" s="492">
        <f t="shared" si="28"/>
        <v>0</v>
      </c>
      <c r="BQ28" s="916"/>
      <c r="BR28" s="916"/>
      <c r="BS28" s="492">
        <f t="shared" si="29"/>
        <v>0</v>
      </c>
      <c r="BT28" s="916"/>
      <c r="BU28" s="916"/>
      <c r="BV28" s="492"/>
      <c r="BW28" s="492">
        <f t="shared" si="30"/>
        <v>0</v>
      </c>
      <c r="BX28" s="916"/>
      <c r="BY28" s="916"/>
      <c r="BZ28" s="492"/>
      <c r="CA28" s="916"/>
      <c r="CB28" s="916"/>
      <c r="CC28" s="492"/>
      <c r="CD28" s="916"/>
      <c r="CE28" s="916"/>
      <c r="CF28" s="492"/>
      <c r="CG28" s="916"/>
      <c r="CH28" s="916"/>
      <c r="CI28" s="492">
        <f t="shared" si="31"/>
        <v>0</v>
      </c>
      <c r="CJ28" s="916"/>
      <c r="CK28" s="916"/>
      <c r="CL28" s="492"/>
      <c r="CM28" s="492">
        <f t="shared" si="32"/>
        <v>0</v>
      </c>
      <c r="CN28" s="916"/>
      <c r="CO28" s="916"/>
      <c r="CP28" s="492">
        <f t="shared" si="33"/>
        <v>0</v>
      </c>
      <c r="CQ28" s="916"/>
      <c r="CR28" s="916"/>
      <c r="CS28" s="492">
        <f t="shared" si="34"/>
        <v>0</v>
      </c>
      <c r="CT28" s="916"/>
      <c r="CU28" s="916"/>
      <c r="CV28" s="492"/>
      <c r="CW28" s="492">
        <f t="shared" si="35"/>
        <v>0</v>
      </c>
      <c r="CX28" s="916"/>
      <c r="CY28" s="916"/>
      <c r="CZ28" s="916"/>
      <c r="DA28" s="492"/>
      <c r="DB28" s="492"/>
      <c r="DC28" s="492"/>
      <c r="DD28" s="492"/>
      <c r="DE28" s="492"/>
      <c r="DF28" s="492"/>
      <c r="DG28" s="492"/>
      <c r="DH28" s="492"/>
      <c r="DI28" s="916"/>
      <c r="DJ28" s="916"/>
      <c r="DK28" s="492"/>
      <c r="DL28" s="492"/>
      <c r="DM28" s="919"/>
      <c r="DN28" s="527">
        <f t="shared" si="36"/>
        <v>556000</v>
      </c>
      <c r="DO28" s="912">
        <f t="shared" si="13"/>
        <v>0</v>
      </c>
      <c r="DP28" s="913"/>
      <c r="DQ28" s="915">
        <f t="shared" si="14"/>
        <v>0</v>
      </c>
      <c r="DS28" s="762"/>
    </row>
    <row r="29" spans="1:123" ht="13.5" customHeight="1" outlineLevel="1" x14ac:dyDescent="0.25">
      <c r="A29" s="559">
        <v>5163</v>
      </c>
      <c r="B29" s="542" t="s">
        <v>112</v>
      </c>
      <c r="C29" s="915">
        <v>752000</v>
      </c>
      <c r="D29" s="915">
        <v>746000</v>
      </c>
      <c r="E29" s="915">
        <v>746000</v>
      </c>
      <c r="F29" s="915">
        <v>746000</v>
      </c>
      <c r="G29" s="915">
        <v>672310</v>
      </c>
      <c r="H29" s="915">
        <f t="shared" si="38"/>
        <v>650000</v>
      </c>
      <c r="I29" s="571"/>
      <c r="J29" s="492"/>
      <c r="K29" s="492"/>
      <c r="L29" s="492">
        <f>'[4]Všeob. pokladna'!$B$4</f>
        <v>620000</v>
      </c>
      <c r="M29" s="492"/>
      <c r="N29" s="492"/>
      <c r="O29" s="492">
        <f t="shared" si="15"/>
        <v>0</v>
      </c>
      <c r="P29" s="916"/>
      <c r="Q29" s="917"/>
      <c r="R29" s="492"/>
      <c r="S29" s="927">
        <f t="shared" si="40"/>
        <v>0</v>
      </c>
      <c r="T29" s="492"/>
      <c r="U29" s="492"/>
      <c r="V29" s="492"/>
      <c r="W29" s="492"/>
      <c r="X29" s="492"/>
      <c r="Y29" s="492"/>
      <c r="Z29" s="492"/>
      <c r="AA29" s="492">
        <f t="shared" si="16"/>
        <v>0</v>
      </c>
      <c r="AB29" s="916"/>
      <c r="AC29" s="916"/>
      <c r="AD29" s="492">
        <f t="shared" si="17"/>
        <v>0</v>
      </c>
      <c r="AE29" s="916"/>
      <c r="AF29" s="916"/>
      <c r="AG29" s="492">
        <f t="shared" si="18"/>
        <v>0</v>
      </c>
      <c r="AH29" s="916"/>
      <c r="AI29" s="916"/>
      <c r="AJ29" s="492">
        <f>[3]Hasiči!$B$41</f>
        <v>30000</v>
      </c>
      <c r="AK29" s="492"/>
      <c r="AL29" s="492"/>
      <c r="AM29" s="492">
        <f t="shared" si="19"/>
        <v>0</v>
      </c>
      <c r="AN29" s="916"/>
      <c r="AO29" s="916"/>
      <c r="AP29" s="492">
        <f t="shared" si="20"/>
        <v>0</v>
      </c>
      <c r="AQ29" s="916"/>
      <c r="AR29" s="916"/>
      <c r="AS29" s="492">
        <f t="shared" si="21"/>
        <v>0</v>
      </c>
      <c r="AT29" s="916"/>
      <c r="AU29" s="916"/>
      <c r="AV29" s="492">
        <f t="shared" si="22"/>
        <v>0</v>
      </c>
      <c r="AW29" s="916"/>
      <c r="AX29" s="916"/>
      <c r="AY29" s="492">
        <f t="shared" si="23"/>
        <v>0</v>
      </c>
      <c r="AZ29" s="916"/>
      <c r="BA29" s="916"/>
      <c r="BB29" s="492">
        <f t="shared" si="24"/>
        <v>0</v>
      </c>
      <c r="BC29" s="916"/>
      <c r="BD29" s="916"/>
      <c r="BE29" s="492">
        <f t="shared" si="25"/>
        <v>0</v>
      </c>
      <c r="BF29" s="916"/>
      <c r="BG29" s="916"/>
      <c r="BH29" s="492">
        <f t="shared" si="26"/>
        <v>0</v>
      </c>
      <c r="BI29" s="916"/>
      <c r="BJ29" s="916"/>
      <c r="BK29" s="492"/>
      <c r="BL29" s="492">
        <f t="shared" si="27"/>
        <v>0</v>
      </c>
      <c r="BM29" s="916"/>
      <c r="BN29" s="916"/>
      <c r="BO29" s="492"/>
      <c r="BP29" s="492">
        <f t="shared" si="28"/>
        <v>0</v>
      </c>
      <c r="BQ29" s="916"/>
      <c r="BR29" s="916"/>
      <c r="BS29" s="492">
        <f t="shared" si="29"/>
        <v>0</v>
      </c>
      <c r="BT29" s="916"/>
      <c r="BU29" s="916"/>
      <c r="BV29" s="492"/>
      <c r="BW29" s="492">
        <f t="shared" si="30"/>
        <v>0</v>
      </c>
      <c r="BX29" s="916"/>
      <c r="BY29" s="916"/>
      <c r="BZ29" s="492"/>
      <c r="CA29" s="916"/>
      <c r="CB29" s="916"/>
      <c r="CC29" s="492"/>
      <c r="CD29" s="916"/>
      <c r="CE29" s="916"/>
      <c r="CF29" s="492"/>
      <c r="CG29" s="916"/>
      <c r="CH29" s="916"/>
      <c r="CI29" s="492">
        <f t="shared" si="31"/>
        <v>0</v>
      </c>
      <c r="CJ29" s="916"/>
      <c r="CK29" s="916"/>
      <c r="CL29" s="492"/>
      <c r="CM29" s="492">
        <f t="shared" si="32"/>
        <v>0</v>
      </c>
      <c r="CN29" s="916"/>
      <c r="CO29" s="916"/>
      <c r="CP29" s="492">
        <f t="shared" si="33"/>
        <v>0</v>
      </c>
      <c r="CQ29" s="916"/>
      <c r="CR29" s="916"/>
      <c r="CS29" s="492">
        <f t="shared" si="34"/>
        <v>0</v>
      </c>
      <c r="CT29" s="916"/>
      <c r="CU29" s="916"/>
      <c r="CV29" s="492"/>
      <c r="CW29" s="492">
        <f t="shared" si="35"/>
        <v>0</v>
      </c>
      <c r="CX29" s="916"/>
      <c r="CY29" s="916"/>
      <c r="CZ29" s="916"/>
      <c r="DA29" s="492"/>
      <c r="DB29" s="492"/>
      <c r="DC29" s="492"/>
      <c r="DD29" s="492"/>
      <c r="DE29" s="492"/>
      <c r="DF29" s="492"/>
      <c r="DG29" s="492"/>
      <c r="DH29" s="492"/>
      <c r="DI29" s="916"/>
      <c r="DJ29" s="916"/>
      <c r="DK29" s="492"/>
      <c r="DL29" s="492"/>
      <c r="DM29" s="919"/>
      <c r="DN29" s="527">
        <f t="shared" si="36"/>
        <v>650000</v>
      </c>
      <c r="DO29" s="912">
        <f t="shared" si="13"/>
        <v>0</v>
      </c>
      <c r="DP29" s="913"/>
      <c r="DQ29" s="915">
        <f t="shared" si="14"/>
        <v>0</v>
      </c>
      <c r="DS29" s="762"/>
    </row>
    <row r="30" spans="1:123" ht="13.5" customHeight="1" outlineLevel="1" x14ac:dyDescent="0.25">
      <c r="A30" s="559">
        <v>5164</v>
      </c>
      <c r="B30" s="542" t="s">
        <v>113</v>
      </c>
      <c r="C30" s="915">
        <v>3730406</v>
      </c>
      <c r="D30" s="915">
        <v>2295420</v>
      </c>
      <c r="E30" s="915">
        <v>2366198</v>
      </c>
      <c r="F30" s="915">
        <v>2366198</v>
      </c>
      <c r="G30" s="915">
        <v>2232198</v>
      </c>
      <c r="H30" s="915">
        <f t="shared" si="38"/>
        <v>1538438</v>
      </c>
      <c r="I30" s="571"/>
      <c r="J30" s="492"/>
      <c r="K30" s="492"/>
      <c r="L30" s="492">
        <f>'[4]Všeob. pokladna'!$B$11</f>
        <v>12</v>
      </c>
      <c r="M30" s="492">
        <f>[3]Zastupitelé!$B$37</f>
        <v>17000</v>
      </c>
      <c r="N30" s="492"/>
      <c r="O30" s="492">
        <f t="shared" si="15"/>
        <v>0</v>
      </c>
      <c r="P30" s="916"/>
      <c r="Q30" s="917"/>
      <c r="R30" s="492"/>
      <c r="S30" s="927">
        <f t="shared" si="40"/>
        <v>0</v>
      </c>
      <c r="T30" s="492"/>
      <c r="U30" s="492"/>
      <c r="V30" s="492"/>
      <c r="W30" s="492"/>
      <c r="X30" s="492">
        <f>[3]Knihovna!$B$40</f>
        <v>160000</v>
      </c>
      <c r="Y30" s="492"/>
      <c r="Z30" s="492">
        <f>[3]Kultura!$B$21</f>
        <v>50000</v>
      </c>
      <c r="AA30" s="492">
        <f t="shared" si="16"/>
        <v>79240</v>
      </c>
      <c r="AB30" s="916">
        <f>[4]Byty!$D$18</f>
        <v>79240</v>
      </c>
      <c r="AC30" s="916">
        <f>+[4]Byty!$E$18</f>
        <v>0</v>
      </c>
      <c r="AD30" s="492">
        <f t="shared" si="17"/>
        <v>0</v>
      </c>
      <c r="AE30" s="916"/>
      <c r="AF30" s="916"/>
      <c r="AG30" s="492">
        <f t="shared" si="18"/>
        <v>0</v>
      </c>
      <c r="AH30" s="916"/>
      <c r="AI30" s="916"/>
      <c r="AJ30" s="492"/>
      <c r="AK30" s="492"/>
      <c r="AL30" s="492"/>
      <c r="AM30" s="492">
        <f t="shared" si="19"/>
        <v>0</v>
      </c>
      <c r="AN30" s="916"/>
      <c r="AO30" s="916"/>
      <c r="AP30" s="492">
        <f t="shared" si="20"/>
        <v>25156</v>
      </c>
      <c r="AQ30" s="916">
        <f>'[4]Sportovní zařízen+koup'!$B$4+[5]Koupaliště!$B$20</f>
        <v>25156</v>
      </c>
      <c r="AR30" s="916"/>
      <c r="AS30" s="492">
        <f t="shared" si="21"/>
        <v>816000</v>
      </c>
      <c r="AT30" s="916">
        <f>[2]ZŠ!$B$25</f>
        <v>816000</v>
      </c>
      <c r="AU30" s="916"/>
      <c r="AV30" s="492">
        <f t="shared" si="22"/>
        <v>0</v>
      </c>
      <c r="AW30" s="916"/>
      <c r="AX30" s="916"/>
      <c r="AY30" s="492">
        <f t="shared" si="23"/>
        <v>0</v>
      </c>
      <c r="AZ30" s="916"/>
      <c r="BA30" s="916"/>
      <c r="BB30" s="492">
        <f t="shared" si="24"/>
        <v>0</v>
      </c>
      <c r="BC30" s="916">
        <f>'[4]MŠ Pražská'!$D$4</f>
        <v>0</v>
      </c>
      <c r="BD30" s="916">
        <f>'[4]MŠ Pražská'!$E$4</f>
        <v>0</v>
      </c>
      <c r="BE30" s="492">
        <f t="shared" si="25"/>
        <v>0</v>
      </c>
      <c r="BF30" s="916"/>
      <c r="BG30" s="916"/>
      <c r="BH30" s="492">
        <f t="shared" si="26"/>
        <v>0</v>
      </c>
      <c r="BI30" s="916"/>
      <c r="BJ30" s="916"/>
      <c r="BK30" s="492"/>
      <c r="BL30" s="492">
        <f t="shared" si="27"/>
        <v>0</v>
      </c>
      <c r="BM30" s="916"/>
      <c r="BN30" s="916"/>
      <c r="BO30" s="492"/>
      <c r="BP30" s="492">
        <f t="shared" si="28"/>
        <v>0</v>
      </c>
      <c r="BQ30" s="916"/>
      <c r="BR30" s="916"/>
      <c r="BS30" s="492">
        <f t="shared" si="29"/>
        <v>40029</v>
      </c>
      <c r="BT30" s="916">
        <f>'[5]Silnice-nájem'!$B$4+[4]Silnice!$B$20</f>
        <v>40029</v>
      </c>
      <c r="BU30" s="916"/>
      <c r="BV30" s="492"/>
      <c r="BW30" s="492">
        <f t="shared" si="30"/>
        <v>0</v>
      </c>
      <c r="BX30" s="916"/>
      <c r="BY30" s="916"/>
      <c r="BZ30" s="492"/>
      <c r="CA30" s="916"/>
      <c r="CB30" s="916"/>
      <c r="CC30" s="492"/>
      <c r="CD30" s="916"/>
      <c r="CE30" s="916"/>
      <c r="CF30" s="492"/>
      <c r="CG30" s="916"/>
      <c r="CH30" s="916"/>
      <c r="CI30" s="492">
        <f t="shared" si="31"/>
        <v>0</v>
      </c>
      <c r="CJ30" s="916"/>
      <c r="CK30" s="916"/>
      <c r="CL30" s="492"/>
      <c r="CM30" s="492">
        <f t="shared" si="32"/>
        <v>0</v>
      </c>
      <c r="CN30" s="916"/>
      <c r="CO30" s="916"/>
      <c r="CP30" s="492">
        <f t="shared" si="33"/>
        <v>0</v>
      </c>
      <c r="CQ30" s="916"/>
      <c r="CR30" s="916"/>
      <c r="CS30" s="492">
        <f t="shared" si="34"/>
        <v>0</v>
      </c>
      <c r="CT30" s="916"/>
      <c r="CU30" s="916"/>
      <c r="CV30" s="492"/>
      <c r="CW30" s="492">
        <f t="shared" si="35"/>
        <v>0</v>
      </c>
      <c r="CX30" s="916"/>
      <c r="CY30" s="916"/>
      <c r="CZ30" s="916"/>
      <c r="DA30" s="492">
        <f>[5]Rybníky!$B$4+'[6]Rybníky 3749-2'!$B$13</f>
        <v>351001</v>
      </c>
      <c r="DB30" s="492"/>
      <c r="DC30" s="492"/>
      <c r="DD30" s="492"/>
      <c r="DE30" s="492">
        <f>'[6]Park Úvaly 3749-1'!$B$13</f>
        <v>0</v>
      </c>
      <c r="DF30" s="492">
        <f>'[6]Park Úvaly 3749-8 dosádba'!$B$13</f>
        <v>0</v>
      </c>
      <c r="DG30" s="492"/>
      <c r="DH30" s="492"/>
      <c r="DI30" s="916"/>
      <c r="DJ30" s="916"/>
      <c r="DK30" s="492"/>
      <c r="DL30" s="492"/>
      <c r="DM30" s="919"/>
      <c r="DN30" s="527">
        <f t="shared" si="36"/>
        <v>1538438</v>
      </c>
      <c r="DO30" s="912">
        <f t="shared" si="13"/>
        <v>0</v>
      </c>
      <c r="DP30" s="913"/>
      <c r="DQ30" s="915">
        <f t="shared" si="14"/>
        <v>0</v>
      </c>
      <c r="DS30" s="762"/>
    </row>
    <row r="31" spans="1:123" ht="13.5" customHeight="1" outlineLevel="1" x14ac:dyDescent="0.25">
      <c r="A31" s="559">
        <v>5166</v>
      </c>
      <c r="B31" s="542" t="s">
        <v>114</v>
      </c>
      <c r="C31" s="915">
        <v>650000</v>
      </c>
      <c r="D31" s="915">
        <v>700000</v>
      </c>
      <c r="E31" s="915">
        <v>700000</v>
      </c>
      <c r="F31" s="915">
        <v>700000</v>
      </c>
      <c r="G31" s="915">
        <v>600000</v>
      </c>
      <c r="H31" s="915">
        <f t="shared" si="38"/>
        <v>600000</v>
      </c>
      <c r="I31" s="571"/>
      <c r="J31" s="492"/>
      <c r="K31" s="492"/>
      <c r="L31" s="492"/>
      <c r="M31" s="492"/>
      <c r="N31" s="492"/>
      <c r="O31" s="492">
        <f t="shared" si="15"/>
        <v>600000</v>
      </c>
      <c r="P31" s="916">
        <f>[3]Správa!$D$48</f>
        <v>600000</v>
      </c>
      <c r="Q31" s="917">
        <f>[3]Správa!$E$48</f>
        <v>0</v>
      </c>
      <c r="R31" s="492"/>
      <c r="S31" s="927">
        <f t="shared" si="40"/>
        <v>0</v>
      </c>
      <c r="T31" s="492"/>
      <c r="U31" s="492"/>
      <c r="V31" s="492"/>
      <c r="W31" s="492"/>
      <c r="X31" s="492"/>
      <c r="Y31" s="492"/>
      <c r="Z31" s="492"/>
      <c r="AA31" s="492">
        <f t="shared" si="16"/>
        <v>0</v>
      </c>
      <c r="AB31" s="916"/>
      <c r="AC31" s="916"/>
      <c r="AD31" s="492">
        <f t="shared" si="17"/>
        <v>0</v>
      </c>
      <c r="AE31" s="916"/>
      <c r="AF31" s="916"/>
      <c r="AG31" s="492">
        <f t="shared" si="18"/>
        <v>0</v>
      </c>
      <c r="AH31" s="916"/>
      <c r="AI31" s="916"/>
      <c r="AJ31" s="492"/>
      <c r="AK31" s="492"/>
      <c r="AL31" s="492"/>
      <c r="AM31" s="492">
        <f t="shared" si="19"/>
        <v>0</v>
      </c>
      <c r="AN31" s="916"/>
      <c r="AO31" s="916"/>
      <c r="AP31" s="492">
        <f t="shared" si="20"/>
        <v>0</v>
      </c>
      <c r="AQ31" s="916"/>
      <c r="AR31" s="916"/>
      <c r="AS31" s="492">
        <f t="shared" si="21"/>
        <v>0</v>
      </c>
      <c r="AT31" s="916"/>
      <c r="AU31" s="916"/>
      <c r="AV31" s="492">
        <f t="shared" si="22"/>
        <v>0</v>
      </c>
      <c r="AW31" s="916"/>
      <c r="AX31" s="916"/>
      <c r="AY31" s="492">
        <f t="shared" si="23"/>
        <v>0</v>
      </c>
      <c r="AZ31" s="916"/>
      <c r="BA31" s="916"/>
      <c r="BB31" s="492">
        <f t="shared" si="24"/>
        <v>0</v>
      </c>
      <c r="BC31" s="916"/>
      <c r="BD31" s="916"/>
      <c r="BE31" s="492">
        <f t="shared" si="25"/>
        <v>0</v>
      </c>
      <c r="BF31" s="916"/>
      <c r="BG31" s="916"/>
      <c r="BH31" s="492">
        <f t="shared" si="26"/>
        <v>0</v>
      </c>
      <c r="BI31" s="916"/>
      <c r="BJ31" s="916"/>
      <c r="BK31" s="492"/>
      <c r="BL31" s="492">
        <f t="shared" si="27"/>
        <v>0</v>
      </c>
      <c r="BM31" s="916"/>
      <c r="BN31" s="916"/>
      <c r="BO31" s="492"/>
      <c r="BP31" s="492">
        <f t="shared" si="28"/>
        <v>0</v>
      </c>
      <c r="BQ31" s="916"/>
      <c r="BR31" s="916"/>
      <c r="BS31" s="492">
        <f t="shared" si="29"/>
        <v>0</v>
      </c>
      <c r="BT31" s="916"/>
      <c r="BU31" s="916"/>
      <c r="BV31" s="492"/>
      <c r="BW31" s="492">
        <f t="shared" si="30"/>
        <v>0</v>
      </c>
      <c r="BX31" s="916"/>
      <c r="BY31" s="916"/>
      <c r="BZ31" s="492"/>
      <c r="CA31" s="916"/>
      <c r="CB31" s="916"/>
      <c r="CC31" s="492"/>
      <c r="CD31" s="916"/>
      <c r="CE31" s="916"/>
      <c r="CF31" s="492"/>
      <c r="CG31" s="916"/>
      <c r="CH31" s="916"/>
      <c r="CI31" s="492">
        <f t="shared" si="31"/>
        <v>0</v>
      </c>
      <c r="CJ31" s="916"/>
      <c r="CK31" s="916"/>
      <c r="CL31" s="492"/>
      <c r="CM31" s="492">
        <f t="shared" si="32"/>
        <v>0</v>
      </c>
      <c r="CN31" s="916"/>
      <c r="CO31" s="916"/>
      <c r="CP31" s="492">
        <f t="shared" si="33"/>
        <v>0</v>
      </c>
      <c r="CQ31" s="916"/>
      <c r="CR31" s="916"/>
      <c r="CS31" s="492">
        <f t="shared" si="34"/>
        <v>0</v>
      </c>
      <c r="CT31" s="916"/>
      <c r="CU31" s="916"/>
      <c r="CV31" s="492"/>
      <c r="CW31" s="492">
        <f t="shared" si="35"/>
        <v>0</v>
      </c>
      <c r="CX31" s="916"/>
      <c r="CY31" s="916"/>
      <c r="CZ31" s="916"/>
      <c r="DA31" s="492"/>
      <c r="DB31" s="492"/>
      <c r="DC31" s="492"/>
      <c r="DD31" s="492"/>
      <c r="DE31" s="492"/>
      <c r="DF31" s="492"/>
      <c r="DG31" s="492"/>
      <c r="DH31" s="492"/>
      <c r="DI31" s="916"/>
      <c r="DJ31" s="916"/>
      <c r="DK31" s="492"/>
      <c r="DL31" s="492"/>
      <c r="DM31" s="919"/>
      <c r="DN31" s="527">
        <f t="shared" si="36"/>
        <v>600000</v>
      </c>
      <c r="DO31" s="912">
        <f t="shared" si="13"/>
        <v>0</v>
      </c>
      <c r="DP31" s="913"/>
      <c r="DQ31" s="915">
        <f t="shared" si="14"/>
        <v>0</v>
      </c>
      <c r="DS31" s="762"/>
    </row>
    <row r="32" spans="1:123" ht="13.5" customHeight="1" outlineLevel="1" x14ac:dyDescent="0.25">
      <c r="A32" s="559">
        <v>5167</v>
      </c>
      <c r="B32" s="542" t="s">
        <v>115</v>
      </c>
      <c r="C32" s="915">
        <v>328000</v>
      </c>
      <c r="D32" s="915">
        <v>378000</v>
      </c>
      <c r="E32" s="915">
        <v>375000</v>
      </c>
      <c r="F32" s="915">
        <v>388000</v>
      </c>
      <c r="G32" s="915">
        <v>273000</v>
      </c>
      <c r="H32" s="915">
        <f t="shared" si="38"/>
        <v>388000</v>
      </c>
      <c r="I32" s="571"/>
      <c r="J32" s="492"/>
      <c r="K32" s="492"/>
      <c r="L32" s="492"/>
      <c r="M32" s="492">
        <f>[3]Zastupitelé!$B$44</f>
        <v>40000</v>
      </c>
      <c r="N32" s="492"/>
      <c r="O32" s="492">
        <f t="shared" si="15"/>
        <v>200000</v>
      </c>
      <c r="P32" s="916">
        <f>[3]Správa!$D$55</f>
        <v>200000</v>
      </c>
      <c r="Q32" s="917">
        <f>[3]Správa!$E$55</f>
        <v>0</v>
      </c>
      <c r="R32" s="492"/>
      <c r="S32" s="927">
        <f t="shared" si="40"/>
        <v>0</v>
      </c>
      <c r="T32" s="492">
        <f>'[3]Pečovatelská služba'!$B$45</f>
        <v>10000</v>
      </c>
      <c r="U32" s="492"/>
      <c r="V32" s="492">
        <f>'[3]Městská policie'!$B$70</f>
        <v>78000</v>
      </c>
      <c r="W32" s="492"/>
      <c r="X32" s="492">
        <f>[3]Knihovna!$B$47</f>
        <v>5000</v>
      </c>
      <c r="Y32" s="492"/>
      <c r="Z32" s="492"/>
      <c r="AA32" s="492">
        <f t="shared" si="16"/>
        <v>0</v>
      </c>
      <c r="AB32" s="916"/>
      <c r="AC32" s="916"/>
      <c r="AD32" s="492">
        <f t="shared" si="17"/>
        <v>0</v>
      </c>
      <c r="AE32" s="916"/>
      <c r="AF32" s="916"/>
      <c r="AG32" s="492">
        <f t="shared" si="18"/>
        <v>0</v>
      </c>
      <c r="AH32" s="916"/>
      <c r="AI32" s="916"/>
      <c r="AJ32" s="492">
        <f>[3]Hasiči!$B$48</f>
        <v>55000</v>
      </c>
      <c r="AK32" s="492"/>
      <c r="AL32" s="492"/>
      <c r="AM32" s="492">
        <f t="shared" si="19"/>
        <v>0</v>
      </c>
      <c r="AN32" s="916"/>
      <c r="AO32" s="916"/>
      <c r="AP32" s="492">
        <f t="shared" si="20"/>
        <v>0</v>
      </c>
      <c r="AQ32" s="916"/>
      <c r="AR32" s="916"/>
      <c r="AS32" s="492">
        <f t="shared" si="21"/>
        <v>0</v>
      </c>
      <c r="AT32" s="916"/>
      <c r="AU32" s="916"/>
      <c r="AV32" s="492">
        <f t="shared" si="22"/>
        <v>0</v>
      </c>
      <c r="AW32" s="916"/>
      <c r="AX32" s="916"/>
      <c r="AY32" s="492">
        <f t="shared" si="23"/>
        <v>0</v>
      </c>
      <c r="AZ32" s="916"/>
      <c r="BA32" s="916"/>
      <c r="BB32" s="492">
        <f t="shared" si="24"/>
        <v>0</v>
      </c>
      <c r="BC32" s="916"/>
      <c r="BD32" s="916"/>
      <c r="BE32" s="492">
        <f t="shared" si="25"/>
        <v>0</v>
      </c>
      <c r="BF32" s="916"/>
      <c r="BG32" s="916"/>
      <c r="BH32" s="492">
        <f t="shared" si="26"/>
        <v>0</v>
      </c>
      <c r="BI32" s="916"/>
      <c r="BJ32" s="916"/>
      <c r="BK32" s="492"/>
      <c r="BL32" s="492">
        <f t="shared" si="27"/>
        <v>0</v>
      </c>
      <c r="BM32" s="916"/>
      <c r="BN32" s="916"/>
      <c r="BO32" s="492"/>
      <c r="BP32" s="492">
        <f t="shared" si="28"/>
        <v>0</v>
      </c>
      <c r="BQ32" s="916"/>
      <c r="BR32" s="916"/>
      <c r="BS32" s="492">
        <f t="shared" si="29"/>
        <v>0</v>
      </c>
      <c r="BT32" s="916"/>
      <c r="BU32" s="916"/>
      <c r="BV32" s="492"/>
      <c r="BW32" s="492">
        <f t="shared" si="30"/>
        <v>0</v>
      </c>
      <c r="BX32" s="916"/>
      <c r="BY32" s="916"/>
      <c r="BZ32" s="492"/>
      <c r="CA32" s="916"/>
      <c r="CB32" s="916"/>
      <c r="CC32" s="492"/>
      <c r="CD32" s="916"/>
      <c r="CE32" s="916"/>
      <c r="CF32" s="492"/>
      <c r="CG32" s="916"/>
      <c r="CH32" s="916"/>
      <c r="CI32" s="492">
        <f t="shared" si="31"/>
        <v>0</v>
      </c>
      <c r="CJ32" s="916"/>
      <c r="CK32" s="916"/>
      <c r="CL32" s="492"/>
      <c r="CM32" s="492">
        <f t="shared" si="32"/>
        <v>0</v>
      </c>
      <c r="CN32" s="916"/>
      <c r="CO32" s="916"/>
      <c r="CP32" s="492">
        <f t="shared" si="33"/>
        <v>0</v>
      </c>
      <c r="CQ32" s="916"/>
      <c r="CR32" s="916"/>
      <c r="CS32" s="492">
        <f t="shared" si="34"/>
        <v>0</v>
      </c>
      <c r="CT32" s="916"/>
      <c r="CU32" s="916"/>
      <c r="CV32" s="492"/>
      <c r="CW32" s="492">
        <f t="shared" si="35"/>
        <v>0</v>
      </c>
      <c r="CX32" s="916"/>
      <c r="CY32" s="916"/>
      <c r="CZ32" s="916"/>
      <c r="DA32" s="492"/>
      <c r="DB32" s="492"/>
      <c r="DC32" s="492"/>
      <c r="DD32" s="492"/>
      <c r="DE32" s="492"/>
      <c r="DF32" s="492"/>
      <c r="DG32" s="492"/>
      <c r="DH32" s="492"/>
      <c r="DI32" s="916"/>
      <c r="DJ32" s="916"/>
      <c r="DK32" s="492"/>
      <c r="DL32" s="492"/>
      <c r="DM32" s="919"/>
      <c r="DN32" s="527">
        <f t="shared" si="36"/>
        <v>388000</v>
      </c>
      <c r="DO32" s="912">
        <f t="shared" si="13"/>
        <v>0</v>
      </c>
      <c r="DP32" s="913"/>
      <c r="DQ32" s="915">
        <f t="shared" si="14"/>
        <v>0</v>
      </c>
      <c r="DS32" s="762"/>
    </row>
    <row r="33" spans="1:123" ht="13.5" customHeight="1" outlineLevel="1" x14ac:dyDescent="0.25">
      <c r="A33" s="559">
        <v>5168</v>
      </c>
      <c r="B33" s="542" t="s">
        <v>116</v>
      </c>
      <c r="C33" s="915">
        <v>515000</v>
      </c>
      <c r="D33" s="915">
        <v>315000</v>
      </c>
      <c r="E33" s="915">
        <v>415000</v>
      </c>
      <c r="F33" s="915">
        <v>415000</v>
      </c>
      <c r="G33" s="915">
        <v>415000</v>
      </c>
      <c r="H33" s="915">
        <f t="shared" si="38"/>
        <v>470000</v>
      </c>
      <c r="I33" s="571"/>
      <c r="J33" s="492"/>
      <c r="K33" s="492"/>
      <c r="L33" s="492">
        <f>'[6]Všeobecná pokladna 6409'!$B$4</f>
        <v>165000</v>
      </c>
      <c r="M33" s="492"/>
      <c r="N33" s="492"/>
      <c r="O33" s="492">
        <f t="shared" si="15"/>
        <v>0</v>
      </c>
      <c r="P33" s="916"/>
      <c r="Q33" s="917"/>
      <c r="R33" s="492"/>
      <c r="S33" s="927">
        <f t="shared" si="40"/>
        <v>0</v>
      </c>
      <c r="T33" s="492"/>
      <c r="U33" s="492"/>
      <c r="V33" s="492"/>
      <c r="W33" s="492"/>
      <c r="X33" s="492"/>
      <c r="Y33" s="492"/>
      <c r="Z33" s="492"/>
      <c r="AA33" s="492">
        <f t="shared" si="16"/>
        <v>0</v>
      </c>
      <c r="AB33" s="916"/>
      <c r="AC33" s="916"/>
      <c r="AD33" s="492">
        <f t="shared" si="17"/>
        <v>0</v>
      </c>
      <c r="AE33" s="916"/>
      <c r="AF33" s="916"/>
      <c r="AG33" s="492">
        <f t="shared" si="18"/>
        <v>0</v>
      </c>
      <c r="AH33" s="916"/>
      <c r="AI33" s="916"/>
      <c r="AJ33" s="492"/>
      <c r="AK33" s="492"/>
      <c r="AL33" s="492"/>
      <c r="AM33" s="492">
        <f t="shared" si="19"/>
        <v>0</v>
      </c>
      <c r="AN33" s="916"/>
      <c r="AO33" s="916"/>
      <c r="AP33" s="492">
        <f t="shared" si="20"/>
        <v>0</v>
      </c>
      <c r="AQ33" s="916"/>
      <c r="AR33" s="916"/>
      <c r="AS33" s="492">
        <f t="shared" si="21"/>
        <v>0</v>
      </c>
      <c r="AT33" s="916"/>
      <c r="AU33" s="916"/>
      <c r="AV33" s="492">
        <f t="shared" si="22"/>
        <v>0</v>
      </c>
      <c r="AW33" s="916"/>
      <c r="AX33" s="916"/>
      <c r="AY33" s="492">
        <f t="shared" si="23"/>
        <v>0</v>
      </c>
      <c r="AZ33" s="916"/>
      <c r="BA33" s="916"/>
      <c r="BB33" s="492">
        <f t="shared" si="24"/>
        <v>0</v>
      </c>
      <c r="BC33" s="916"/>
      <c r="BD33" s="916"/>
      <c r="BE33" s="492">
        <f t="shared" si="25"/>
        <v>0</v>
      </c>
      <c r="BF33" s="916"/>
      <c r="BG33" s="916"/>
      <c r="BH33" s="492">
        <f t="shared" si="26"/>
        <v>0</v>
      </c>
      <c r="BI33" s="916"/>
      <c r="BJ33" s="916"/>
      <c r="BK33" s="492"/>
      <c r="BL33" s="492">
        <f t="shared" si="27"/>
        <v>0</v>
      </c>
      <c r="BM33" s="916"/>
      <c r="BN33" s="916"/>
      <c r="BO33" s="492">
        <f>'[6]Územní plán 3635'!$B$12</f>
        <v>300000</v>
      </c>
      <c r="BP33" s="492">
        <f t="shared" si="28"/>
        <v>0</v>
      </c>
      <c r="BQ33" s="916"/>
      <c r="BR33" s="916"/>
      <c r="BS33" s="492">
        <f t="shared" si="29"/>
        <v>0</v>
      </c>
      <c r="BT33" s="916"/>
      <c r="BU33" s="916"/>
      <c r="BV33" s="492"/>
      <c r="BW33" s="492">
        <f t="shared" si="30"/>
        <v>0</v>
      </c>
      <c r="BX33" s="916"/>
      <c r="BY33" s="916"/>
      <c r="BZ33" s="492"/>
      <c r="CA33" s="916"/>
      <c r="CB33" s="916"/>
      <c r="CC33" s="492"/>
      <c r="CD33" s="916"/>
      <c r="CE33" s="916"/>
      <c r="CF33" s="492"/>
      <c r="CG33" s="916"/>
      <c r="CH33" s="916"/>
      <c r="CI33" s="492">
        <f t="shared" si="31"/>
        <v>0</v>
      </c>
      <c r="CJ33" s="916"/>
      <c r="CK33" s="916"/>
      <c r="CL33" s="492"/>
      <c r="CM33" s="492">
        <f t="shared" si="32"/>
        <v>0</v>
      </c>
      <c r="CN33" s="916"/>
      <c r="CO33" s="916"/>
      <c r="CP33" s="492">
        <f t="shared" si="33"/>
        <v>0</v>
      </c>
      <c r="CQ33" s="916"/>
      <c r="CR33" s="916"/>
      <c r="CS33" s="492">
        <f t="shared" si="34"/>
        <v>0</v>
      </c>
      <c r="CT33" s="916"/>
      <c r="CU33" s="916"/>
      <c r="CV33" s="492"/>
      <c r="CW33" s="492">
        <f>+CX33+CY33+CZ33</f>
        <v>0</v>
      </c>
      <c r="CX33" s="916"/>
      <c r="CY33" s="916"/>
      <c r="CZ33" s="916"/>
      <c r="DA33" s="492"/>
      <c r="DB33" s="492"/>
      <c r="DC33" s="492"/>
      <c r="DD33" s="492"/>
      <c r="DE33" s="492">
        <f>'[6]Park Úvaly 3749-1'!$B$21</f>
        <v>5000</v>
      </c>
      <c r="DF33" s="492">
        <f>'[6]Park Úvaly 3749-8 dosádba'!$B$21</f>
        <v>0</v>
      </c>
      <c r="DG33" s="492"/>
      <c r="DH33" s="492"/>
      <c r="DI33" s="916"/>
      <c r="DJ33" s="916"/>
      <c r="DK33" s="492"/>
      <c r="DL33" s="492"/>
      <c r="DM33" s="919"/>
      <c r="DN33" s="527">
        <f t="shared" si="36"/>
        <v>470000</v>
      </c>
      <c r="DO33" s="912">
        <f>DN33-H33</f>
        <v>0</v>
      </c>
      <c r="DP33" s="913"/>
      <c r="DQ33" s="915">
        <f t="shared" si="14"/>
        <v>0</v>
      </c>
      <c r="DS33" s="762"/>
    </row>
    <row r="34" spans="1:123" ht="13.5" customHeight="1" outlineLevel="1" x14ac:dyDescent="0.25">
      <c r="A34" s="559">
        <v>5169</v>
      </c>
      <c r="B34" s="542" t="s">
        <v>117</v>
      </c>
      <c r="C34" s="915">
        <v>19182600</v>
      </c>
      <c r="D34" s="915">
        <v>17553923</v>
      </c>
      <c r="E34" s="915">
        <v>16592612</v>
      </c>
      <c r="F34" s="915">
        <v>16706912</v>
      </c>
      <c r="G34" s="915">
        <v>15785912</v>
      </c>
      <c r="H34" s="915">
        <f t="shared" si="38"/>
        <v>15609612</v>
      </c>
      <c r="I34" s="571"/>
      <c r="J34" s="492"/>
      <c r="K34" s="492"/>
      <c r="L34" s="492">
        <f>'[4]Všeob. pokladna'!$B$18</f>
        <v>250000</v>
      </c>
      <c r="M34" s="492">
        <f>[3]Zastupitelé!$B$51</f>
        <v>30000</v>
      </c>
      <c r="N34" s="492">
        <f>'[2]Volby '!$B$25</f>
        <v>0</v>
      </c>
      <c r="O34" s="492">
        <f t="shared" si="15"/>
        <v>1060000</v>
      </c>
      <c r="P34" s="916">
        <f>[4]Správa!$D$4+[3]Správa!$D$62</f>
        <v>1060000</v>
      </c>
      <c r="Q34" s="917">
        <f>[4]Správa!$E$4+[3]Správa!$E$62</f>
        <v>0</v>
      </c>
      <c r="R34" s="492"/>
      <c r="S34" s="928">
        <f t="shared" si="40"/>
        <v>5770000</v>
      </c>
      <c r="T34" s="492">
        <f>'[3]Pečovatelská služba'!$B$52</f>
        <v>15000</v>
      </c>
      <c r="U34" s="492">
        <f>'[3]Agentura SCSA'!$B$4</f>
        <v>200000</v>
      </c>
      <c r="V34" s="492">
        <f>'[3]Městská policie'!$B$77</f>
        <v>35000</v>
      </c>
      <c r="W34" s="492">
        <f>[3]Kronika!$B$18</f>
        <v>100000</v>
      </c>
      <c r="X34" s="492">
        <f>[3]Knihovna!$B$54</f>
        <v>15000</v>
      </c>
      <c r="Y34" s="492">
        <f>'[3]Život Úval'!$B$11</f>
        <v>450000</v>
      </c>
      <c r="Z34" s="492">
        <f>[3]Kultura!$B$28</f>
        <v>570000</v>
      </c>
      <c r="AA34" s="492">
        <f t="shared" ref="AA34:AA37" si="41">+AB34+AC34</f>
        <v>460000</v>
      </c>
      <c r="AB34" s="916">
        <f>[4]Byty!$D$25</f>
        <v>460000</v>
      </c>
      <c r="AC34" s="916">
        <f>[4]Byty!$E$25</f>
        <v>0</v>
      </c>
      <c r="AD34" s="492">
        <f t="shared" ref="AD34:AD37" si="42">+AE34+AF34</f>
        <v>150000</v>
      </c>
      <c r="AE34" s="916">
        <f>[4]DPS!$D$26</f>
        <v>150000</v>
      </c>
      <c r="AF34" s="916">
        <f>[4]DPS!$E$26</f>
        <v>0</v>
      </c>
      <c r="AG34" s="492">
        <f t="shared" ref="AG34:AG37" si="43">+AH34+AI34</f>
        <v>240000</v>
      </c>
      <c r="AH34" s="916">
        <f>[4]Nebyty!$D$4</f>
        <v>240000</v>
      </c>
      <c r="AI34" s="916">
        <f>[4]Nebyty!$E$4</f>
        <v>0</v>
      </c>
      <c r="AJ34" s="492">
        <f>[4]Hasiči!$B$18+[3]Hasiči!$B$55</f>
        <v>60000</v>
      </c>
      <c r="AK34" s="492">
        <f>'[4]Zdrav. středisko'!$B$4</f>
        <v>10000</v>
      </c>
      <c r="AL34" s="492">
        <f>[4]Tesko!$B$4</f>
        <v>0</v>
      </c>
      <c r="AM34" s="492">
        <f t="shared" ref="AM34:AM37" si="44">+AN34+AO34</f>
        <v>50000</v>
      </c>
      <c r="AN34" s="916">
        <f>[4]Hřbitov!$D$18</f>
        <v>50000</v>
      </c>
      <c r="AO34" s="916">
        <f>[4]Hřbitov!$E$18</f>
        <v>0</v>
      </c>
      <c r="AP34" s="492">
        <f t="shared" ref="AP34:AP37" si="45">+AQ34+AR34</f>
        <v>660000</v>
      </c>
      <c r="AQ34" s="916">
        <f>'[4]Sportovní zařízen+koup'!$D$14</f>
        <v>660000</v>
      </c>
      <c r="AR34" s="916">
        <f>'[4]Sportovní zařízen+koup'!$E$14</f>
        <v>0</v>
      </c>
      <c r="AS34" s="492">
        <f t="shared" ref="AS34:AS37" si="46">+AT34+AU34</f>
        <v>0</v>
      </c>
      <c r="AT34" s="916">
        <f>[4]ZŠ!$D$4</f>
        <v>0</v>
      </c>
      <c r="AU34" s="916">
        <f>[4]ZŠ!$E$4</f>
        <v>0</v>
      </c>
      <c r="AV34" s="492">
        <f t="shared" ref="AV34:AV37" si="47">+AW34+AX34</f>
        <v>36000</v>
      </c>
      <c r="AW34" s="916">
        <f>'[4]Č.p. 65'!$D$4+[3]č.p.65!$D$25</f>
        <v>36000</v>
      </c>
      <c r="AX34" s="916">
        <f>'[4]Č.p. 65'!$E$4+[3]č.p.65!$E$25</f>
        <v>0</v>
      </c>
      <c r="AY34" s="492">
        <f t="shared" ref="AY34:AY37" si="48">+AZ34+BA34</f>
        <v>30000</v>
      </c>
      <c r="AZ34" s="916">
        <f>[4]MDDM!$D$4</f>
        <v>30000</v>
      </c>
      <c r="BA34" s="916">
        <f>[4]MDDM!$E$4</f>
        <v>0</v>
      </c>
      <c r="BB34" s="492">
        <f t="shared" ref="BB34:BB37" si="49">+BC34+BD34</f>
        <v>20000</v>
      </c>
      <c r="BC34" s="916">
        <f>'[4]MŠ Pražská'!$D$11</f>
        <v>20000</v>
      </c>
      <c r="BD34" s="916">
        <f>'[4]MŠ Pražská'!$E$11</f>
        <v>0</v>
      </c>
      <c r="BE34" s="492">
        <f t="shared" ref="BE34:BE37" si="50">+BF34+BG34</f>
        <v>85000</v>
      </c>
      <c r="BF34" s="916">
        <f>'[4]MŠ Kollárova'!$D$4</f>
        <v>85000</v>
      </c>
      <c r="BG34" s="916">
        <f>'[4]MŠ Kollárova'!$E$4</f>
        <v>0</v>
      </c>
      <c r="BH34" s="492">
        <f t="shared" ref="BH34:BH37" si="51">+BI34+BJ34</f>
        <v>0</v>
      </c>
      <c r="BI34" s="916">
        <f>'[4]Jídelna ZŠ'!$D$4</f>
        <v>0</v>
      </c>
      <c r="BJ34" s="916">
        <f>'[4]Jídelna ZŠ'!$E$4</f>
        <v>0</v>
      </c>
      <c r="BK34" s="492">
        <f>'[4]Jídelna MŠ'!$B$4</f>
        <v>15000</v>
      </c>
      <c r="BL34" s="492">
        <f t="shared" ref="BL34:BL37" si="52">+BM34+BN34</f>
        <v>80000</v>
      </c>
      <c r="BM34" s="916">
        <f>'[4]MŠ Cukrovar'!$D$4</f>
        <v>80000</v>
      </c>
      <c r="BN34" s="916">
        <f>'[4]MŠ Cukrovar'!$E$4</f>
        <v>0</v>
      </c>
      <c r="BO34" s="492">
        <f>'[6]Územní plán 3635'!$B$20</f>
        <v>50000</v>
      </c>
      <c r="BP34" s="492">
        <f t="shared" ref="BP34:BP37" si="53">+BQ34+BR34</f>
        <v>252100</v>
      </c>
      <c r="BQ34" s="916">
        <f>[4]VO!$D$20</f>
        <v>252100</v>
      </c>
      <c r="BR34" s="916">
        <f>[4]VO!$E$20</f>
        <v>0</v>
      </c>
      <c r="BS34" s="492">
        <f t="shared" si="29"/>
        <v>360000</v>
      </c>
      <c r="BT34" s="514">
        <f>+'[5]Silnice světelná křižovatka'!$D$3+[4]Silnice!$D$31</f>
        <v>360000</v>
      </c>
      <c r="BU34" s="916">
        <f>'[5]Silnice světelná křižovatka'!$E$3+[4]Silnice!$E$31</f>
        <v>0</v>
      </c>
      <c r="BV34" s="492"/>
      <c r="BW34" s="492">
        <f t="shared" si="30"/>
        <v>250000</v>
      </c>
      <c r="BX34" s="514">
        <f>[4]Vodovod!$D$11</f>
        <v>250000</v>
      </c>
      <c r="BY34" s="916">
        <f>[4]Vodovod!$E$11</f>
        <v>0</v>
      </c>
      <c r="BZ34" s="492"/>
      <c r="CA34" s="514"/>
      <c r="CB34" s="916"/>
      <c r="CC34" s="492">
        <f>+CD34+CE34</f>
        <v>150000</v>
      </c>
      <c r="CD34" s="514">
        <f>[4]Kanalizace!$D$13</f>
        <v>150000</v>
      </c>
      <c r="CE34" s="916">
        <f>[4]Kanalizace!$E$13</f>
        <v>0</v>
      </c>
      <c r="CF34" s="492"/>
      <c r="CG34" s="514"/>
      <c r="CH34" s="916"/>
      <c r="CI34" s="492">
        <f>CJ34+CK34</f>
        <v>60000</v>
      </c>
      <c r="CJ34" s="916">
        <f>'[4]Inženýrské sítě'!$D$4</f>
        <v>60000</v>
      </c>
      <c r="CK34" s="916">
        <f>'[4]Inženýrské sítě'!$E$4</f>
        <v>0</v>
      </c>
      <c r="CL34" s="492">
        <f>'[6]Lesy 1036'!$B$4</f>
        <v>100000</v>
      </c>
      <c r="CM34" s="492">
        <f t="shared" si="32"/>
        <v>4950000</v>
      </c>
      <c r="CN34" s="916">
        <f>'[6]Popelnice 3722-1'!$D$20</f>
        <v>0</v>
      </c>
      <c r="CO34" s="916">
        <f>'[6]Popelnice 3722-1'!$E$20</f>
        <v>4950000</v>
      </c>
      <c r="CP34" s="866">
        <f t="shared" si="33"/>
        <v>754500</v>
      </c>
      <c r="CQ34" s="916">
        <f>'[6]Odpady 3722-34'!$D$4</f>
        <v>4500</v>
      </c>
      <c r="CR34" s="929">
        <f>'[6]Odpady 3722-34'!$E$4</f>
        <v>750000</v>
      </c>
      <c r="CS34" s="866">
        <f t="shared" si="34"/>
        <v>70000</v>
      </c>
      <c r="CT34" s="916">
        <f>'[6]Černé skládky 3729'!$D$4</f>
        <v>0</v>
      </c>
      <c r="CU34" s="929">
        <f>'[6]Černé skládky 3729'!$E$4</f>
        <v>70000</v>
      </c>
      <c r="CV34" s="492">
        <f>'[6]Povodeň 3744'!$B$12</f>
        <v>66500</v>
      </c>
      <c r="CW34" s="866">
        <f t="shared" si="35"/>
        <v>2795532</v>
      </c>
      <c r="CX34" s="916">
        <f>'[6]Příroda 3749'!$B$13</f>
        <v>2795532</v>
      </c>
      <c r="CY34" s="916"/>
      <c r="CZ34" s="929">
        <f>'[6]Příroda 3749'!$E$13</f>
        <v>0</v>
      </c>
      <c r="DA34" s="492">
        <f>[4]Rybníky!$B$4</f>
        <v>5000</v>
      </c>
      <c r="DB34" s="492"/>
      <c r="DC34" s="492"/>
      <c r="DD34" s="492"/>
      <c r="DE34" s="492"/>
      <c r="DF34" s="492"/>
      <c r="DG34" s="492"/>
      <c r="DH34" s="866">
        <f>+DI34+DJ34</f>
        <v>1124980</v>
      </c>
      <c r="DI34" s="916">
        <f>'[6]TSÚ-Sběrný dvůr 3722-36'!$D$13</f>
        <v>1124980</v>
      </c>
      <c r="DJ34" s="929">
        <f>'[6]TSÚ-Sběrný dvůr 3722-36'!$E$13</f>
        <v>0</v>
      </c>
      <c r="DK34" s="492"/>
      <c r="DL34" s="492"/>
      <c r="DM34" s="919"/>
      <c r="DN34" s="527">
        <f t="shared" si="36"/>
        <v>15609612</v>
      </c>
      <c r="DO34" s="912">
        <f t="shared" ref="DO34:DO35" si="54">DN34-H34</f>
        <v>0</v>
      </c>
      <c r="DP34" s="913"/>
      <c r="DQ34" s="915">
        <f t="shared" si="14"/>
        <v>5770000</v>
      </c>
      <c r="DS34" s="762"/>
    </row>
    <row r="35" spans="1:123" ht="13.5" customHeight="1" outlineLevel="1" x14ac:dyDescent="0.25">
      <c r="A35" s="559">
        <v>5171</v>
      </c>
      <c r="B35" s="542" t="s">
        <v>118</v>
      </c>
      <c r="C35" s="915">
        <v>14656000</v>
      </c>
      <c r="D35" s="915">
        <v>9536265</v>
      </c>
      <c r="E35" s="915">
        <v>9333500</v>
      </c>
      <c r="F35" s="915">
        <v>9333500</v>
      </c>
      <c r="G35" s="915">
        <v>8023500</v>
      </c>
      <c r="H35" s="915">
        <f t="shared" si="38"/>
        <v>12902480</v>
      </c>
      <c r="I35" s="571"/>
      <c r="J35" s="492"/>
      <c r="K35" s="492"/>
      <c r="L35" s="492"/>
      <c r="M35" s="492"/>
      <c r="N35" s="492"/>
      <c r="O35" s="492">
        <f t="shared" si="15"/>
        <v>450000</v>
      </c>
      <c r="P35" s="916">
        <f>[4]Správa!$D$11+[3]Správa!$D$70</f>
        <v>450000</v>
      </c>
      <c r="Q35" s="917">
        <f>[4]Správa!$E$11+[3]Správa!$E$70</f>
        <v>0</v>
      </c>
      <c r="R35" s="492"/>
      <c r="S35" s="928">
        <f t="shared" si="40"/>
        <v>740000</v>
      </c>
      <c r="T35" s="492">
        <f>'[3]Pečovatelská služba'!$B$59</f>
        <v>60000</v>
      </c>
      <c r="U35" s="492"/>
      <c r="V35" s="492">
        <f>'[3]Městská policie'!$B$84</f>
        <v>100000</v>
      </c>
      <c r="W35" s="492"/>
      <c r="X35" s="492">
        <f>[3]Knihovna!$B$61</f>
        <v>15000</v>
      </c>
      <c r="Y35" s="492"/>
      <c r="Z35" s="492"/>
      <c r="AA35" s="492">
        <f t="shared" si="41"/>
        <v>850000</v>
      </c>
      <c r="AB35" s="916">
        <f>[4]Byty!$D$32</f>
        <v>670000</v>
      </c>
      <c r="AC35" s="916">
        <f>[4]Byty!$E$32</f>
        <v>180000</v>
      </c>
      <c r="AD35" s="492">
        <f t="shared" si="42"/>
        <v>460000</v>
      </c>
      <c r="AE35" s="916">
        <f>[4]DPS!$D$33</f>
        <v>460000</v>
      </c>
      <c r="AF35" s="916">
        <f>[4]DPS!$E$33</f>
        <v>0</v>
      </c>
      <c r="AG35" s="492">
        <f t="shared" si="43"/>
        <v>250000</v>
      </c>
      <c r="AH35" s="916">
        <f>[4]Nebyty!$D$11</f>
        <v>250000</v>
      </c>
      <c r="AI35" s="916">
        <f>[4]Nebyty!$E$11</f>
        <v>0</v>
      </c>
      <c r="AJ35" s="492">
        <f>[4]Hasiči!$B$25+[3]Hasiči!$B$62</f>
        <v>200000</v>
      </c>
      <c r="AK35" s="492">
        <f>'[4]Zdrav. středisko'!$B$11</f>
        <v>200000</v>
      </c>
      <c r="AL35" s="492">
        <f>[4]Tesko!$B$11</f>
        <v>0</v>
      </c>
      <c r="AM35" s="492">
        <f t="shared" si="44"/>
        <v>100000</v>
      </c>
      <c r="AN35" s="916">
        <f>[4]Hřbitov!$D$25</f>
        <v>100000</v>
      </c>
      <c r="AO35" s="916">
        <f>[4]Hřbitov!$E$25</f>
        <v>0</v>
      </c>
      <c r="AP35" s="492">
        <f t="shared" si="45"/>
        <v>500000</v>
      </c>
      <c r="AQ35" s="916">
        <f>'[4]Sportovní zařízen+koup'!$D$24</f>
        <v>350000</v>
      </c>
      <c r="AR35" s="916">
        <f>'[4]Sportovní zařízen+koup'!$E$24</f>
        <v>150000</v>
      </c>
      <c r="AS35" s="492">
        <f t="shared" si="46"/>
        <v>0</v>
      </c>
      <c r="AT35" s="916">
        <f>[4]ZŠ!$D$13</f>
        <v>0</v>
      </c>
      <c r="AU35" s="916">
        <f>[4]ZŠ!$E$13</f>
        <v>0</v>
      </c>
      <c r="AV35" s="492">
        <f t="shared" si="47"/>
        <v>80000</v>
      </c>
      <c r="AW35" s="916">
        <f>'[4]Č.p. 65'!$D$11+[3]č.p.65!$D$32</f>
        <v>80000</v>
      </c>
      <c r="AX35" s="916">
        <f>'[4]Č.p. 65'!$E$11+[3]č.p.65!$E$32</f>
        <v>0</v>
      </c>
      <c r="AY35" s="492">
        <f t="shared" si="48"/>
        <v>150000</v>
      </c>
      <c r="AZ35" s="916">
        <f>[4]MDDM!$D$11</f>
        <v>150000</v>
      </c>
      <c r="BA35" s="916">
        <f>[4]MDDM!$E$11</f>
        <v>0</v>
      </c>
      <c r="BB35" s="492">
        <f t="shared" si="49"/>
        <v>60000</v>
      </c>
      <c r="BC35" s="916">
        <f>'[4]MŠ Pražská'!$D$18</f>
        <v>40000</v>
      </c>
      <c r="BD35" s="916">
        <f>'[4]MŠ Pražská'!$E$18</f>
        <v>20000</v>
      </c>
      <c r="BE35" s="492">
        <f t="shared" si="50"/>
        <v>976000</v>
      </c>
      <c r="BF35" s="916">
        <f>'[4]MŠ Kollárova'!$D$11</f>
        <v>956000</v>
      </c>
      <c r="BG35" s="916">
        <f>'[4]MŠ Kollárova'!$E$11</f>
        <v>20000</v>
      </c>
      <c r="BH35" s="492">
        <f t="shared" si="51"/>
        <v>0</v>
      </c>
      <c r="BI35" s="916">
        <f>'[4]Jídelna ZŠ'!$D$11</f>
        <v>0</v>
      </c>
      <c r="BJ35" s="916">
        <f>'[4]Jídelna ZŠ'!$E$11</f>
        <v>0</v>
      </c>
      <c r="BK35" s="492">
        <f>'[4]Jídelna MŠ'!$B$11</f>
        <v>50000</v>
      </c>
      <c r="BL35" s="492">
        <f t="shared" si="52"/>
        <v>120000</v>
      </c>
      <c r="BM35" s="916">
        <f>'[4]MŠ Cukrovar'!$D$12</f>
        <v>100000</v>
      </c>
      <c r="BN35" s="916">
        <f>'[4]MŠ Cukrovar'!$E$12</f>
        <v>20000</v>
      </c>
      <c r="BO35" s="492"/>
      <c r="BP35" s="492">
        <f t="shared" si="53"/>
        <v>340000</v>
      </c>
      <c r="BQ35" s="916">
        <f>[4]VO!$D$29</f>
        <v>90000</v>
      </c>
      <c r="BR35" s="916">
        <f>[4]VO!$E$29</f>
        <v>250000</v>
      </c>
      <c r="BS35" s="492">
        <f t="shared" si="29"/>
        <v>4611480</v>
      </c>
      <c r="BT35" s="514">
        <f>+[4]Silnice!$D$40</f>
        <v>4511480</v>
      </c>
      <c r="BU35" s="916">
        <f>[4]Silnice!$E$40</f>
        <v>100000</v>
      </c>
      <c r="BV35" s="492"/>
      <c r="BW35" s="492">
        <f t="shared" si="30"/>
        <v>600000</v>
      </c>
      <c r="BX35" s="514">
        <f>[4]Vodovod!$D$19</f>
        <v>600000</v>
      </c>
      <c r="BY35" s="916">
        <f>[4]Vodovod!$E$19</f>
        <v>0</v>
      </c>
      <c r="BZ35" s="545">
        <f>+CB35+CA35</f>
        <v>1000000</v>
      </c>
      <c r="CA35" s="514">
        <f>'[5]Vodovod obnova'!$D$4</f>
        <v>1000000</v>
      </c>
      <c r="CB35" s="916">
        <f>'[5]Vodovod obnova'!$E$4</f>
        <v>0</v>
      </c>
      <c r="CC35" s="492">
        <f t="shared" ref="CC35:CC37" si="55">+CD35+CE35</f>
        <v>640000</v>
      </c>
      <c r="CD35" s="514">
        <f>[4]Kanalizace!$D$22</f>
        <v>640000</v>
      </c>
      <c r="CE35" s="916">
        <f>[4]Kanalizace!$E$22</f>
        <v>0</v>
      </c>
      <c r="CF35" s="545">
        <f>+CH35+CG35</f>
        <v>1000000</v>
      </c>
      <c r="CG35" s="514">
        <f>'[5]Kanalizace obnova'!$D$4</f>
        <v>1000000</v>
      </c>
      <c r="CH35" s="916">
        <f>'[5]Kanalizace obnova'!$E$4</f>
        <v>0</v>
      </c>
      <c r="CI35" s="492">
        <f t="shared" si="31"/>
        <v>90000</v>
      </c>
      <c r="CJ35" s="916">
        <f>'[4]Inženýrské sítě'!$D$11</f>
        <v>90000</v>
      </c>
      <c r="CK35" s="916">
        <f>'[4]Inženýrské sítě'!$E$11</f>
        <v>0</v>
      </c>
      <c r="CL35" s="492"/>
      <c r="CM35" s="492">
        <f t="shared" si="32"/>
        <v>0</v>
      </c>
      <c r="CN35" s="916"/>
      <c r="CO35" s="916"/>
      <c r="CP35" s="492">
        <f t="shared" si="33"/>
        <v>0</v>
      </c>
      <c r="CQ35" s="916"/>
      <c r="CR35" s="916"/>
      <c r="CS35" s="492">
        <f t="shared" si="34"/>
        <v>0</v>
      </c>
      <c r="CT35" s="916"/>
      <c r="CU35" s="916"/>
      <c r="CV35" s="492"/>
      <c r="CW35" s="492">
        <f t="shared" si="35"/>
        <v>0</v>
      </c>
      <c r="CX35" s="916"/>
      <c r="CY35" s="916"/>
      <c r="CZ35" s="916"/>
      <c r="DA35" s="492">
        <f>[4]Rybníky!$B$13</f>
        <v>0</v>
      </c>
      <c r="DB35" s="492"/>
      <c r="DC35" s="492"/>
      <c r="DD35" s="492"/>
      <c r="DE35" s="492"/>
      <c r="DF35" s="492"/>
      <c r="DG35" s="492"/>
      <c r="DH35" s="492"/>
      <c r="DI35" s="916"/>
      <c r="DJ35" s="916"/>
      <c r="DK35" s="492"/>
      <c r="DL35" s="492"/>
      <c r="DM35" s="919"/>
      <c r="DN35" s="527">
        <f t="shared" si="36"/>
        <v>12902480</v>
      </c>
      <c r="DO35" s="912">
        <f t="shared" si="54"/>
        <v>0</v>
      </c>
      <c r="DP35" s="930"/>
      <c r="DQ35" s="915">
        <f>+Q35+AC35+AF35++AI35+AO35+AR35+AU35+AX35+BA35+BD35+BG35+BJ35+BN35+BR35+BU35+BY35+CK35+CO35+CR35+CU35+CZ35+CB35+CH35</f>
        <v>740000</v>
      </c>
      <c r="DS35" s="762"/>
    </row>
    <row r="36" spans="1:123" ht="13.5" customHeight="1" outlineLevel="1" x14ac:dyDescent="0.25">
      <c r="A36" s="559">
        <v>5172</v>
      </c>
      <c r="B36" s="542" t="s">
        <v>119</v>
      </c>
      <c r="C36" s="915">
        <v>1341000</v>
      </c>
      <c r="D36" s="915">
        <v>1892000</v>
      </c>
      <c r="E36" s="915">
        <v>2046000</v>
      </c>
      <c r="F36" s="915">
        <v>2052000</v>
      </c>
      <c r="G36" s="915">
        <v>1987000</v>
      </c>
      <c r="H36" s="915">
        <f t="shared" si="38"/>
        <v>3011000</v>
      </c>
      <c r="I36" s="571"/>
      <c r="J36" s="492"/>
      <c r="K36" s="492"/>
      <c r="L36" s="492"/>
      <c r="M36" s="492"/>
      <c r="N36" s="492"/>
      <c r="O36" s="492">
        <f t="shared" si="15"/>
        <v>2700000</v>
      </c>
      <c r="P36" s="916">
        <f>[3]Správa!$D$77</f>
        <v>2700000</v>
      </c>
      <c r="Q36" s="917">
        <f>[3]Správa!$E$77</f>
        <v>0</v>
      </c>
      <c r="R36" s="492"/>
      <c r="S36" s="927">
        <f t="shared" si="40"/>
        <v>0</v>
      </c>
      <c r="T36" s="492">
        <f>'[3]Pečovatelská služba'!$B$66</f>
        <v>10000</v>
      </c>
      <c r="U36" s="492"/>
      <c r="V36" s="492">
        <f>'[3]Městská policie'!$B$91</f>
        <v>200000</v>
      </c>
      <c r="W36" s="492">
        <f>[3]Kronika!$B$25</f>
        <v>6000</v>
      </c>
      <c r="X36" s="492">
        <f>[3]Knihovna!$B$68</f>
        <v>65000</v>
      </c>
      <c r="Y36" s="492"/>
      <c r="Z36" s="492"/>
      <c r="AA36" s="492">
        <f t="shared" si="41"/>
        <v>0</v>
      </c>
      <c r="AB36" s="916"/>
      <c r="AC36" s="916"/>
      <c r="AD36" s="492">
        <f t="shared" si="42"/>
        <v>0</v>
      </c>
      <c r="AE36" s="916"/>
      <c r="AF36" s="916"/>
      <c r="AG36" s="492">
        <f t="shared" si="43"/>
        <v>0</v>
      </c>
      <c r="AH36" s="916"/>
      <c r="AI36" s="916"/>
      <c r="AJ36" s="492">
        <f>[3]Hasiči!$B$69</f>
        <v>30000</v>
      </c>
      <c r="AK36" s="492"/>
      <c r="AL36" s="492"/>
      <c r="AM36" s="492">
        <f t="shared" si="44"/>
        <v>0</v>
      </c>
      <c r="AN36" s="916"/>
      <c r="AO36" s="916"/>
      <c r="AP36" s="492">
        <f t="shared" si="45"/>
        <v>0</v>
      </c>
      <c r="AQ36" s="916"/>
      <c r="AR36" s="916"/>
      <c r="AS36" s="492">
        <f t="shared" si="46"/>
        <v>0</v>
      </c>
      <c r="AT36" s="916"/>
      <c r="AU36" s="916"/>
      <c r="AV36" s="492">
        <f t="shared" si="47"/>
        <v>0</v>
      </c>
      <c r="AW36" s="916"/>
      <c r="AX36" s="916"/>
      <c r="AY36" s="492">
        <f t="shared" si="48"/>
        <v>0</v>
      </c>
      <c r="AZ36" s="916"/>
      <c r="BA36" s="916"/>
      <c r="BB36" s="492">
        <f t="shared" si="49"/>
        <v>0</v>
      </c>
      <c r="BC36" s="916"/>
      <c r="BD36" s="916"/>
      <c r="BE36" s="492">
        <f t="shared" si="50"/>
        <v>0</v>
      </c>
      <c r="BF36" s="916"/>
      <c r="BG36" s="916"/>
      <c r="BH36" s="492">
        <f t="shared" si="51"/>
        <v>0</v>
      </c>
      <c r="BI36" s="916"/>
      <c r="BJ36" s="916"/>
      <c r="BK36" s="492"/>
      <c r="BL36" s="492">
        <f t="shared" si="52"/>
        <v>0</v>
      </c>
      <c r="BM36" s="916"/>
      <c r="BN36" s="916"/>
      <c r="BO36" s="492"/>
      <c r="BP36" s="492">
        <f t="shared" si="53"/>
        <v>0</v>
      </c>
      <c r="BQ36" s="916"/>
      <c r="BR36" s="916"/>
      <c r="BS36" s="492">
        <f t="shared" si="29"/>
        <v>0</v>
      </c>
      <c r="BT36" s="916"/>
      <c r="BU36" s="916"/>
      <c r="BV36" s="492"/>
      <c r="BW36" s="492">
        <f t="shared" si="30"/>
        <v>0</v>
      </c>
      <c r="BX36" s="916"/>
      <c r="BY36" s="916"/>
      <c r="BZ36" s="492"/>
      <c r="CA36" s="916"/>
      <c r="CB36" s="916"/>
      <c r="CC36" s="492">
        <f t="shared" si="55"/>
        <v>0</v>
      </c>
      <c r="CD36" s="916"/>
      <c r="CE36" s="916"/>
      <c r="CF36" s="492"/>
      <c r="CG36" s="916"/>
      <c r="CH36" s="916"/>
      <c r="CI36" s="492">
        <f t="shared" si="31"/>
        <v>0</v>
      </c>
      <c r="CJ36" s="916"/>
      <c r="CK36" s="916"/>
      <c r="CL36" s="492"/>
      <c r="CM36" s="492">
        <f t="shared" si="32"/>
        <v>0</v>
      </c>
      <c r="CN36" s="916"/>
      <c r="CO36" s="916"/>
      <c r="CP36" s="492">
        <f t="shared" si="33"/>
        <v>0</v>
      </c>
      <c r="CQ36" s="916"/>
      <c r="CR36" s="916"/>
      <c r="CS36" s="492">
        <f t="shared" si="34"/>
        <v>0</v>
      </c>
      <c r="CT36" s="916"/>
      <c r="CU36" s="916"/>
      <c r="CV36" s="492"/>
      <c r="CW36" s="492">
        <f t="shared" si="35"/>
        <v>0</v>
      </c>
      <c r="CX36" s="916"/>
      <c r="CY36" s="916"/>
      <c r="CZ36" s="916"/>
      <c r="DA36" s="492"/>
      <c r="DB36" s="492"/>
      <c r="DC36" s="492"/>
      <c r="DD36" s="492"/>
      <c r="DE36" s="492"/>
      <c r="DF36" s="492"/>
      <c r="DG36" s="492"/>
      <c r="DH36" s="492"/>
      <c r="DI36" s="916"/>
      <c r="DJ36" s="916"/>
      <c r="DK36" s="492"/>
      <c r="DL36" s="492"/>
      <c r="DM36" s="919"/>
      <c r="DN36" s="527">
        <f t="shared" si="36"/>
        <v>3011000</v>
      </c>
      <c r="DO36" s="912">
        <f t="shared" si="13"/>
        <v>0</v>
      </c>
      <c r="DP36" s="913"/>
      <c r="DQ36" s="915">
        <f t="shared" si="14"/>
        <v>0</v>
      </c>
      <c r="DS36" s="762"/>
    </row>
    <row r="37" spans="1:123" ht="13.5" customHeight="1" outlineLevel="1" x14ac:dyDescent="0.25">
      <c r="A37" s="559">
        <v>5173</v>
      </c>
      <c r="B37" s="542" t="s">
        <v>120</v>
      </c>
      <c r="C37" s="915">
        <v>77000</v>
      </c>
      <c r="D37" s="915">
        <v>72000</v>
      </c>
      <c r="E37" s="915">
        <v>62000</v>
      </c>
      <c r="F37" s="915">
        <v>62000</v>
      </c>
      <c r="G37" s="915">
        <v>62000</v>
      </c>
      <c r="H37" s="915">
        <f t="shared" si="38"/>
        <v>62000</v>
      </c>
      <c r="I37" s="571"/>
      <c r="J37" s="492"/>
      <c r="K37" s="492"/>
      <c r="L37" s="492"/>
      <c r="M37" s="492">
        <f>[3]Zastupitelé!$B$58</f>
        <v>20000</v>
      </c>
      <c r="N37" s="492"/>
      <c r="O37" s="492">
        <f t="shared" si="15"/>
        <v>30000</v>
      </c>
      <c r="P37" s="916">
        <f>[3]Správa!$D$84</f>
        <v>30000</v>
      </c>
      <c r="Q37" s="917">
        <f>[3]Správa!$E$84</f>
        <v>0</v>
      </c>
      <c r="R37" s="492"/>
      <c r="S37" s="927">
        <f t="shared" si="40"/>
        <v>0</v>
      </c>
      <c r="T37" s="492">
        <f>'[3]Pečovatelská služba'!$B$73</f>
        <v>1000</v>
      </c>
      <c r="U37" s="492"/>
      <c r="V37" s="492">
        <f>'[3]Městská policie'!$B$98</f>
        <v>10000</v>
      </c>
      <c r="W37" s="492"/>
      <c r="X37" s="492">
        <f>[3]Knihovna!$B$75</f>
        <v>1000</v>
      </c>
      <c r="Y37" s="492"/>
      <c r="Z37" s="492"/>
      <c r="AA37" s="492">
        <f t="shared" si="41"/>
        <v>0</v>
      </c>
      <c r="AB37" s="916"/>
      <c r="AC37" s="916"/>
      <c r="AD37" s="492">
        <f t="shared" si="42"/>
        <v>0</v>
      </c>
      <c r="AE37" s="916"/>
      <c r="AF37" s="916"/>
      <c r="AG37" s="492">
        <f t="shared" si="43"/>
        <v>0</v>
      </c>
      <c r="AH37" s="916"/>
      <c r="AI37" s="916"/>
      <c r="AJ37" s="492"/>
      <c r="AK37" s="492"/>
      <c r="AL37" s="492"/>
      <c r="AM37" s="492">
        <f t="shared" si="44"/>
        <v>0</v>
      </c>
      <c r="AN37" s="916"/>
      <c r="AO37" s="916"/>
      <c r="AP37" s="492">
        <f t="shared" si="45"/>
        <v>0</v>
      </c>
      <c r="AQ37" s="916"/>
      <c r="AR37" s="916"/>
      <c r="AS37" s="492">
        <f t="shared" si="46"/>
        <v>0</v>
      </c>
      <c r="AT37" s="916"/>
      <c r="AU37" s="916"/>
      <c r="AV37" s="492">
        <f t="shared" si="47"/>
        <v>0</v>
      </c>
      <c r="AW37" s="916"/>
      <c r="AX37" s="916"/>
      <c r="AY37" s="492">
        <f t="shared" si="48"/>
        <v>0</v>
      </c>
      <c r="AZ37" s="916"/>
      <c r="BA37" s="916"/>
      <c r="BB37" s="492">
        <f t="shared" si="49"/>
        <v>0</v>
      </c>
      <c r="BC37" s="916"/>
      <c r="BD37" s="916"/>
      <c r="BE37" s="492">
        <f t="shared" si="50"/>
        <v>0</v>
      </c>
      <c r="BF37" s="916"/>
      <c r="BG37" s="916"/>
      <c r="BH37" s="492">
        <f t="shared" si="51"/>
        <v>0</v>
      </c>
      <c r="BI37" s="916"/>
      <c r="BJ37" s="916"/>
      <c r="BK37" s="492"/>
      <c r="BL37" s="492">
        <f t="shared" si="52"/>
        <v>0</v>
      </c>
      <c r="BM37" s="916"/>
      <c r="BN37" s="916"/>
      <c r="BO37" s="492"/>
      <c r="BP37" s="492">
        <f t="shared" si="53"/>
        <v>0</v>
      </c>
      <c r="BQ37" s="916"/>
      <c r="BR37" s="916"/>
      <c r="BS37" s="492">
        <f t="shared" si="29"/>
        <v>0</v>
      </c>
      <c r="BT37" s="916"/>
      <c r="BU37" s="916"/>
      <c r="BV37" s="492"/>
      <c r="BW37" s="492">
        <f t="shared" si="30"/>
        <v>0</v>
      </c>
      <c r="BX37" s="916"/>
      <c r="BY37" s="916"/>
      <c r="BZ37" s="492"/>
      <c r="CA37" s="916"/>
      <c r="CB37" s="916"/>
      <c r="CC37" s="492">
        <f t="shared" si="55"/>
        <v>0</v>
      </c>
      <c r="CD37" s="916"/>
      <c r="CE37" s="916"/>
      <c r="CF37" s="492"/>
      <c r="CG37" s="916"/>
      <c r="CH37" s="916"/>
      <c r="CI37" s="492">
        <f t="shared" si="31"/>
        <v>0</v>
      </c>
      <c r="CJ37" s="916"/>
      <c r="CK37" s="916"/>
      <c r="CL37" s="492"/>
      <c r="CM37" s="492">
        <f t="shared" si="32"/>
        <v>0</v>
      </c>
      <c r="CN37" s="916"/>
      <c r="CO37" s="916"/>
      <c r="CP37" s="492">
        <f t="shared" si="33"/>
        <v>0</v>
      </c>
      <c r="CQ37" s="916"/>
      <c r="CR37" s="916"/>
      <c r="CS37" s="492">
        <f t="shared" si="34"/>
        <v>0</v>
      </c>
      <c r="CT37" s="916"/>
      <c r="CU37" s="916"/>
      <c r="CV37" s="492"/>
      <c r="CW37" s="492">
        <f t="shared" si="35"/>
        <v>0</v>
      </c>
      <c r="CX37" s="916"/>
      <c r="CY37" s="916"/>
      <c r="CZ37" s="916"/>
      <c r="DA37" s="492"/>
      <c r="DB37" s="492"/>
      <c r="DC37" s="492"/>
      <c r="DD37" s="492"/>
      <c r="DE37" s="492"/>
      <c r="DF37" s="492"/>
      <c r="DG37" s="492"/>
      <c r="DH37" s="492"/>
      <c r="DI37" s="916"/>
      <c r="DJ37" s="916"/>
      <c r="DK37" s="492"/>
      <c r="DL37" s="492"/>
      <c r="DM37" s="919"/>
      <c r="DN37" s="527">
        <f t="shared" si="36"/>
        <v>62000</v>
      </c>
      <c r="DO37" s="912">
        <f t="shared" si="13"/>
        <v>0</v>
      </c>
      <c r="DP37" s="913"/>
      <c r="DQ37" s="915">
        <f t="shared" si="14"/>
        <v>0</v>
      </c>
      <c r="DS37" s="762"/>
    </row>
    <row r="38" spans="1:123" ht="13.5" customHeight="1" outlineLevel="1" x14ac:dyDescent="0.25">
      <c r="A38" s="559">
        <v>5175</v>
      </c>
      <c r="B38" s="542" t="s">
        <v>121</v>
      </c>
      <c r="C38" s="915">
        <v>361553</v>
      </c>
      <c r="D38" s="915">
        <v>357430</v>
      </c>
      <c r="E38" s="915">
        <v>353000</v>
      </c>
      <c r="F38" s="915">
        <v>353000</v>
      </c>
      <c r="G38" s="915">
        <v>313000</v>
      </c>
      <c r="H38" s="915">
        <f t="shared" si="38"/>
        <v>353000</v>
      </c>
      <c r="I38" s="571"/>
      <c r="J38" s="492"/>
      <c r="K38" s="492"/>
      <c r="L38" s="492"/>
      <c r="M38" s="492">
        <f>[3]Zastupitelé!$B$65</f>
        <v>140000</v>
      </c>
      <c r="N38" s="492">
        <f>'[2]Volby '!$B$32</f>
        <v>0</v>
      </c>
      <c r="O38" s="492">
        <f t="shared" si="15"/>
        <v>120000</v>
      </c>
      <c r="P38" s="916">
        <f>[3]Správa!$D$91</f>
        <v>120000</v>
      </c>
      <c r="Q38" s="917">
        <f>[3]Správa!$E$91</f>
        <v>0</v>
      </c>
      <c r="R38" s="492"/>
      <c r="S38" s="927">
        <f t="shared" si="40"/>
        <v>0</v>
      </c>
      <c r="T38" s="492">
        <f>'[3]Pečovatelská služba'!$B$80</f>
        <v>12000</v>
      </c>
      <c r="U38" s="492"/>
      <c r="V38" s="492">
        <f>'[3]Městská policie'!$B$105</f>
        <v>20000</v>
      </c>
      <c r="W38" s="492"/>
      <c r="X38" s="492">
        <f>[3]Knihovna!$B$82</f>
        <v>1000</v>
      </c>
      <c r="Y38" s="492"/>
      <c r="Z38" s="492">
        <f>[3]Kultura!$B$39</f>
        <v>55000</v>
      </c>
      <c r="AA38" s="492">
        <f t="shared" si="16"/>
        <v>0</v>
      </c>
      <c r="AB38" s="916"/>
      <c r="AC38" s="916"/>
      <c r="AD38" s="492">
        <f t="shared" si="17"/>
        <v>0</v>
      </c>
      <c r="AE38" s="916"/>
      <c r="AF38" s="916"/>
      <c r="AG38" s="492">
        <f t="shared" si="18"/>
        <v>0</v>
      </c>
      <c r="AH38" s="916"/>
      <c r="AI38" s="916"/>
      <c r="AJ38" s="492">
        <f>[3]Hasiči!$B$76</f>
        <v>5000</v>
      </c>
      <c r="AK38" s="492"/>
      <c r="AL38" s="492"/>
      <c r="AM38" s="492">
        <f t="shared" si="19"/>
        <v>0</v>
      </c>
      <c r="AN38" s="916"/>
      <c r="AO38" s="916"/>
      <c r="AP38" s="492">
        <f t="shared" si="20"/>
        <v>0</v>
      </c>
      <c r="AQ38" s="916"/>
      <c r="AR38" s="916"/>
      <c r="AS38" s="492">
        <f t="shared" si="21"/>
        <v>0</v>
      </c>
      <c r="AT38" s="916"/>
      <c r="AU38" s="916"/>
      <c r="AV38" s="492">
        <f t="shared" si="22"/>
        <v>0</v>
      </c>
      <c r="AW38" s="916">
        <f>[3]č.p.65!$D$39</f>
        <v>0</v>
      </c>
      <c r="AX38" s="916">
        <f>[3]č.p.65!$E$39</f>
        <v>0</v>
      </c>
      <c r="AY38" s="492">
        <f t="shared" si="23"/>
        <v>0</v>
      </c>
      <c r="AZ38" s="916"/>
      <c r="BA38" s="916"/>
      <c r="BB38" s="492">
        <f t="shared" si="24"/>
        <v>0</v>
      </c>
      <c r="BC38" s="916"/>
      <c r="BD38" s="916"/>
      <c r="BE38" s="492">
        <f t="shared" si="25"/>
        <v>0</v>
      </c>
      <c r="BF38" s="916"/>
      <c r="BG38" s="916"/>
      <c r="BH38" s="492">
        <f t="shared" si="26"/>
        <v>0</v>
      </c>
      <c r="BI38" s="916"/>
      <c r="BJ38" s="916"/>
      <c r="BK38" s="492"/>
      <c r="BL38" s="492">
        <f t="shared" si="27"/>
        <v>0</v>
      </c>
      <c r="BM38" s="916"/>
      <c r="BN38" s="916"/>
      <c r="BO38" s="492"/>
      <c r="BP38" s="492">
        <f t="shared" si="28"/>
        <v>0</v>
      </c>
      <c r="BQ38" s="916"/>
      <c r="BR38" s="916"/>
      <c r="BS38" s="492">
        <f t="shared" si="29"/>
        <v>0</v>
      </c>
      <c r="BT38" s="916"/>
      <c r="BU38" s="916"/>
      <c r="BV38" s="492"/>
      <c r="BW38" s="492">
        <f t="shared" si="30"/>
        <v>0</v>
      </c>
      <c r="BX38" s="916"/>
      <c r="BY38" s="916"/>
      <c r="BZ38" s="492"/>
      <c r="CA38" s="916"/>
      <c r="CB38" s="916"/>
      <c r="CC38" s="492"/>
      <c r="CD38" s="916"/>
      <c r="CE38" s="916"/>
      <c r="CF38" s="492"/>
      <c r="CG38" s="916"/>
      <c r="CH38" s="916"/>
      <c r="CI38" s="492">
        <f t="shared" si="31"/>
        <v>0</v>
      </c>
      <c r="CJ38" s="916"/>
      <c r="CK38" s="916"/>
      <c r="CL38" s="492"/>
      <c r="CM38" s="492">
        <f t="shared" si="32"/>
        <v>0</v>
      </c>
      <c r="CN38" s="916"/>
      <c r="CO38" s="916"/>
      <c r="CP38" s="492">
        <f t="shared" si="33"/>
        <v>0</v>
      </c>
      <c r="CQ38" s="916"/>
      <c r="CR38" s="916"/>
      <c r="CS38" s="492">
        <f t="shared" si="34"/>
        <v>0</v>
      </c>
      <c r="CT38" s="916"/>
      <c r="CU38" s="916"/>
      <c r="CV38" s="492"/>
      <c r="CW38" s="492">
        <f t="shared" si="35"/>
        <v>0</v>
      </c>
      <c r="CX38" s="916"/>
      <c r="CY38" s="916"/>
      <c r="CZ38" s="916"/>
      <c r="DA38" s="492"/>
      <c r="DB38" s="492"/>
      <c r="DC38" s="492"/>
      <c r="DD38" s="492"/>
      <c r="DE38" s="492"/>
      <c r="DF38" s="492"/>
      <c r="DG38" s="492"/>
      <c r="DH38" s="492"/>
      <c r="DI38" s="916"/>
      <c r="DJ38" s="916"/>
      <c r="DK38" s="492"/>
      <c r="DL38" s="492"/>
      <c r="DM38" s="919"/>
      <c r="DN38" s="527">
        <f t="shared" si="36"/>
        <v>353000</v>
      </c>
      <c r="DO38" s="912">
        <f t="shared" si="13"/>
        <v>0</v>
      </c>
      <c r="DP38" s="913"/>
      <c r="DQ38" s="915">
        <f t="shared" si="14"/>
        <v>0</v>
      </c>
      <c r="DS38" s="762"/>
    </row>
    <row r="39" spans="1:123" ht="13.5" customHeight="1" outlineLevel="1" x14ac:dyDescent="0.25">
      <c r="A39" s="559">
        <v>5179</v>
      </c>
      <c r="B39" s="542" t="s">
        <v>122</v>
      </c>
      <c r="C39" s="915">
        <v>0</v>
      </c>
      <c r="D39" s="915">
        <v>0</v>
      </c>
      <c r="E39" s="915">
        <v>0</v>
      </c>
      <c r="F39" s="915">
        <v>0</v>
      </c>
      <c r="G39" s="915">
        <v>0</v>
      </c>
      <c r="H39" s="915">
        <f t="shared" si="38"/>
        <v>0</v>
      </c>
      <c r="I39" s="571"/>
      <c r="J39" s="492"/>
      <c r="K39" s="492"/>
      <c r="L39" s="492"/>
      <c r="M39" s="492"/>
      <c r="N39" s="492"/>
      <c r="O39" s="492">
        <f t="shared" si="15"/>
        <v>0</v>
      </c>
      <c r="P39" s="916">
        <f>[3]Správa!$D$98</f>
        <v>0</v>
      </c>
      <c r="Q39" s="917">
        <f>[3]Správa!$E$98</f>
        <v>0</v>
      </c>
      <c r="R39" s="492"/>
      <c r="S39" s="927">
        <f t="shared" si="40"/>
        <v>0</v>
      </c>
      <c r="T39" s="492"/>
      <c r="U39" s="492"/>
      <c r="V39" s="492"/>
      <c r="W39" s="492"/>
      <c r="X39" s="492"/>
      <c r="Y39" s="492"/>
      <c r="Z39" s="492"/>
      <c r="AA39" s="492">
        <f t="shared" si="16"/>
        <v>0</v>
      </c>
      <c r="AB39" s="916"/>
      <c r="AC39" s="916"/>
      <c r="AD39" s="492">
        <f t="shared" si="17"/>
        <v>0</v>
      </c>
      <c r="AE39" s="916"/>
      <c r="AF39" s="916"/>
      <c r="AG39" s="492">
        <f t="shared" si="18"/>
        <v>0</v>
      </c>
      <c r="AH39" s="916"/>
      <c r="AI39" s="916"/>
      <c r="AJ39" s="492"/>
      <c r="AK39" s="492"/>
      <c r="AL39" s="492"/>
      <c r="AM39" s="492">
        <f t="shared" si="19"/>
        <v>0</v>
      </c>
      <c r="AN39" s="916"/>
      <c r="AO39" s="916"/>
      <c r="AP39" s="492">
        <f t="shared" si="20"/>
        <v>0</v>
      </c>
      <c r="AQ39" s="916"/>
      <c r="AR39" s="916"/>
      <c r="AS39" s="492">
        <f t="shared" si="21"/>
        <v>0</v>
      </c>
      <c r="AT39" s="916"/>
      <c r="AU39" s="916"/>
      <c r="AV39" s="492">
        <f t="shared" si="22"/>
        <v>0</v>
      </c>
      <c r="AW39" s="916"/>
      <c r="AX39" s="916"/>
      <c r="AY39" s="492">
        <f t="shared" si="23"/>
        <v>0</v>
      </c>
      <c r="AZ39" s="916"/>
      <c r="BA39" s="916"/>
      <c r="BB39" s="492">
        <f t="shared" si="24"/>
        <v>0</v>
      </c>
      <c r="BC39" s="916"/>
      <c r="BD39" s="916"/>
      <c r="BE39" s="492">
        <f t="shared" si="25"/>
        <v>0</v>
      </c>
      <c r="BF39" s="916"/>
      <c r="BG39" s="916"/>
      <c r="BH39" s="492">
        <f t="shared" si="26"/>
        <v>0</v>
      </c>
      <c r="BI39" s="916"/>
      <c r="BJ39" s="916"/>
      <c r="BK39" s="492"/>
      <c r="BL39" s="492">
        <f t="shared" si="27"/>
        <v>0</v>
      </c>
      <c r="BM39" s="916"/>
      <c r="BN39" s="916"/>
      <c r="BO39" s="492"/>
      <c r="BP39" s="492">
        <f t="shared" si="28"/>
        <v>0</v>
      </c>
      <c r="BQ39" s="916"/>
      <c r="BR39" s="916"/>
      <c r="BS39" s="492">
        <f t="shared" si="29"/>
        <v>0</v>
      </c>
      <c r="BT39" s="916"/>
      <c r="BU39" s="916"/>
      <c r="BV39" s="492"/>
      <c r="BW39" s="492">
        <f t="shared" si="30"/>
        <v>0</v>
      </c>
      <c r="BX39" s="916"/>
      <c r="BY39" s="916"/>
      <c r="BZ39" s="492"/>
      <c r="CA39" s="916"/>
      <c r="CB39" s="916"/>
      <c r="CC39" s="492"/>
      <c r="CD39" s="916"/>
      <c r="CE39" s="916"/>
      <c r="CF39" s="492"/>
      <c r="CG39" s="916"/>
      <c r="CH39" s="916"/>
      <c r="CI39" s="492">
        <f t="shared" si="31"/>
        <v>0</v>
      </c>
      <c r="CJ39" s="916"/>
      <c r="CK39" s="916"/>
      <c r="CL39" s="492"/>
      <c r="CM39" s="492">
        <f t="shared" si="32"/>
        <v>0</v>
      </c>
      <c r="CN39" s="916"/>
      <c r="CO39" s="916"/>
      <c r="CP39" s="492">
        <f t="shared" si="33"/>
        <v>0</v>
      </c>
      <c r="CQ39" s="916"/>
      <c r="CR39" s="916"/>
      <c r="CS39" s="492">
        <f t="shared" si="34"/>
        <v>0</v>
      </c>
      <c r="CT39" s="916"/>
      <c r="CU39" s="916"/>
      <c r="CV39" s="492"/>
      <c r="CW39" s="492">
        <f t="shared" si="35"/>
        <v>0</v>
      </c>
      <c r="CX39" s="916"/>
      <c r="CY39" s="916"/>
      <c r="CZ39" s="916"/>
      <c r="DA39" s="492"/>
      <c r="DB39" s="492"/>
      <c r="DC39" s="492"/>
      <c r="DD39" s="492"/>
      <c r="DE39" s="492"/>
      <c r="DF39" s="492"/>
      <c r="DG39" s="492"/>
      <c r="DH39" s="492"/>
      <c r="DI39" s="916"/>
      <c r="DJ39" s="916"/>
      <c r="DK39" s="492"/>
      <c r="DL39" s="492"/>
      <c r="DM39" s="919"/>
      <c r="DN39" s="527">
        <f t="shared" si="36"/>
        <v>0</v>
      </c>
      <c r="DO39" s="912">
        <f t="shared" si="13"/>
        <v>0</v>
      </c>
      <c r="DP39" s="913"/>
      <c r="DQ39" s="915">
        <f>+Q39+AC39+AF39++AI39+AO39+AR39+AU39+AX39+BA39+BD39+BG39+BJ39+BN39+BR39+BU39+BY39+CK39+CO39+CR39+CU39+CZ39</f>
        <v>0</v>
      </c>
      <c r="DS39" s="762"/>
    </row>
    <row r="40" spans="1:123" ht="13.5" customHeight="1" outlineLevel="1" x14ac:dyDescent="0.25">
      <c r="A40" s="559">
        <v>5192</v>
      </c>
      <c r="B40" s="542" t="s">
        <v>415</v>
      </c>
      <c r="C40" s="915">
        <v>135000</v>
      </c>
      <c r="D40" s="915">
        <v>0</v>
      </c>
      <c r="E40" s="915">
        <v>0</v>
      </c>
      <c r="F40" s="915">
        <v>0</v>
      </c>
      <c r="G40" s="915">
        <v>0</v>
      </c>
      <c r="H40" s="915">
        <f t="shared" si="38"/>
        <v>0</v>
      </c>
      <c r="I40" s="571"/>
      <c r="J40" s="492"/>
      <c r="K40" s="492"/>
      <c r="L40" s="492"/>
      <c r="M40" s="492"/>
      <c r="N40" s="492"/>
      <c r="O40" s="492">
        <f t="shared" si="15"/>
        <v>0</v>
      </c>
      <c r="P40" s="916"/>
      <c r="Q40" s="917"/>
      <c r="R40" s="492"/>
      <c r="S40" s="927">
        <f t="shared" si="40"/>
        <v>0</v>
      </c>
      <c r="T40" s="492"/>
      <c r="U40" s="492"/>
      <c r="V40" s="492"/>
      <c r="W40" s="492"/>
      <c r="X40" s="492"/>
      <c r="Y40" s="492"/>
      <c r="Z40" s="492"/>
      <c r="AA40" s="492">
        <f t="shared" si="16"/>
        <v>0</v>
      </c>
      <c r="AB40" s="916"/>
      <c r="AC40" s="916"/>
      <c r="AD40" s="492">
        <f t="shared" si="17"/>
        <v>0</v>
      </c>
      <c r="AE40" s="916"/>
      <c r="AF40" s="916"/>
      <c r="AG40" s="492">
        <f t="shared" si="18"/>
        <v>0</v>
      </c>
      <c r="AH40" s="916"/>
      <c r="AI40" s="916"/>
      <c r="AJ40" s="492"/>
      <c r="AK40" s="492"/>
      <c r="AL40" s="492"/>
      <c r="AM40" s="492">
        <f t="shared" si="19"/>
        <v>0</v>
      </c>
      <c r="AN40" s="916"/>
      <c r="AO40" s="916"/>
      <c r="AP40" s="492">
        <f t="shared" si="20"/>
        <v>0</v>
      </c>
      <c r="AQ40" s="916"/>
      <c r="AR40" s="916"/>
      <c r="AS40" s="492">
        <f t="shared" si="21"/>
        <v>0</v>
      </c>
      <c r="AT40" s="916"/>
      <c r="AU40" s="916"/>
      <c r="AV40" s="492">
        <f t="shared" si="22"/>
        <v>0</v>
      </c>
      <c r="AW40" s="916"/>
      <c r="AX40" s="916"/>
      <c r="AY40" s="492">
        <f t="shared" si="23"/>
        <v>0</v>
      </c>
      <c r="AZ40" s="916"/>
      <c r="BA40" s="916"/>
      <c r="BB40" s="492">
        <f t="shared" si="24"/>
        <v>0</v>
      </c>
      <c r="BC40" s="916"/>
      <c r="BD40" s="916"/>
      <c r="BE40" s="492">
        <f t="shared" si="25"/>
        <v>0</v>
      </c>
      <c r="BF40" s="916"/>
      <c r="BG40" s="916"/>
      <c r="BH40" s="492">
        <f t="shared" si="26"/>
        <v>0</v>
      </c>
      <c r="BI40" s="916"/>
      <c r="BJ40" s="916"/>
      <c r="BK40" s="492"/>
      <c r="BL40" s="492">
        <f t="shared" si="27"/>
        <v>0</v>
      </c>
      <c r="BM40" s="916"/>
      <c r="BN40" s="916"/>
      <c r="BO40" s="492"/>
      <c r="BP40" s="492">
        <f t="shared" si="28"/>
        <v>0</v>
      </c>
      <c r="BQ40" s="916"/>
      <c r="BR40" s="916"/>
      <c r="BS40" s="492">
        <f t="shared" si="29"/>
        <v>0</v>
      </c>
      <c r="BT40" s="916"/>
      <c r="BU40" s="916"/>
      <c r="BV40" s="492"/>
      <c r="BW40" s="492">
        <f t="shared" si="30"/>
        <v>0</v>
      </c>
      <c r="BX40" s="916"/>
      <c r="BY40" s="916"/>
      <c r="BZ40" s="492"/>
      <c r="CA40" s="916"/>
      <c r="CB40" s="916"/>
      <c r="CC40" s="492"/>
      <c r="CD40" s="916"/>
      <c r="CE40" s="916"/>
      <c r="CF40" s="492"/>
      <c r="CG40" s="916"/>
      <c r="CH40" s="916"/>
      <c r="CI40" s="492">
        <f t="shared" si="31"/>
        <v>0</v>
      </c>
      <c r="CJ40" s="916"/>
      <c r="CK40" s="916"/>
      <c r="CL40" s="492"/>
      <c r="CM40" s="492">
        <f t="shared" si="32"/>
        <v>0</v>
      </c>
      <c r="CN40" s="916"/>
      <c r="CO40" s="916"/>
      <c r="CP40" s="492">
        <f t="shared" si="33"/>
        <v>0</v>
      </c>
      <c r="CQ40" s="916"/>
      <c r="CR40" s="916"/>
      <c r="CS40" s="492">
        <f t="shared" si="34"/>
        <v>0</v>
      </c>
      <c r="CT40" s="916"/>
      <c r="CU40" s="916"/>
      <c r="CV40" s="492"/>
      <c r="CW40" s="492">
        <f t="shared" si="35"/>
        <v>0</v>
      </c>
      <c r="CX40" s="916"/>
      <c r="CY40" s="916"/>
      <c r="CZ40" s="916"/>
      <c r="DA40" s="492"/>
      <c r="DB40" s="492"/>
      <c r="DC40" s="492"/>
      <c r="DD40" s="492"/>
      <c r="DE40" s="492"/>
      <c r="DF40" s="492"/>
      <c r="DG40" s="492"/>
      <c r="DH40" s="492"/>
      <c r="DI40" s="916"/>
      <c r="DJ40" s="916"/>
      <c r="DK40" s="492"/>
      <c r="DL40" s="492"/>
      <c r="DM40" s="919"/>
      <c r="DN40" s="527">
        <f t="shared" si="36"/>
        <v>0</v>
      </c>
      <c r="DO40" s="912">
        <f t="shared" ref="DO40:DO73" si="56">DN40-H40</f>
        <v>0</v>
      </c>
      <c r="DP40" s="913"/>
      <c r="DQ40" s="915">
        <f t="shared" si="14"/>
        <v>0</v>
      </c>
      <c r="DS40" s="762"/>
    </row>
    <row r="41" spans="1:123" ht="13.5" customHeight="1" outlineLevel="1" x14ac:dyDescent="0.25">
      <c r="A41" s="559">
        <v>5193</v>
      </c>
      <c r="B41" s="542" t="s">
        <v>123</v>
      </c>
      <c r="C41" s="915">
        <v>1145000</v>
      </c>
      <c r="D41" s="915">
        <v>1700000</v>
      </c>
      <c r="E41" s="915">
        <v>2000000</v>
      </c>
      <c r="F41" s="915">
        <v>2000000</v>
      </c>
      <c r="G41" s="915">
        <v>2000000</v>
      </c>
      <c r="H41" s="915">
        <f t="shared" si="38"/>
        <v>2000000</v>
      </c>
      <c r="I41" s="571"/>
      <c r="J41" s="492"/>
      <c r="K41" s="492"/>
      <c r="L41" s="492"/>
      <c r="M41" s="492"/>
      <c r="N41" s="492"/>
      <c r="O41" s="492">
        <f t="shared" si="15"/>
        <v>0</v>
      </c>
      <c r="P41" s="916"/>
      <c r="Q41" s="917"/>
      <c r="R41" s="492"/>
      <c r="S41" s="927">
        <f t="shared" si="40"/>
        <v>0</v>
      </c>
      <c r="T41" s="492"/>
      <c r="U41" s="492"/>
      <c r="V41" s="492"/>
      <c r="W41" s="492"/>
      <c r="X41" s="492"/>
      <c r="Y41" s="492"/>
      <c r="Z41" s="492"/>
      <c r="AA41" s="492">
        <f t="shared" si="16"/>
        <v>0</v>
      </c>
      <c r="AB41" s="916"/>
      <c r="AC41" s="916"/>
      <c r="AD41" s="492">
        <f t="shared" si="17"/>
        <v>0</v>
      </c>
      <c r="AE41" s="916"/>
      <c r="AF41" s="916"/>
      <c r="AG41" s="492">
        <f t="shared" si="18"/>
        <v>0</v>
      </c>
      <c r="AH41" s="916"/>
      <c r="AI41" s="916"/>
      <c r="AJ41" s="492"/>
      <c r="AK41" s="492"/>
      <c r="AL41" s="492"/>
      <c r="AM41" s="492">
        <f t="shared" si="19"/>
        <v>0</v>
      </c>
      <c r="AN41" s="916"/>
      <c r="AO41" s="916"/>
      <c r="AP41" s="492">
        <f t="shared" si="20"/>
        <v>0</v>
      </c>
      <c r="AQ41" s="916"/>
      <c r="AR41" s="916"/>
      <c r="AS41" s="492">
        <f t="shared" si="21"/>
        <v>0</v>
      </c>
      <c r="AT41" s="916"/>
      <c r="AU41" s="916"/>
      <c r="AV41" s="492">
        <f t="shared" si="22"/>
        <v>0</v>
      </c>
      <c r="AW41" s="916"/>
      <c r="AX41" s="916"/>
      <c r="AY41" s="492">
        <f t="shared" si="23"/>
        <v>0</v>
      </c>
      <c r="AZ41" s="916"/>
      <c r="BA41" s="916"/>
      <c r="BB41" s="492">
        <f t="shared" si="24"/>
        <v>0</v>
      </c>
      <c r="BC41" s="916"/>
      <c r="BD41" s="916"/>
      <c r="BE41" s="492">
        <f t="shared" si="25"/>
        <v>0</v>
      </c>
      <c r="BF41" s="916"/>
      <c r="BG41" s="916"/>
      <c r="BH41" s="492">
        <f t="shared" si="26"/>
        <v>0</v>
      </c>
      <c r="BI41" s="916"/>
      <c r="BJ41" s="916"/>
      <c r="BK41" s="492"/>
      <c r="BL41" s="492">
        <f t="shared" si="27"/>
        <v>0</v>
      </c>
      <c r="BM41" s="916"/>
      <c r="BN41" s="916"/>
      <c r="BO41" s="492"/>
      <c r="BP41" s="492">
        <f t="shared" si="28"/>
        <v>0</v>
      </c>
      <c r="BQ41" s="916"/>
      <c r="BR41" s="916"/>
      <c r="BS41" s="492">
        <f t="shared" si="29"/>
        <v>0</v>
      </c>
      <c r="BT41" s="916"/>
      <c r="BU41" s="916"/>
      <c r="BV41" s="492">
        <f>[5]Doprava!$B$11</f>
        <v>2000000</v>
      </c>
      <c r="BW41" s="492">
        <f t="shared" si="30"/>
        <v>0</v>
      </c>
      <c r="BX41" s="916"/>
      <c r="BY41" s="916"/>
      <c r="BZ41" s="492"/>
      <c r="CA41" s="916"/>
      <c r="CB41" s="916"/>
      <c r="CC41" s="492"/>
      <c r="CD41" s="916"/>
      <c r="CE41" s="916"/>
      <c r="CF41" s="492"/>
      <c r="CG41" s="916"/>
      <c r="CH41" s="916"/>
      <c r="CI41" s="492">
        <f t="shared" si="31"/>
        <v>0</v>
      </c>
      <c r="CJ41" s="916"/>
      <c r="CK41" s="916"/>
      <c r="CL41" s="492"/>
      <c r="CM41" s="492">
        <f t="shared" si="32"/>
        <v>0</v>
      </c>
      <c r="CN41" s="916"/>
      <c r="CO41" s="916"/>
      <c r="CP41" s="492">
        <f t="shared" si="33"/>
        <v>0</v>
      </c>
      <c r="CQ41" s="916"/>
      <c r="CR41" s="916"/>
      <c r="CS41" s="492">
        <f t="shared" si="34"/>
        <v>0</v>
      </c>
      <c r="CT41" s="916"/>
      <c r="CU41" s="916"/>
      <c r="CV41" s="492"/>
      <c r="CW41" s="492">
        <f t="shared" si="35"/>
        <v>0</v>
      </c>
      <c r="CX41" s="916"/>
      <c r="CY41" s="916"/>
      <c r="CZ41" s="916"/>
      <c r="DA41" s="492"/>
      <c r="DB41" s="492"/>
      <c r="DC41" s="492"/>
      <c r="DD41" s="492"/>
      <c r="DE41" s="492"/>
      <c r="DF41" s="492"/>
      <c r="DG41" s="492"/>
      <c r="DH41" s="492"/>
      <c r="DI41" s="916"/>
      <c r="DJ41" s="916"/>
      <c r="DK41" s="492"/>
      <c r="DL41" s="492"/>
      <c r="DM41" s="919"/>
      <c r="DN41" s="527">
        <f t="shared" si="36"/>
        <v>2000000</v>
      </c>
      <c r="DO41" s="912">
        <f t="shared" si="56"/>
        <v>0</v>
      </c>
      <c r="DP41" s="913"/>
      <c r="DQ41" s="915">
        <f t="shared" si="14"/>
        <v>0</v>
      </c>
      <c r="DS41" s="762"/>
    </row>
    <row r="42" spans="1:123" ht="13.5" customHeight="1" outlineLevel="1" x14ac:dyDescent="0.25">
      <c r="A42" s="559">
        <v>5194</v>
      </c>
      <c r="B42" s="542" t="s">
        <v>124</v>
      </c>
      <c r="C42" s="915">
        <v>270000</v>
      </c>
      <c r="D42" s="915">
        <v>295000</v>
      </c>
      <c r="E42" s="915">
        <v>260000</v>
      </c>
      <c r="F42" s="915">
        <v>260000</v>
      </c>
      <c r="G42" s="915">
        <v>235000</v>
      </c>
      <c r="H42" s="915">
        <f t="shared" si="38"/>
        <v>260000</v>
      </c>
      <c r="I42" s="571"/>
      <c r="J42" s="492"/>
      <c r="K42" s="492"/>
      <c r="L42" s="492"/>
      <c r="M42" s="492">
        <f>[3]Zastupitelé!$B$80</f>
        <v>45000</v>
      </c>
      <c r="N42" s="492"/>
      <c r="O42" s="492">
        <f t="shared" si="15"/>
        <v>80000</v>
      </c>
      <c r="P42" s="916">
        <f>[3]Správa!$D$105</f>
        <v>80000</v>
      </c>
      <c r="Q42" s="917">
        <f>[3]Správa!$E$105</f>
        <v>0</v>
      </c>
      <c r="R42" s="492"/>
      <c r="S42" s="927">
        <f t="shared" si="40"/>
        <v>0</v>
      </c>
      <c r="T42" s="492">
        <f>'[3]Pečovatelská služba'!$B$87</f>
        <v>10000</v>
      </c>
      <c r="U42" s="492"/>
      <c r="V42" s="492">
        <f>'[3]Městská policie'!$B$119</f>
        <v>30000</v>
      </c>
      <c r="W42" s="492"/>
      <c r="X42" s="492"/>
      <c r="Y42" s="492"/>
      <c r="Z42" s="492">
        <f>[3]Kultura!$B$46</f>
        <v>95000</v>
      </c>
      <c r="AA42" s="492">
        <f t="shared" si="16"/>
        <v>0</v>
      </c>
      <c r="AB42" s="916"/>
      <c r="AC42" s="916"/>
      <c r="AD42" s="492">
        <f t="shared" si="17"/>
        <v>0</v>
      </c>
      <c r="AE42" s="916"/>
      <c r="AF42" s="916"/>
      <c r="AG42" s="492">
        <f t="shared" si="18"/>
        <v>0</v>
      </c>
      <c r="AH42" s="916"/>
      <c r="AI42" s="916"/>
      <c r="AJ42" s="492"/>
      <c r="AK42" s="492"/>
      <c r="AL42" s="492"/>
      <c r="AM42" s="492">
        <f t="shared" si="19"/>
        <v>0</v>
      </c>
      <c r="AN42" s="916"/>
      <c r="AO42" s="916"/>
      <c r="AP42" s="492">
        <f t="shared" si="20"/>
        <v>0</v>
      </c>
      <c r="AQ42" s="916"/>
      <c r="AR42" s="916"/>
      <c r="AS42" s="492">
        <f t="shared" si="21"/>
        <v>0</v>
      </c>
      <c r="AT42" s="916"/>
      <c r="AU42" s="916"/>
      <c r="AV42" s="492">
        <f t="shared" si="22"/>
        <v>0</v>
      </c>
      <c r="AW42" s="916"/>
      <c r="AX42" s="916"/>
      <c r="AY42" s="492">
        <f t="shared" si="23"/>
        <v>0</v>
      </c>
      <c r="AZ42" s="916"/>
      <c r="BA42" s="916"/>
      <c r="BB42" s="492">
        <f t="shared" si="24"/>
        <v>0</v>
      </c>
      <c r="BC42" s="916"/>
      <c r="BD42" s="916"/>
      <c r="BE42" s="492">
        <f t="shared" si="25"/>
        <v>0</v>
      </c>
      <c r="BF42" s="916"/>
      <c r="BG42" s="916"/>
      <c r="BH42" s="492">
        <f t="shared" si="26"/>
        <v>0</v>
      </c>
      <c r="BI42" s="916"/>
      <c r="BJ42" s="916"/>
      <c r="BK42" s="492"/>
      <c r="BL42" s="492">
        <f t="shared" si="27"/>
        <v>0</v>
      </c>
      <c r="BM42" s="916"/>
      <c r="BN42" s="916"/>
      <c r="BO42" s="492"/>
      <c r="BP42" s="492">
        <f t="shared" si="28"/>
        <v>0</v>
      </c>
      <c r="BQ42" s="916"/>
      <c r="BR42" s="916"/>
      <c r="BS42" s="492">
        <f t="shared" si="29"/>
        <v>0</v>
      </c>
      <c r="BT42" s="916"/>
      <c r="BU42" s="916"/>
      <c r="BV42" s="492"/>
      <c r="BW42" s="492">
        <f t="shared" si="30"/>
        <v>0</v>
      </c>
      <c r="BX42" s="916"/>
      <c r="BY42" s="916"/>
      <c r="BZ42" s="492"/>
      <c r="CA42" s="916"/>
      <c r="CB42" s="916"/>
      <c r="CC42" s="492"/>
      <c r="CD42" s="916"/>
      <c r="CE42" s="916"/>
      <c r="CF42" s="492"/>
      <c r="CG42" s="916"/>
      <c r="CH42" s="916"/>
      <c r="CI42" s="492">
        <f t="shared" si="31"/>
        <v>0</v>
      </c>
      <c r="CJ42" s="916"/>
      <c r="CK42" s="916"/>
      <c r="CL42" s="492"/>
      <c r="CM42" s="492">
        <f t="shared" si="32"/>
        <v>0</v>
      </c>
      <c r="CN42" s="916"/>
      <c r="CO42" s="916"/>
      <c r="CP42" s="492">
        <f t="shared" si="33"/>
        <v>0</v>
      </c>
      <c r="CQ42" s="916"/>
      <c r="CR42" s="916"/>
      <c r="CS42" s="492">
        <f t="shared" si="34"/>
        <v>0</v>
      </c>
      <c r="CT42" s="916"/>
      <c r="CU42" s="916"/>
      <c r="CV42" s="492"/>
      <c r="CW42" s="492">
        <f t="shared" si="35"/>
        <v>0</v>
      </c>
      <c r="CX42" s="916"/>
      <c r="CY42" s="916"/>
      <c r="CZ42" s="916"/>
      <c r="DA42" s="492"/>
      <c r="DB42" s="492"/>
      <c r="DC42" s="492"/>
      <c r="DD42" s="492"/>
      <c r="DE42" s="492"/>
      <c r="DF42" s="492"/>
      <c r="DG42" s="492"/>
      <c r="DH42" s="492"/>
      <c r="DI42" s="916"/>
      <c r="DJ42" s="916"/>
      <c r="DK42" s="492"/>
      <c r="DL42" s="492"/>
      <c r="DM42" s="919"/>
      <c r="DN42" s="527">
        <f t="shared" si="36"/>
        <v>260000</v>
      </c>
      <c r="DO42" s="912">
        <f t="shared" si="56"/>
        <v>0</v>
      </c>
      <c r="DP42" s="913"/>
      <c r="DQ42" s="915">
        <f t="shared" si="14"/>
        <v>0</v>
      </c>
      <c r="DS42" s="762"/>
    </row>
    <row r="43" spans="1:123" ht="13.5" customHeight="1" outlineLevel="1" x14ac:dyDescent="0.25">
      <c r="A43" s="559">
        <v>5329</v>
      </c>
      <c r="B43" s="542" t="s">
        <v>125</v>
      </c>
      <c r="C43" s="915">
        <v>869500</v>
      </c>
      <c r="D43" s="915">
        <v>869500</v>
      </c>
      <c r="E43" s="915">
        <v>869500</v>
      </c>
      <c r="F43" s="915">
        <v>869500</v>
      </c>
      <c r="G43" s="915">
        <v>869500</v>
      </c>
      <c r="H43" s="915">
        <f t="shared" si="38"/>
        <v>885140</v>
      </c>
      <c r="I43" s="571"/>
      <c r="J43" s="492"/>
      <c r="K43" s="492"/>
      <c r="L43" s="492">
        <f>'[2]Všebecná pokladna'!$B$49</f>
        <v>885140</v>
      </c>
      <c r="M43" s="492"/>
      <c r="N43" s="492"/>
      <c r="O43" s="492">
        <f t="shared" si="15"/>
        <v>0</v>
      </c>
      <c r="P43" s="931"/>
      <c r="Q43" s="932"/>
      <c r="R43" s="492"/>
      <c r="S43" s="927">
        <f t="shared" si="40"/>
        <v>0</v>
      </c>
      <c r="T43" s="492"/>
      <c r="U43" s="492"/>
      <c r="V43" s="492"/>
      <c r="W43" s="492"/>
      <c r="X43" s="492"/>
      <c r="Y43" s="492"/>
      <c r="Z43" s="492"/>
      <c r="AA43" s="492">
        <f t="shared" si="16"/>
        <v>0</v>
      </c>
      <c r="AB43" s="916"/>
      <c r="AC43" s="916"/>
      <c r="AD43" s="492">
        <f t="shared" si="17"/>
        <v>0</v>
      </c>
      <c r="AE43" s="916"/>
      <c r="AF43" s="916"/>
      <c r="AG43" s="492">
        <f t="shared" si="18"/>
        <v>0</v>
      </c>
      <c r="AH43" s="916"/>
      <c r="AI43" s="916"/>
      <c r="AJ43" s="492"/>
      <c r="AK43" s="492"/>
      <c r="AL43" s="492"/>
      <c r="AM43" s="492">
        <f t="shared" si="19"/>
        <v>0</v>
      </c>
      <c r="AN43" s="916"/>
      <c r="AO43" s="916"/>
      <c r="AP43" s="492">
        <f t="shared" si="20"/>
        <v>0</v>
      </c>
      <c r="AQ43" s="916"/>
      <c r="AR43" s="916"/>
      <c r="AS43" s="492">
        <f t="shared" si="21"/>
        <v>0</v>
      </c>
      <c r="AT43" s="916"/>
      <c r="AU43" s="916"/>
      <c r="AV43" s="492">
        <f t="shared" si="22"/>
        <v>0</v>
      </c>
      <c r="AW43" s="916"/>
      <c r="AX43" s="916"/>
      <c r="AY43" s="492">
        <f t="shared" si="23"/>
        <v>0</v>
      </c>
      <c r="AZ43" s="916"/>
      <c r="BA43" s="916"/>
      <c r="BB43" s="492">
        <f t="shared" si="24"/>
        <v>0</v>
      </c>
      <c r="BC43" s="916"/>
      <c r="BD43" s="916"/>
      <c r="BE43" s="492">
        <f t="shared" si="25"/>
        <v>0</v>
      </c>
      <c r="BF43" s="916"/>
      <c r="BG43" s="916"/>
      <c r="BH43" s="492">
        <f t="shared" si="26"/>
        <v>0</v>
      </c>
      <c r="BI43" s="916"/>
      <c r="BJ43" s="916"/>
      <c r="BK43" s="492"/>
      <c r="BL43" s="492">
        <f t="shared" si="27"/>
        <v>0</v>
      </c>
      <c r="BM43" s="916"/>
      <c r="BN43" s="916"/>
      <c r="BO43" s="492"/>
      <c r="BP43" s="492">
        <f t="shared" si="28"/>
        <v>0</v>
      </c>
      <c r="BQ43" s="916"/>
      <c r="BR43" s="916"/>
      <c r="BS43" s="492">
        <f t="shared" si="29"/>
        <v>0</v>
      </c>
      <c r="BT43" s="916"/>
      <c r="BU43" s="916"/>
      <c r="BV43" s="492"/>
      <c r="BW43" s="492">
        <f t="shared" si="30"/>
        <v>0</v>
      </c>
      <c r="BX43" s="916"/>
      <c r="BY43" s="916"/>
      <c r="BZ43" s="492"/>
      <c r="CA43" s="916"/>
      <c r="CB43" s="916"/>
      <c r="CC43" s="492"/>
      <c r="CD43" s="916"/>
      <c r="CE43" s="916"/>
      <c r="CF43" s="492"/>
      <c r="CG43" s="916"/>
      <c r="CH43" s="916"/>
      <c r="CI43" s="492">
        <f t="shared" si="31"/>
        <v>0</v>
      </c>
      <c r="CJ43" s="916"/>
      <c r="CK43" s="916"/>
      <c r="CL43" s="492"/>
      <c r="CM43" s="492">
        <f t="shared" si="32"/>
        <v>0</v>
      </c>
      <c r="CN43" s="916"/>
      <c r="CO43" s="916"/>
      <c r="CP43" s="492">
        <f t="shared" si="33"/>
        <v>0</v>
      </c>
      <c r="CQ43" s="916"/>
      <c r="CR43" s="916"/>
      <c r="CS43" s="492">
        <f t="shared" si="34"/>
        <v>0</v>
      </c>
      <c r="CT43" s="916"/>
      <c r="CU43" s="916"/>
      <c r="CV43" s="492"/>
      <c r="CW43" s="492">
        <f t="shared" si="35"/>
        <v>0</v>
      </c>
      <c r="CX43" s="916"/>
      <c r="CY43" s="916"/>
      <c r="CZ43" s="916"/>
      <c r="DA43" s="492"/>
      <c r="DB43" s="492"/>
      <c r="DC43" s="492"/>
      <c r="DD43" s="492"/>
      <c r="DE43" s="492"/>
      <c r="DF43" s="492"/>
      <c r="DG43" s="492"/>
      <c r="DH43" s="492"/>
      <c r="DI43" s="916"/>
      <c r="DJ43" s="916"/>
      <c r="DK43" s="492"/>
      <c r="DL43" s="492"/>
      <c r="DM43" s="919"/>
      <c r="DN43" s="527">
        <f t="shared" si="36"/>
        <v>885140</v>
      </c>
      <c r="DO43" s="912">
        <f t="shared" si="56"/>
        <v>0</v>
      </c>
      <c r="DP43" s="913"/>
      <c r="DQ43" s="915">
        <f t="shared" si="14"/>
        <v>0</v>
      </c>
      <c r="DS43" s="762"/>
    </row>
    <row r="44" spans="1:123" ht="13.5" customHeight="1" outlineLevel="1" x14ac:dyDescent="0.25">
      <c r="A44" s="559">
        <v>5331</v>
      </c>
      <c r="B44" s="542" t="s">
        <v>126</v>
      </c>
      <c r="C44" s="915">
        <v>21984703</v>
      </c>
      <c r="D44" s="915">
        <v>26061437</v>
      </c>
      <c r="E44" s="915">
        <v>34609834.68</v>
      </c>
      <c r="F44" s="915">
        <v>34609834.68</v>
      </c>
      <c r="G44" s="915">
        <v>31795302.68</v>
      </c>
      <c r="H44" s="915">
        <f>SUM(I44:O44)+SUM(T44:AA44)+AD44+AG44+SUM(AJ44:AM44)+AP44+AS44+AV44+AY44+BB44+BE44+BH44+BK44+BL44+BO44+BP44+BS44+SUM(BV44:BW44)+CF44+CI44+CL44+CM44+CP44+CS44+CV44+CW44+SUM(DA44:DH44)+BZ44+CC44+SUM(DK44:DM44)+S44</f>
        <v>29000000</v>
      </c>
      <c r="I44" s="571"/>
      <c r="J44" s="492"/>
      <c r="K44" s="492"/>
      <c r="L44" s="492"/>
      <c r="M44" s="492"/>
      <c r="N44" s="492"/>
      <c r="O44" s="492">
        <f t="shared" si="15"/>
        <v>0</v>
      </c>
      <c r="P44" s="916"/>
      <c r="Q44" s="917"/>
      <c r="R44" s="492"/>
      <c r="S44" s="928">
        <v>16000000</v>
      </c>
      <c r="T44" s="492"/>
      <c r="U44" s="492"/>
      <c r="V44" s="492"/>
      <c r="W44" s="492"/>
      <c r="X44" s="492"/>
      <c r="Y44" s="492"/>
      <c r="Z44" s="492"/>
      <c r="AA44" s="492">
        <f t="shared" si="16"/>
        <v>0</v>
      </c>
      <c r="AB44" s="916"/>
      <c r="AC44" s="916"/>
      <c r="AD44" s="492">
        <f t="shared" si="17"/>
        <v>0</v>
      </c>
      <c r="AE44" s="916"/>
      <c r="AF44" s="916"/>
      <c r="AG44" s="492">
        <f t="shared" si="18"/>
        <v>0</v>
      </c>
      <c r="AH44" s="916"/>
      <c r="AI44" s="916"/>
      <c r="AJ44" s="492"/>
      <c r="AK44" s="492"/>
      <c r="AL44" s="492"/>
      <c r="AM44" s="492">
        <f t="shared" si="19"/>
        <v>0</v>
      </c>
      <c r="AN44" s="916"/>
      <c r="AO44" s="916"/>
      <c r="AP44" s="492">
        <f t="shared" si="20"/>
        <v>0</v>
      </c>
      <c r="AQ44" s="916"/>
      <c r="AR44" s="916"/>
      <c r="AS44" s="866">
        <f t="shared" si="21"/>
        <v>9850000</v>
      </c>
      <c r="AT44" s="916">
        <f>[2]ZŠ!$B$32</f>
        <v>9850000</v>
      </c>
      <c r="AU44" s="916"/>
      <c r="AV44" s="492">
        <f t="shared" si="22"/>
        <v>0</v>
      </c>
      <c r="AW44" s="916"/>
      <c r="AX44" s="916"/>
      <c r="AY44" s="492">
        <f t="shared" si="23"/>
        <v>550000</v>
      </c>
      <c r="AZ44" s="916">
        <f>[2]MDDM!$B$4</f>
        <v>550000</v>
      </c>
      <c r="BA44" s="916"/>
      <c r="BB44" s="492">
        <f t="shared" si="24"/>
        <v>0</v>
      </c>
      <c r="BC44" s="916"/>
      <c r="BD44" s="916"/>
      <c r="BE44" s="492">
        <f t="shared" si="25"/>
        <v>2400000</v>
      </c>
      <c r="BF44" s="916">
        <f>'[2]MŠ Koll'!$B$4</f>
        <v>2400000</v>
      </c>
      <c r="BG44" s="916"/>
      <c r="BH44" s="492">
        <f t="shared" si="26"/>
        <v>0</v>
      </c>
      <c r="BI44" s="916"/>
      <c r="BJ44" s="916"/>
      <c r="BK44" s="492">
        <f>'[2]Jídelna MŠ Koll.'!$B$4</f>
        <v>200000</v>
      </c>
      <c r="BL44" s="492">
        <f t="shared" si="27"/>
        <v>0</v>
      </c>
      <c r="BM44" s="916"/>
      <c r="BN44" s="916"/>
      <c r="BO44" s="492"/>
      <c r="BP44" s="492">
        <f t="shared" si="28"/>
        <v>0</v>
      </c>
      <c r="BQ44" s="916"/>
      <c r="BR44" s="916"/>
      <c r="BS44" s="492">
        <f t="shared" si="29"/>
        <v>0</v>
      </c>
      <c r="BT44" s="916"/>
      <c r="BU44" s="916"/>
      <c r="BV44" s="492"/>
      <c r="BW44" s="492">
        <f t="shared" si="30"/>
        <v>0</v>
      </c>
      <c r="BX44" s="916"/>
      <c r="BY44" s="916"/>
      <c r="BZ44" s="492"/>
      <c r="CA44" s="916"/>
      <c r="CB44" s="916"/>
      <c r="CC44" s="492"/>
      <c r="CD44" s="916"/>
      <c r="CE44" s="916"/>
      <c r="CF44" s="492"/>
      <c r="CG44" s="916"/>
      <c r="CH44" s="916"/>
      <c r="CI44" s="492">
        <f t="shared" si="31"/>
        <v>0</v>
      </c>
      <c r="CJ44" s="916"/>
      <c r="CK44" s="916"/>
      <c r="CL44" s="492"/>
      <c r="CM44" s="492">
        <f t="shared" si="32"/>
        <v>0</v>
      </c>
      <c r="CN44" s="916"/>
      <c r="CO44" s="916"/>
      <c r="CP44" s="492">
        <f t="shared" si="33"/>
        <v>0</v>
      </c>
      <c r="CQ44" s="916"/>
      <c r="CR44" s="916"/>
      <c r="CS44" s="492">
        <f t="shared" si="34"/>
        <v>0</v>
      </c>
      <c r="CT44" s="916"/>
      <c r="CU44" s="916"/>
      <c r="CV44" s="492"/>
      <c r="CW44" s="492">
        <f t="shared" si="35"/>
        <v>0</v>
      </c>
      <c r="CX44" s="916"/>
      <c r="CY44" s="916"/>
      <c r="CZ44" s="916"/>
      <c r="DA44" s="492"/>
      <c r="DB44" s="492"/>
      <c r="DC44" s="492"/>
      <c r="DD44" s="492"/>
      <c r="DE44" s="492"/>
      <c r="DF44" s="492"/>
      <c r="DG44" s="492"/>
      <c r="DH44" s="492"/>
      <c r="DI44" s="916"/>
      <c r="DJ44" s="916"/>
      <c r="DK44" s="492"/>
      <c r="DL44" s="492"/>
      <c r="DM44" s="919"/>
      <c r="DN44" s="527">
        <f>+I44+J44+K44+L44+M44+N44+O44+R44+S44+T44+U44+V44+W44+X44+Y44+Z44+AA44+AD44+AG44+AJ44+AK44+AL44+AM44+AP44+AS44+AV44+AY44+BB44+BE44+BH44+BK44+BL44+BO44+BP44+BS44+BV44+BW44+BZ44+CC44+CF44+CI44+CL44+CM44+CP44+CS44+CV44+CW44+DA44+DB44+DC44+DD44+DE44+DG44+DH44+DK44+DL44+DM44</f>
        <v>29000000</v>
      </c>
      <c r="DO44" s="912">
        <f t="shared" si="56"/>
        <v>0</v>
      </c>
      <c r="DP44" s="913"/>
      <c r="DQ44" s="915">
        <f t="shared" si="14"/>
        <v>0</v>
      </c>
      <c r="DS44" s="762"/>
    </row>
    <row r="45" spans="1:123" ht="13.5" customHeight="1" outlineLevel="1" x14ac:dyDescent="0.25">
      <c r="A45" s="559">
        <v>5361</v>
      </c>
      <c r="B45" s="542" t="s">
        <v>127</v>
      </c>
      <c r="C45" s="915">
        <v>37000</v>
      </c>
      <c r="D45" s="915">
        <v>35000</v>
      </c>
      <c r="E45" s="915">
        <v>40000</v>
      </c>
      <c r="F45" s="915">
        <v>40000</v>
      </c>
      <c r="G45" s="915">
        <v>40000</v>
      </c>
      <c r="H45" s="915">
        <f t="shared" si="38"/>
        <v>40000</v>
      </c>
      <c r="I45" s="571"/>
      <c r="J45" s="492"/>
      <c r="K45" s="492"/>
      <c r="L45" s="492"/>
      <c r="M45" s="492"/>
      <c r="N45" s="492"/>
      <c r="O45" s="492">
        <f t="shared" si="15"/>
        <v>30000</v>
      </c>
      <c r="P45" s="916">
        <f>[3]Správa!$D$112</f>
        <v>30000</v>
      </c>
      <c r="Q45" s="917">
        <f>[3]Správa!$E$112</f>
        <v>0</v>
      </c>
      <c r="R45" s="492"/>
      <c r="S45" s="927">
        <f t="shared" si="40"/>
        <v>0</v>
      </c>
      <c r="T45" s="492"/>
      <c r="U45" s="492"/>
      <c r="V45" s="492">
        <f>'[3]Městská policie'!$B$126</f>
        <v>10000</v>
      </c>
      <c r="W45" s="492"/>
      <c r="X45" s="492"/>
      <c r="Y45" s="492"/>
      <c r="Z45" s="492"/>
      <c r="AA45" s="492">
        <f t="shared" si="16"/>
        <v>0</v>
      </c>
      <c r="AB45" s="916"/>
      <c r="AC45" s="916"/>
      <c r="AD45" s="492">
        <f t="shared" si="17"/>
        <v>0</v>
      </c>
      <c r="AE45" s="916"/>
      <c r="AF45" s="916"/>
      <c r="AG45" s="492">
        <f t="shared" si="18"/>
        <v>0</v>
      </c>
      <c r="AH45" s="916"/>
      <c r="AI45" s="916"/>
      <c r="AJ45" s="492"/>
      <c r="AK45" s="492"/>
      <c r="AL45" s="492"/>
      <c r="AM45" s="492">
        <f t="shared" si="19"/>
        <v>0</v>
      </c>
      <c r="AN45" s="916"/>
      <c r="AO45" s="916"/>
      <c r="AP45" s="492">
        <f t="shared" si="20"/>
        <v>0</v>
      </c>
      <c r="AQ45" s="916"/>
      <c r="AR45" s="916"/>
      <c r="AS45" s="492">
        <f t="shared" si="21"/>
        <v>0</v>
      </c>
      <c r="AT45" s="916"/>
      <c r="AU45" s="916"/>
      <c r="AV45" s="492">
        <f t="shared" si="22"/>
        <v>0</v>
      </c>
      <c r="AW45" s="916"/>
      <c r="AX45" s="916"/>
      <c r="AY45" s="492">
        <f t="shared" si="23"/>
        <v>0</v>
      </c>
      <c r="AZ45" s="916"/>
      <c r="BA45" s="916"/>
      <c r="BB45" s="492">
        <f t="shared" si="24"/>
        <v>0</v>
      </c>
      <c r="BC45" s="916"/>
      <c r="BD45" s="916"/>
      <c r="BE45" s="492">
        <f t="shared" si="25"/>
        <v>0</v>
      </c>
      <c r="BF45" s="916"/>
      <c r="BG45" s="916"/>
      <c r="BH45" s="492">
        <f t="shared" si="26"/>
        <v>0</v>
      </c>
      <c r="BI45" s="916"/>
      <c r="BJ45" s="916"/>
      <c r="BK45" s="492"/>
      <c r="BL45" s="492">
        <f t="shared" si="27"/>
        <v>0</v>
      </c>
      <c r="BM45" s="916"/>
      <c r="BN45" s="916"/>
      <c r="BO45" s="492"/>
      <c r="BP45" s="492">
        <f t="shared" si="28"/>
        <v>0</v>
      </c>
      <c r="BQ45" s="916"/>
      <c r="BR45" s="916"/>
      <c r="BS45" s="492">
        <f t="shared" si="29"/>
        <v>0</v>
      </c>
      <c r="BT45" s="916"/>
      <c r="BU45" s="916"/>
      <c r="BV45" s="492"/>
      <c r="BW45" s="492">
        <f t="shared" si="30"/>
        <v>0</v>
      </c>
      <c r="BX45" s="916"/>
      <c r="BY45" s="916"/>
      <c r="BZ45" s="492"/>
      <c r="CA45" s="916"/>
      <c r="CB45" s="916"/>
      <c r="CC45" s="492"/>
      <c r="CD45" s="916"/>
      <c r="CE45" s="916"/>
      <c r="CF45" s="492"/>
      <c r="CG45" s="916"/>
      <c r="CH45" s="916"/>
      <c r="CI45" s="492">
        <f t="shared" si="31"/>
        <v>0</v>
      </c>
      <c r="CJ45" s="916"/>
      <c r="CK45" s="916"/>
      <c r="CL45" s="492"/>
      <c r="CM45" s="492">
        <f t="shared" si="32"/>
        <v>0</v>
      </c>
      <c r="CN45" s="916"/>
      <c r="CO45" s="916"/>
      <c r="CP45" s="492">
        <f t="shared" si="33"/>
        <v>0</v>
      </c>
      <c r="CQ45" s="916"/>
      <c r="CR45" s="916"/>
      <c r="CS45" s="492">
        <f t="shared" si="34"/>
        <v>0</v>
      </c>
      <c r="CT45" s="916"/>
      <c r="CU45" s="916"/>
      <c r="CV45" s="492"/>
      <c r="CW45" s="492">
        <f t="shared" si="35"/>
        <v>0</v>
      </c>
      <c r="CX45" s="916"/>
      <c r="CY45" s="916"/>
      <c r="CZ45" s="916"/>
      <c r="DA45" s="492"/>
      <c r="DB45" s="492"/>
      <c r="DC45" s="492"/>
      <c r="DD45" s="492"/>
      <c r="DE45" s="492"/>
      <c r="DF45" s="492"/>
      <c r="DG45" s="492"/>
      <c r="DH45" s="492"/>
      <c r="DI45" s="916"/>
      <c r="DJ45" s="916"/>
      <c r="DK45" s="492"/>
      <c r="DL45" s="492"/>
      <c r="DM45" s="919"/>
      <c r="DN45" s="527">
        <f t="shared" si="36"/>
        <v>40000</v>
      </c>
      <c r="DO45" s="912">
        <f t="shared" si="56"/>
        <v>0</v>
      </c>
      <c r="DP45" s="913"/>
      <c r="DQ45" s="915">
        <f t="shared" si="14"/>
        <v>0</v>
      </c>
      <c r="DS45" s="762"/>
    </row>
    <row r="46" spans="1:123" ht="13.5" customHeight="1" outlineLevel="1" x14ac:dyDescent="0.25">
      <c r="A46" s="559">
        <v>5362</v>
      </c>
      <c r="B46" s="542" t="s">
        <v>128</v>
      </c>
      <c r="C46" s="915">
        <v>740000</v>
      </c>
      <c r="D46" s="915">
        <v>3437000</v>
      </c>
      <c r="E46" s="915">
        <v>1437000</v>
      </c>
      <c r="F46" s="915">
        <v>437000</v>
      </c>
      <c r="G46" s="915">
        <v>437000</v>
      </c>
      <c r="H46" s="915">
        <f t="shared" si="38"/>
        <v>1138000</v>
      </c>
      <c r="I46" s="571"/>
      <c r="J46" s="492"/>
      <c r="K46" s="492"/>
      <c r="L46" s="492">
        <f>'[2]Všebecná pokladna'!$B$57+'[6]Všeobecná pokladna 6409'!$B$21</f>
        <v>1050000</v>
      </c>
      <c r="M46" s="492"/>
      <c r="N46" s="492"/>
      <c r="O46" s="492">
        <f t="shared" si="15"/>
        <v>50000</v>
      </c>
      <c r="P46" s="916">
        <f>[3]Správa!$D$119</f>
        <v>50000</v>
      </c>
      <c r="Q46" s="917">
        <f>[3]Správa!$E$119</f>
        <v>0</v>
      </c>
      <c r="R46" s="492"/>
      <c r="S46" s="927">
        <f t="shared" si="40"/>
        <v>0</v>
      </c>
      <c r="T46" s="492">
        <f>'[3]Pečovatelská služba'!$B$94</f>
        <v>6000</v>
      </c>
      <c r="U46" s="492"/>
      <c r="V46" s="492">
        <f>'[3]Městská policie'!$B$133</f>
        <v>13000</v>
      </c>
      <c r="W46" s="492"/>
      <c r="X46" s="492">
        <f>[3]Knihovna!$B$89</f>
        <v>4000</v>
      </c>
      <c r="Y46" s="492"/>
      <c r="Z46" s="492">
        <f>[3]Kultura!$B$53</f>
        <v>15000</v>
      </c>
      <c r="AA46" s="492">
        <f t="shared" si="16"/>
        <v>0</v>
      </c>
      <c r="AB46" s="916"/>
      <c r="AC46" s="916"/>
      <c r="AD46" s="492">
        <f t="shared" si="17"/>
        <v>0</v>
      </c>
      <c r="AE46" s="916"/>
      <c r="AF46" s="916"/>
      <c r="AG46" s="492">
        <f t="shared" si="18"/>
        <v>0</v>
      </c>
      <c r="AH46" s="916"/>
      <c r="AI46" s="916"/>
      <c r="AJ46" s="492"/>
      <c r="AK46" s="492"/>
      <c r="AL46" s="492"/>
      <c r="AM46" s="492">
        <f t="shared" si="19"/>
        <v>0</v>
      </c>
      <c r="AN46" s="916"/>
      <c r="AO46" s="916"/>
      <c r="AP46" s="492">
        <f t="shared" si="20"/>
        <v>0</v>
      </c>
      <c r="AQ46" s="916"/>
      <c r="AR46" s="916"/>
      <c r="AS46" s="492">
        <f t="shared" si="21"/>
        <v>0</v>
      </c>
      <c r="AT46" s="916"/>
      <c r="AU46" s="916"/>
      <c r="AV46" s="492">
        <f t="shared" si="22"/>
        <v>0</v>
      </c>
      <c r="AW46" s="916"/>
      <c r="AX46" s="916"/>
      <c r="AY46" s="492">
        <f t="shared" si="23"/>
        <v>0</v>
      </c>
      <c r="AZ46" s="916"/>
      <c r="BA46" s="916"/>
      <c r="BB46" s="492">
        <f t="shared" si="24"/>
        <v>0</v>
      </c>
      <c r="BC46" s="916"/>
      <c r="BD46" s="916"/>
      <c r="BE46" s="492">
        <f t="shared" si="25"/>
        <v>0</v>
      </c>
      <c r="BF46" s="916"/>
      <c r="BG46" s="916"/>
      <c r="BH46" s="492">
        <f t="shared" si="26"/>
        <v>0</v>
      </c>
      <c r="BI46" s="916"/>
      <c r="BJ46" s="916"/>
      <c r="BK46" s="492"/>
      <c r="BL46" s="492">
        <f t="shared" si="27"/>
        <v>0</v>
      </c>
      <c r="BM46" s="916"/>
      <c r="BN46" s="916"/>
      <c r="BO46" s="492"/>
      <c r="BP46" s="492">
        <f t="shared" si="28"/>
        <v>0</v>
      </c>
      <c r="BQ46" s="916"/>
      <c r="BR46" s="916"/>
      <c r="BS46" s="492">
        <f t="shared" si="29"/>
        <v>0</v>
      </c>
      <c r="BT46" s="916">
        <f>'[5]Silnice světelná křižovatka'!$B$28</f>
        <v>0</v>
      </c>
      <c r="BU46" s="916"/>
      <c r="BV46" s="492"/>
      <c r="BW46" s="492">
        <f t="shared" si="30"/>
        <v>0</v>
      </c>
      <c r="BX46" s="916"/>
      <c r="BY46" s="916"/>
      <c r="BZ46" s="492"/>
      <c r="CA46" s="916"/>
      <c r="CB46" s="916"/>
      <c r="CC46" s="492"/>
      <c r="CD46" s="916"/>
      <c r="CE46" s="916"/>
      <c r="CF46" s="492"/>
      <c r="CG46" s="916"/>
      <c r="CH46" s="916"/>
      <c r="CI46" s="492">
        <f t="shared" si="31"/>
        <v>0</v>
      </c>
      <c r="CJ46" s="916"/>
      <c r="CK46" s="916"/>
      <c r="CL46" s="492"/>
      <c r="CM46" s="492">
        <f t="shared" si="32"/>
        <v>0</v>
      </c>
      <c r="CN46" s="916"/>
      <c r="CO46" s="916"/>
      <c r="CP46" s="492">
        <f t="shared" si="33"/>
        <v>0</v>
      </c>
      <c r="CQ46" s="916"/>
      <c r="CR46" s="916"/>
      <c r="CS46" s="492">
        <f t="shared" si="34"/>
        <v>0</v>
      </c>
      <c r="CT46" s="916"/>
      <c r="CU46" s="916"/>
      <c r="CV46" s="492"/>
      <c r="CW46" s="492">
        <f t="shared" si="35"/>
        <v>0</v>
      </c>
      <c r="CX46" s="916"/>
      <c r="CY46" s="916"/>
      <c r="CZ46" s="916"/>
      <c r="DA46" s="492"/>
      <c r="DB46" s="492"/>
      <c r="DC46" s="492"/>
      <c r="DD46" s="492"/>
      <c r="DE46" s="492"/>
      <c r="DF46" s="492"/>
      <c r="DG46" s="492"/>
      <c r="DH46" s="492"/>
      <c r="DI46" s="916"/>
      <c r="DJ46" s="916"/>
      <c r="DK46" s="492"/>
      <c r="DL46" s="492"/>
      <c r="DM46" s="919"/>
      <c r="DN46" s="527">
        <f t="shared" si="36"/>
        <v>1138000</v>
      </c>
      <c r="DO46" s="912">
        <f t="shared" si="56"/>
        <v>0</v>
      </c>
      <c r="DP46" s="913"/>
      <c r="DQ46" s="915">
        <f t="shared" si="14"/>
        <v>0</v>
      </c>
      <c r="DS46" s="762"/>
    </row>
    <row r="47" spans="1:123" ht="13.5" customHeight="1" outlineLevel="1" x14ac:dyDescent="0.25">
      <c r="A47" s="559">
        <v>5363</v>
      </c>
      <c r="B47" s="542" t="s">
        <v>1094</v>
      </c>
      <c r="C47" s="915"/>
      <c r="D47" s="915">
        <v>0</v>
      </c>
      <c r="E47" s="915">
        <v>750000</v>
      </c>
      <c r="F47" s="915">
        <v>0</v>
      </c>
      <c r="G47" s="915">
        <v>0</v>
      </c>
      <c r="H47" s="915">
        <f t="shared" si="38"/>
        <v>80000</v>
      </c>
      <c r="I47" s="571">
        <f>[2]Úroky!$B$20</f>
        <v>80000</v>
      </c>
      <c r="J47" s="492"/>
      <c r="K47" s="492"/>
      <c r="L47" s="492"/>
      <c r="M47" s="492"/>
      <c r="N47" s="492"/>
      <c r="O47" s="492">
        <f t="shared" si="15"/>
        <v>0</v>
      </c>
      <c r="P47" s="916"/>
      <c r="Q47" s="917"/>
      <c r="R47" s="492"/>
      <c r="S47" s="927">
        <f t="shared" si="40"/>
        <v>0</v>
      </c>
      <c r="T47" s="492"/>
      <c r="U47" s="492"/>
      <c r="V47" s="492"/>
      <c r="W47" s="492"/>
      <c r="X47" s="492"/>
      <c r="Y47" s="492"/>
      <c r="Z47" s="492"/>
      <c r="AA47" s="492"/>
      <c r="AB47" s="916"/>
      <c r="AC47" s="916"/>
      <c r="AD47" s="492"/>
      <c r="AE47" s="916"/>
      <c r="AF47" s="916"/>
      <c r="AG47" s="492"/>
      <c r="AH47" s="916"/>
      <c r="AI47" s="916"/>
      <c r="AJ47" s="492"/>
      <c r="AK47" s="492"/>
      <c r="AL47" s="492"/>
      <c r="AM47" s="492"/>
      <c r="AN47" s="916"/>
      <c r="AO47" s="916"/>
      <c r="AP47" s="492"/>
      <c r="AQ47" s="916"/>
      <c r="AR47" s="916"/>
      <c r="AS47" s="492"/>
      <c r="AT47" s="916"/>
      <c r="AU47" s="916"/>
      <c r="AV47" s="492"/>
      <c r="AW47" s="916"/>
      <c r="AX47" s="916"/>
      <c r="AY47" s="492"/>
      <c r="AZ47" s="916"/>
      <c r="BA47" s="916"/>
      <c r="BB47" s="492"/>
      <c r="BC47" s="916"/>
      <c r="BD47" s="916"/>
      <c r="BE47" s="492"/>
      <c r="BF47" s="916"/>
      <c r="BG47" s="916"/>
      <c r="BH47" s="492"/>
      <c r="BI47" s="916"/>
      <c r="BJ47" s="916"/>
      <c r="BK47" s="492"/>
      <c r="BL47" s="492"/>
      <c r="BM47" s="916"/>
      <c r="BN47" s="916"/>
      <c r="BO47" s="492"/>
      <c r="BP47" s="492"/>
      <c r="BQ47" s="916"/>
      <c r="BR47" s="916"/>
      <c r="BS47" s="492"/>
      <c r="BT47" s="916"/>
      <c r="BU47" s="916"/>
      <c r="BV47" s="492"/>
      <c r="BW47" s="492">
        <f t="shared" si="30"/>
        <v>0</v>
      </c>
      <c r="BX47" s="916">
        <f>[4]Vodovod!$B$27</f>
        <v>0</v>
      </c>
      <c r="BY47" s="916"/>
      <c r="BZ47" s="492"/>
      <c r="CA47" s="916"/>
      <c r="CB47" s="916"/>
      <c r="CC47" s="492"/>
      <c r="CD47" s="916"/>
      <c r="CE47" s="916"/>
      <c r="CF47" s="492"/>
      <c r="CG47" s="916"/>
      <c r="CH47" s="916"/>
      <c r="CI47" s="492"/>
      <c r="CJ47" s="916"/>
      <c r="CK47" s="916"/>
      <c r="CL47" s="492"/>
      <c r="CM47" s="492"/>
      <c r="CN47" s="916"/>
      <c r="CO47" s="916"/>
      <c r="CP47" s="492"/>
      <c r="CQ47" s="916"/>
      <c r="CR47" s="916"/>
      <c r="CS47" s="492"/>
      <c r="CT47" s="916"/>
      <c r="CU47" s="916"/>
      <c r="CV47" s="492"/>
      <c r="CW47" s="492"/>
      <c r="CX47" s="916"/>
      <c r="CY47" s="916"/>
      <c r="CZ47" s="916"/>
      <c r="DA47" s="492"/>
      <c r="DB47" s="492"/>
      <c r="DC47" s="492"/>
      <c r="DD47" s="492"/>
      <c r="DE47" s="492"/>
      <c r="DF47" s="492"/>
      <c r="DG47" s="492"/>
      <c r="DH47" s="492"/>
      <c r="DI47" s="916"/>
      <c r="DJ47" s="916"/>
      <c r="DK47" s="492"/>
      <c r="DL47" s="492"/>
      <c r="DM47" s="919"/>
      <c r="DN47" s="527">
        <f t="shared" si="36"/>
        <v>80000</v>
      </c>
      <c r="DO47" s="912"/>
      <c r="DP47" s="913"/>
      <c r="DQ47" s="915"/>
      <c r="DS47" s="762"/>
    </row>
    <row r="48" spans="1:123" ht="13.5" customHeight="1" outlineLevel="1" x14ac:dyDescent="0.25">
      <c r="A48" s="559">
        <v>5492</v>
      </c>
      <c r="B48" s="542" t="s">
        <v>129</v>
      </c>
      <c r="C48" s="915">
        <v>1080000</v>
      </c>
      <c r="D48" s="915">
        <v>380000</v>
      </c>
      <c r="E48" s="915">
        <v>970000</v>
      </c>
      <c r="F48" s="915">
        <v>970000</v>
      </c>
      <c r="G48" s="915">
        <v>970000</v>
      </c>
      <c r="H48" s="915">
        <f t="shared" si="38"/>
        <v>1320000</v>
      </c>
      <c r="I48" s="571"/>
      <c r="J48" s="492"/>
      <c r="K48" s="492"/>
      <c r="L48" s="492"/>
      <c r="M48" s="492">
        <f>[3]Zastupitelé!$B$87</f>
        <v>1300000</v>
      </c>
      <c r="N48" s="492"/>
      <c r="O48" s="492">
        <f t="shared" si="15"/>
        <v>0</v>
      </c>
      <c r="P48" s="916"/>
      <c r="Q48" s="917"/>
      <c r="R48" s="492"/>
      <c r="S48" s="927">
        <f t="shared" si="40"/>
        <v>0</v>
      </c>
      <c r="T48" s="492"/>
      <c r="U48" s="492"/>
      <c r="V48" s="492"/>
      <c r="W48" s="492"/>
      <c r="X48" s="492"/>
      <c r="Y48" s="492"/>
      <c r="Z48" s="492">
        <f>[3]Kultura!$B$60</f>
        <v>20000</v>
      </c>
      <c r="AA48" s="492">
        <f t="shared" si="16"/>
        <v>0</v>
      </c>
      <c r="AB48" s="916"/>
      <c r="AC48" s="916"/>
      <c r="AD48" s="492">
        <f t="shared" si="17"/>
        <v>0</v>
      </c>
      <c r="AE48" s="916"/>
      <c r="AF48" s="916"/>
      <c r="AG48" s="492">
        <f t="shared" si="18"/>
        <v>0</v>
      </c>
      <c r="AH48" s="916"/>
      <c r="AI48" s="916"/>
      <c r="AJ48" s="492"/>
      <c r="AK48" s="492"/>
      <c r="AL48" s="492"/>
      <c r="AM48" s="492">
        <f t="shared" si="19"/>
        <v>0</v>
      </c>
      <c r="AN48" s="916"/>
      <c r="AO48" s="916"/>
      <c r="AP48" s="492">
        <f t="shared" si="20"/>
        <v>0</v>
      </c>
      <c r="AQ48" s="916"/>
      <c r="AR48" s="916"/>
      <c r="AS48" s="492">
        <f t="shared" si="21"/>
        <v>0</v>
      </c>
      <c r="AT48" s="916"/>
      <c r="AU48" s="916"/>
      <c r="AV48" s="492">
        <f t="shared" si="22"/>
        <v>0</v>
      </c>
      <c r="AW48" s="916"/>
      <c r="AX48" s="916"/>
      <c r="AY48" s="492">
        <f t="shared" si="23"/>
        <v>0</v>
      </c>
      <c r="AZ48" s="916"/>
      <c r="BA48" s="916"/>
      <c r="BB48" s="492">
        <f t="shared" si="24"/>
        <v>0</v>
      </c>
      <c r="BC48" s="916"/>
      <c r="BD48" s="916"/>
      <c r="BE48" s="492">
        <f t="shared" si="25"/>
        <v>0</v>
      </c>
      <c r="BF48" s="916"/>
      <c r="BG48" s="916"/>
      <c r="BH48" s="492">
        <f t="shared" si="26"/>
        <v>0</v>
      </c>
      <c r="BI48" s="916"/>
      <c r="BJ48" s="916"/>
      <c r="BK48" s="492"/>
      <c r="BL48" s="492">
        <f t="shared" si="27"/>
        <v>0</v>
      </c>
      <c r="BM48" s="916"/>
      <c r="BN48" s="916"/>
      <c r="BO48" s="492"/>
      <c r="BP48" s="492">
        <f t="shared" si="28"/>
        <v>0</v>
      </c>
      <c r="BQ48" s="916"/>
      <c r="BR48" s="916"/>
      <c r="BS48" s="492">
        <f t="shared" si="29"/>
        <v>0</v>
      </c>
      <c r="BT48" s="916"/>
      <c r="BU48" s="916"/>
      <c r="BV48" s="492"/>
      <c r="BW48" s="492">
        <f t="shared" si="30"/>
        <v>0</v>
      </c>
      <c r="BX48" s="916"/>
      <c r="BY48" s="916"/>
      <c r="BZ48" s="492"/>
      <c r="CA48" s="916"/>
      <c r="CB48" s="916"/>
      <c r="CC48" s="492"/>
      <c r="CD48" s="916"/>
      <c r="CE48" s="916"/>
      <c r="CF48" s="492"/>
      <c r="CG48" s="916"/>
      <c r="CH48" s="916"/>
      <c r="CI48" s="492">
        <f t="shared" si="31"/>
        <v>0</v>
      </c>
      <c r="CJ48" s="916"/>
      <c r="CK48" s="916"/>
      <c r="CL48" s="492"/>
      <c r="CM48" s="492">
        <f t="shared" si="32"/>
        <v>0</v>
      </c>
      <c r="CN48" s="916"/>
      <c r="CO48" s="916"/>
      <c r="CP48" s="492">
        <f t="shared" si="33"/>
        <v>0</v>
      </c>
      <c r="CQ48" s="916"/>
      <c r="CR48" s="916"/>
      <c r="CS48" s="492">
        <f t="shared" si="34"/>
        <v>0</v>
      </c>
      <c r="CT48" s="916"/>
      <c r="CU48" s="916"/>
      <c r="CV48" s="492"/>
      <c r="CW48" s="492">
        <f t="shared" si="35"/>
        <v>0</v>
      </c>
      <c r="CX48" s="916"/>
      <c r="CY48" s="916"/>
      <c r="CZ48" s="916"/>
      <c r="DA48" s="492"/>
      <c r="DB48" s="492"/>
      <c r="DC48" s="492"/>
      <c r="DD48" s="492"/>
      <c r="DE48" s="492"/>
      <c r="DF48" s="492"/>
      <c r="DG48" s="492"/>
      <c r="DH48" s="492"/>
      <c r="DI48" s="916"/>
      <c r="DJ48" s="916"/>
      <c r="DK48" s="492"/>
      <c r="DL48" s="492"/>
      <c r="DM48" s="919"/>
      <c r="DN48" s="527">
        <f t="shared" si="36"/>
        <v>1320000</v>
      </c>
      <c r="DO48" s="912">
        <f t="shared" si="56"/>
        <v>0</v>
      </c>
      <c r="DP48" s="913"/>
      <c r="DQ48" s="915">
        <f t="shared" si="14"/>
        <v>0</v>
      </c>
      <c r="DS48" s="762"/>
    </row>
    <row r="49" spans="1:123" ht="13.5" customHeight="1" outlineLevel="1" x14ac:dyDescent="0.25">
      <c r="A49" s="559">
        <v>5499</v>
      </c>
      <c r="B49" s="542" t="s">
        <v>985</v>
      </c>
      <c r="C49" s="915">
        <v>1300000</v>
      </c>
      <c r="D49" s="915">
        <v>1300000</v>
      </c>
      <c r="E49" s="915">
        <v>1300000</v>
      </c>
      <c r="F49" s="915">
        <v>1300000</v>
      </c>
      <c r="G49" s="915">
        <v>1300000</v>
      </c>
      <c r="H49" s="915">
        <f t="shared" si="38"/>
        <v>1300000</v>
      </c>
      <c r="I49" s="571"/>
      <c r="J49" s="492"/>
      <c r="K49" s="492"/>
      <c r="L49" s="492">
        <f>'[2]Všebecná pokladna'!$B$64</f>
        <v>1300000</v>
      </c>
      <c r="M49" s="492"/>
      <c r="N49" s="492"/>
      <c r="O49" s="492">
        <f t="shared" si="15"/>
        <v>0</v>
      </c>
      <c r="P49" s="916"/>
      <c r="Q49" s="917"/>
      <c r="R49" s="492"/>
      <c r="S49" s="927">
        <f t="shared" si="40"/>
        <v>0</v>
      </c>
      <c r="T49" s="492"/>
      <c r="U49" s="492"/>
      <c r="V49" s="492"/>
      <c r="W49" s="492"/>
      <c r="X49" s="492"/>
      <c r="Y49" s="492"/>
      <c r="Z49" s="492"/>
      <c r="AA49" s="492">
        <f t="shared" si="16"/>
        <v>0</v>
      </c>
      <c r="AB49" s="916"/>
      <c r="AC49" s="916"/>
      <c r="AD49" s="492">
        <f t="shared" si="17"/>
        <v>0</v>
      </c>
      <c r="AE49" s="916"/>
      <c r="AF49" s="916"/>
      <c r="AG49" s="492">
        <f t="shared" si="18"/>
        <v>0</v>
      </c>
      <c r="AH49" s="916"/>
      <c r="AI49" s="916"/>
      <c r="AJ49" s="492"/>
      <c r="AK49" s="492"/>
      <c r="AL49" s="492"/>
      <c r="AM49" s="492">
        <f t="shared" si="19"/>
        <v>0</v>
      </c>
      <c r="AN49" s="916"/>
      <c r="AO49" s="916"/>
      <c r="AP49" s="492">
        <f t="shared" si="20"/>
        <v>0</v>
      </c>
      <c r="AQ49" s="916"/>
      <c r="AR49" s="916"/>
      <c r="AS49" s="492">
        <f t="shared" si="21"/>
        <v>0</v>
      </c>
      <c r="AT49" s="916"/>
      <c r="AU49" s="916"/>
      <c r="AV49" s="492">
        <f t="shared" si="22"/>
        <v>0</v>
      </c>
      <c r="AW49" s="916"/>
      <c r="AX49" s="916"/>
      <c r="AY49" s="492">
        <f t="shared" si="23"/>
        <v>0</v>
      </c>
      <c r="AZ49" s="916"/>
      <c r="BA49" s="916"/>
      <c r="BB49" s="492">
        <f t="shared" si="24"/>
        <v>0</v>
      </c>
      <c r="BC49" s="916"/>
      <c r="BD49" s="916"/>
      <c r="BE49" s="492">
        <f t="shared" si="25"/>
        <v>0</v>
      </c>
      <c r="BF49" s="916"/>
      <c r="BG49" s="916"/>
      <c r="BH49" s="492">
        <f t="shared" si="26"/>
        <v>0</v>
      </c>
      <c r="BI49" s="916"/>
      <c r="BJ49" s="916"/>
      <c r="BK49" s="492"/>
      <c r="BL49" s="492">
        <f t="shared" si="27"/>
        <v>0</v>
      </c>
      <c r="BM49" s="916"/>
      <c r="BN49" s="916"/>
      <c r="BO49" s="492"/>
      <c r="BP49" s="492">
        <f t="shared" si="28"/>
        <v>0</v>
      </c>
      <c r="BQ49" s="916"/>
      <c r="BR49" s="916"/>
      <c r="BS49" s="492">
        <f t="shared" si="29"/>
        <v>0</v>
      </c>
      <c r="BT49" s="916"/>
      <c r="BU49" s="916"/>
      <c r="BV49" s="492"/>
      <c r="BW49" s="492">
        <f t="shared" si="30"/>
        <v>0</v>
      </c>
      <c r="BX49" s="916"/>
      <c r="BY49" s="916"/>
      <c r="BZ49" s="492"/>
      <c r="CA49" s="916"/>
      <c r="CB49" s="916"/>
      <c r="CC49" s="492"/>
      <c r="CD49" s="916"/>
      <c r="CE49" s="916"/>
      <c r="CF49" s="492"/>
      <c r="CG49" s="916"/>
      <c r="CH49" s="916"/>
      <c r="CI49" s="492">
        <f t="shared" si="31"/>
        <v>0</v>
      </c>
      <c r="CJ49" s="916"/>
      <c r="CK49" s="916"/>
      <c r="CL49" s="492"/>
      <c r="CM49" s="492">
        <f t="shared" si="32"/>
        <v>0</v>
      </c>
      <c r="CN49" s="916"/>
      <c r="CO49" s="916"/>
      <c r="CP49" s="492">
        <f t="shared" si="33"/>
        <v>0</v>
      </c>
      <c r="CQ49" s="916"/>
      <c r="CR49" s="916"/>
      <c r="CS49" s="492">
        <f t="shared" si="34"/>
        <v>0</v>
      </c>
      <c r="CT49" s="916"/>
      <c r="CU49" s="916"/>
      <c r="CV49" s="492"/>
      <c r="CW49" s="492">
        <f t="shared" si="35"/>
        <v>0</v>
      </c>
      <c r="CX49" s="916"/>
      <c r="CY49" s="916"/>
      <c r="CZ49" s="916"/>
      <c r="DA49" s="492"/>
      <c r="DB49" s="492"/>
      <c r="DC49" s="492"/>
      <c r="DD49" s="492"/>
      <c r="DE49" s="492"/>
      <c r="DF49" s="492"/>
      <c r="DG49" s="492"/>
      <c r="DH49" s="492"/>
      <c r="DI49" s="916"/>
      <c r="DJ49" s="916"/>
      <c r="DK49" s="492"/>
      <c r="DL49" s="492"/>
      <c r="DM49" s="919"/>
      <c r="DN49" s="527">
        <f t="shared" si="36"/>
        <v>1300000</v>
      </c>
      <c r="DO49" s="912">
        <f t="shared" si="56"/>
        <v>0</v>
      </c>
      <c r="DP49" s="913"/>
      <c r="DQ49" s="915">
        <f t="shared" si="14"/>
        <v>0</v>
      </c>
      <c r="DS49" s="762"/>
    </row>
    <row r="50" spans="1:123" ht="13.5" customHeight="1" outlineLevel="1" x14ac:dyDescent="0.25">
      <c r="A50" s="559">
        <v>5222</v>
      </c>
      <c r="B50" s="542" t="s">
        <v>131</v>
      </c>
      <c r="C50" s="915">
        <v>1450000</v>
      </c>
      <c r="D50" s="915">
        <v>900000</v>
      </c>
      <c r="E50" s="915">
        <v>1000000</v>
      </c>
      <c r="F50" s="915">
        <v>1000000</v>
      </c>
      <c r="G50" s="915">
        <v>1000000</v>
      </c>
      <c r="H50" s="915">
        <f t="shared" si="38"/>
        <v>1000000</v>
      </c>
      <c r="I50" s="571"/>
      <c r="J50" s="492"/>
      <c r="K50" s="492"/>
      <c r="L50" s="492"/>
      <c r="M50" s="492"/>
      <c r="N50" s="492"/>
      <c r="O50" s="492">
        <f t="shared" si="15"/>
        <v>0</v>
      </c>
      <c r="P50" s="916"/>
      <c r="Q50" s="917"/>
      <c r="R50" s="492"/>
      <c r="S50" s="927">
        <f t="shared" si="40"/>
        <v>0</v>
      </c>
      <c r="T50" s="492"/>
      <c r="U50" s="492"/>
      <c r="V50" s="492"/>
      <c r="W50" s="492"/>
      <c r="X50" s="492"/>
      <c r="Y50" s="492"/>
      <c r="Z50" s="492"/>
      <c r="AA50" s="492">
        <f t="shared" si="16"/>
        <v>0</v>
      </c>
      <c r="AB50" s="916"/>
      <c r="AC50" s="916"/>
      <c r="AD50" s="492">
        <f t="shared" si="17"/>
        <v>0</v>
      </c>
      <c r="AE50" s="916"/>
      <c r="AF50" s="916"/>
      <c r="AG50" s="492">
        <f t="shared" si="18"/>
        <v>0</v>
      </c>
      <c r="AH50" s="916"/>
      <c r="AI50" s="916"/>
      <c r="AJ50" s="492"/>
      <c r="AK50" s="492"/>
      <c r="AL50" s="492"/>
      <c r="AM50" s="492">
        <f t="shared" si="19"/>
        <v>0</v>
      </c>
      <c r="AN50" s="916"/>
      <c r="AO50" s="916"/>
      <c r="AP50" s="492">
        <f t="shared" si="20"/>
        <v>1000000</v>
      </c>
      <c r="AQ50" s="916">
        <f>'[2]Sportovní zařízení'!$B$11</f>
        <v>1000000</v>
      </c>
      <c r="AR50" s="916"/>
      <c r="AS50" s="492">
        <f t="shared" si="21"/>
        <v>0</v>
      </c>
      <c r="AT50" s="916"/>
      <c r="AU50" s="916"/>
      <c r="AV50" s="492">
        <f t="shared" si="22"/>
        <v>0</v>
      </c>
      <c r="AW50" s="916"/>
      <c r="AX50" s="916"/>
      <c r="AY50" s="492">
        <f t="shared" si="23"/>
        <v>0</v>
      </c>
      <c r="AZ50" s="916"/>
      <c r="BA50" s="916"/>
      <c r="BB50" s="492">
        <f t="shared" si="24"/>
        <v>0</v>
      </c>
      <c r="BC50" s="916"/>
      <c r="BD50" s="916"/>
      <c r="BE50" s="492">
        <f t="shared" si="25"/>
        <v>0</v>
      </c>
      <c r="BF50" s="916"/>
      <c r="BG50" s="916"/>
      <c r="BH50" s="492">
        <f t="shared" si="26"/>
        <v>0</v>
      </c>
      <c r="BI50" s="916"/>
      <c r="BJ50" s="916"/>
      <c r="BK50" s="492"/>
      <c r="BL50" s="492">
        <f t="shared" si="27"/>
        <v>0</v>
      </c>
      <c r="BM50" s="916"/>
      <c r="BN50" s="916"/>
      <c r="BO50" s="492"/>
      <c r="BP50" s="492">
        <f t="shared" si="28"/>
        <v>0</v>
      </c>
      <c r="BQ50" s="916"/>
      <c r="BR50" s="916"/>
      <c r="BS50" s="492">
        <f t="shared" si="29"/>
        <v>0</v>
      </c>
      <c r="BT50" s="916"/>
      <c r="BU50" s="916"/>
      <c r="BV50" s="492"/>
      <c r="BW50" s="492">
        <f t="shared" si="30"/>
        <v>0</v>
      </c>
      <c r="BX50" s="916"/>
      <c r="BY50" s="916"/>
      <c r="BZ50" s="492"/>
      <c r="CA50" s="916"/>
      <c r="CB50" s="916"/>
      <c r="CC50" s="492"/>
      <c r="CD50" s="916"/>
      <c r="CE50" s="916"/>
      <c r="CF50" s="492"/>
      <c r="CG50" s="916"/>
      <c r="CH50" s="916"/>
      <c r="CI50" s="492">
        <f t="shared" si="31"/>
        <v>0</v>
      </c>
      <c r="CJ50" s="916"/>
      <c r="CK50" s="916"/>
      <c r="CL50" s="492"/>
      <c r="CM50" s="492">
        <f t="shared" si="32"/>
        <v>0</v>
      </c>
      <c r="CN50" s="916"/>
      <c r="CO50" s="916"/>
      <c r="CP50" s="492">
        <f t="shared" si="33"/>
        <v>0</v>
      </c>
      <c r="CQ50" s="916"/>
      <c r="CR50" s="916"/>
      <c r="CS50" s="492">
        <f t="shared" si="34"/>
        <v>0</v>
      </c>
      <c r="CT50" s="916"/>
      <c r="CU50" s="916"/>
      <c r="CV50" s="492"/>
      <c r="CW50" s="492">
        <f t="shared" si="35"/>
        <v>0</v>
      </c>
      <c r="CX50" s="916"/>
      <c r="CY50" s="916"/>
      <c r="CZ50" s="916"/>
      <c r="DA50" s="492"/>
      <c r="DB50" s="492"/>
      <c r="DC50" s="492"/>
      <c r="DD50" s="492"/>
      <c r="DE50" s="492"/>
      <c r="DF50" s="492"/>
      <c r="DG50" s="492"/>
      <c r="DH50" s="492"/>
      <c r="DI50" s="916"/>
      <c r="DJ50" s="916"/>
      <c r="DK50" s="492"/>
      <c r="DL50" s="492"/>
      <c r="DM50" s="919"/>
      <c r="DN50" s="527">
        <f t="shared" si="36"/>
        <v>1000000</v>
      </c>
      <c r="DO50" s="912">
        <f t="shared" si="56"/>
        <v>0</v>
      </c>
      <c r="DP50" s="913"/>
      <c r="DQ50" s="915">
        <f t="shared" si="14"/>
        <v>0</v>
      </c>
      <c r="DS50" s="762"/>
    </row>
    <row r="51" spans="1:123" ht="12.75" customHeight="1" outlineLevel="1" x14ac:dyDescent="0.25">
      <c r="A51" s="938">
        <v>5903</v>
      </c>
      <c r="B51" s="939" t="s">
        <v>1055</v>
      </c>
      <c r="C51" s="915"/>
      <c r="D51" s="940">
        <v>52650</v>
      </c>
      <c r="E51" s="940">
        <v>52435.245000000003</v>
      </c>
      <c r="F51" s="940">
        <v>52435.245000000003</v>
      </c>
      <c r="G51" s="940">
        <v>52435.245000000003</v>
      </c>
      <c r="H51" s="915">
        <f t="shared" si="38"/>
        <v>51927.298500000004</v>
      </c>
      <c r="I51" s="941"/>
      <c r="J51" s="942"/>
      <c r="K51" s="942">
        <f>'[2]Krizové situace-5213'!$B$4</f>
        <v>51927.298500000004</v>
      </c>
      <c r="L51" s="942"/>
      <c r="M51" s="942"/>
      <c r="N51" s="942"/>
      <c r="O51" s="942">
        <f t="shared" si="15"/>
        <v>0</v>
      </c>
      <c r="P51" s="943"/>
      <c r="Q51" s="944"/>
      <c r="R51" s="942"/>
      <c r="S51" s="945">
        <f>+Q51+AO51+BU51+BR51+BN51+CZ51+AC51+AI51+AR51+AU51+AX51+BA51+BD51+BG51+BJ51+BY51+CK51+CO51+CR51+CU51+AF51+DJ51</f>
        <v>0</v>
      </c>
      <c r="T51" s="942"/>
      <c r="U51" s="942"/>
      <c r="V51" s="942"/>
      <c r="W51" s="942"/>
      <c r="X51" s="942"/>
      <c r="Y51" s="942"/>
      <c r="Z51" s="942"/>
      <c r="AA51" s="942"/>
      <c r="AB51" s="943"/>
      <c r="AC51" s="943"/>
      <c r="AD51" s="942"/>
      <c r="AE51" s="943"/>
      <c r="AF51" s="943"/>
      <c r="AG51" s="942"/>
      <c r="AH51" s="943"/>
      <c r="AI51" s="943"/>
      <c r="AJ51" s="942"/>
      <c r="AK51" s="942"/>
      <c r="AL51" s="942"/>
      <c r="AM51" s="942"/>
      <c r="AN51" s="943"/>
      <c r="AO51" s="943"/>
      <c r="AP51" s="942"/>
      <c r="AQ51" s="943"/>
      <c r="AR51" s="943"/>
      <c r="AS51" s="942"/>
      <c r="AT51" s="943"/>
      <c r="AU51" s="943"/>
      <c r="AV51" s="942"/>
      <c r="AW51" s="943"/>
      <c r="AX51" s="943"/>
      <c r="AY51" s="942"/>
      <c r="AZ51" s="943"/>
      <c r="BA51" s="943"/>
      <c r="BB51" s="942"/>
      <c r="BC51" s="943"/>
      <c r="BD51" s="943"/>
      <c r="BE51" s="942"/>
      <c r="BF51" s="943"/>
      <c r="BG51" s="943"/>
      <c r="BH51" s="942"/>
      <c r="BI51" s="943"/>
      <c r="BJ51" s="943"/>
      <c r="BK51" s="942"/>
      <c r="BL51" s="942"/>
      <c r="BM51" s="943"/>
      <c r="BN51" s="943"/>
      <c r="BO51" s="942"/>
      <c r="BP51" s="942"/>
      <c r="BQ51" s="943"/>
      <c r="BR51" s="943"/>
      <c r="BS51" s="942"/>
      <c r="BT51" s="943"/>
      <c r="BU51" s="943"/>
      <c r="BV51" s="942"/>
      <c r="BW51" s="942"/>
      <c r="BX51" s="943"/>
      <c r="BY51" s="943"/>
      <c r="BZ51" s="942"/>
      <c r="CA51" s="943"/>
      <c r="CB51" s="943"/>
      <c r="CC51" s="942"/>
      <c r="CD51" s="943"/>
      <c r="CE51" s="943"/>
      <c r="CF51" s="942"/>
      <c r="CG51" s="943"/>
      <c r="CH51" s="943"/>
      <c r="CI51" s="942"/>
      <c r="CJ51" s="943"/>
      <c r="CK51" s="943"/>
      <c r="CL51" s="942"/>
      <c r="CM51" s="942"/>
      <c r="CN51" s="943"/>
      <c r="CO51" s="943"/>
      <c r="CP51" s="942"/>
      <c r="CQ51" s="943"/>
      <c r="CR51" s="943"/>
      <c r="CS51" s="942"/>
      <c r="CT51" s="943"/>
      <c r="CU51" s="943"/>
      <c r="CV51" s="942"/>
      <c r="CW51" s="942"/>
      <c r="CX51" s="943"/>
      <c r="CY51" s="943"/>
      <c r="CZ51" s="943"/>
      <c r="DA51" s="942"/>
      <c r="DB51" s="942"/>
      <c r="DC51" s="942"/>
      <c r="DD51" s="942"/>
      <c r="DE51" s="942"/>
      <c r="DF51" s="942"/>
      <c r="DG51" s="942"/>
      <c r="DH51" s="942"/>
      <c r="DI51" s="943"/>
      <c r="DJ51" s="943"/>
      <c r="DK51" s="942"/>
      <c r="DL51" s="942"/>
      <c r="DM51" s="946"/>
      <c r="DN51" s="527">
        <f t="shared" si="36"/>
        <v>51927.298500000004</v>
      </c>
      <c r="DO51" s="912"/>
      <c r="DP51" s="913"/>
      <c r="DQ51" s="940"/>
      <c r="DS51" s="762"/>
    </row>
    <row r="52" spans="1:123" s="616" customFormat="1" ht="17.25" thickBot="1" x14ac:dyDescent="0.35">
      <c r="A52" s="550" t="s">
        <v>132</v>
      </c>
      <c r="B52" s="551"/>
      <c r="C52" s="920">
        <v>84303463</v>
      </c>
      <c r="D52" s="920">
        <f>SUM(D17:D51)</f>
        <v>80554170</v>
      </c>
      <c r="E52" s="920">
        <v>88245079.925000012</v>
      </c>
      <c r="F52" s="920">
        <v>86623379.925000012</v>
      </c>
      <c r="G52" s="920">
        <v>80885157.925000012</v>
      </c>
      <c r="H52" s="920">
        <f>SUM(H17:H51)</f>
        <v>84846597.298500001</v>
      </c>
      <c r="I52" s="556">
        <f t="shared" ref="I52:J52" si="57">SUM(I17:I51)</f>
        <v>80000</v>
      </c>
      <c r="J52" s="554">
        <f t="shared" si="57"/>
        <v>0</v>
      </c>
      <c r="K52" s="554">
        <f>SUM(K17:K51)</f>
        <v>51927.298500000004</v>
      </c>
      <c r="L52" s="554">
        <f t="shared" ref="L52:R52" si="58">SUM(L17:L51)</f>
        <v>4270152</v>
      </c>
      <c r="M52" s="554">
        <f t="shared" si="58"/>
        <v>1830000</v>
      </c>
      <c r="N52" s="554">
        <f t="shared" si="58"/>
        <v>0</v>
      </c>
      <c r="O52" s="554">
        <f t="shared" si="58"/>
        <v>8300000</v>
      </c>
      <c r="P52" s="921">
        <f t="shared" si="58"/>
        <v>8230000</v>
      </c>
      <c r="Q52" s="922">
        <f t="shared" si="58"/>
        <v>70000</v>
      </c>
      <c r="R52" s="554">
        <f t="shared" si="58"/>
        <v>0</v>
      </c>
      <c r="S52" s="923">
        <f>SUM(S17:S50)-S22-S34-S35</f>
        <v>16000000</v>
      </c>
      <c r="T52" s="554">
        <f t="shared" ref="T52:CE52" si="59">SUM(T17:T51)</f>
        <v>386000</v>
      </c>
      <c r="U52" s="554">
        <f t="shared" si="59"/>
        <v>200000</v>
      </c>
      <c r="V52" s="554">
        <f t="shared" si="59"/>
        <v>966000</v>
      </c>
      <c r="W52" s="554">
        <f t="shared" si="59"/>
        <v>115000</v>
      </c>
      <c r="X52" s="554">
        <f t="shared" si="59"/>
        <v>739000</v>
      </c>
      <c r="Y52" s="554">
        <f t="shared" si="59"/>
        <v>490000</v>
      </c>
      <c r="Z52" s="554">
        <f t="shared" si="59"/>
        <v>1015000</v>
      </c>
      <c r="AA52" s="554">
        <f t="shared" si="59"/>
        <v>1759240</v>
      </c>
      <c r="AB52" s="921">
        <f t="shared" si="59"/>
        <v>1579240</v>
      </c>
      <c r="AC52" s="921">
        <f t="shared" si="59"/>
        <v>180000</v>
      </c>
      <c r="AD52" s="554">
        <f t="shared" si="59"/>
        <v>2470000</v>
      </c>
      <c r="AE52" s="921">
        <f t="shared" si="59"/>
        <v>2470000</v>
      </c>
      <c r="AF52" s="921">
        <f t="shared" si="59"/>
        <v>0</v>
      </c>
      <c r="AG52" s="554">
        <f t="shared" si="59"/>
        <v>1379000</v>
      </c>
      <c r="AH52" s="921">
        <f t="shared" si="59"/>
        <v>1379000</v>
      </c>
      <c r="AI52" s="921">
        <f t="shared" si="59"/>
        <v>0</v>
      </c>
      <c r="AJ52" s="554">
        <f t="shared" si="59"/>
        <v>873000</v>
      </c>
      <c r="AK52" s="554">
        <f t="shared" si="59"/>
        <v>210000</v>
      </c>
      <c r="AL52" s="554">
        <f t="shared" si="59"/>
        <v>31000</v>
      </c>
      <c r="AM52" s="554">
        <f t="shared" si="59"/>
        <v>220000</v>
      </c>
      <c r="AN52" s="921">
        <f t="shared" si="59"/>
        <v>200000</v>
      </c>
      <c r="AO52" s="921">
        <f t="shared" si="59"/>
        <v>20000</v>
      </c>
      <c r="AP52" s="554">
        <f t="shared" si="59"/>
        <v>2365156</v>
      </c>
      <c r="AQ52" s="921">
        <f t="shared" si="59"/>
        <v>2215156</v>
      </c>
      <c r="AR52" s="921">
        <f t="shared" si="59"/>
        <v>150000</v>
      </c>
      <c r="AS52" s="554">
        <f t="shared" si="59"/>
        <v>11846000</v>
      </c>
      <c r="AT52" s="921">
        <f t="shared" si="59"/>
        <v>11846000</v>
      </c>
      <c r="AU52" s="921">
        <f t="shared" si="59"/>
        <v>0</v>
      </c>
      <c r="AV52" s="554">
        <f t="shared" si="59"/>
        <v>426000</v>
      </c>
      <c r="AW52" s="921">
        <f t="shared" si="59"/>
        <v>426000</v>
      </c>
      <c r="AX52" s="921">
        <f t="shared" si="59"/>
        <v>0</v>
      </c>
      <c r="AY52" s="554">
        <f t="shared" si="59"/>
        <v>730000</v>
      </c>
      <c r="AZ52" s="921">
        <f t="shared" si="59"/>
        <v>730000</v>
      </c>
      <c r="BA52" s="921">
        <f t="shared" si="59"/>
        <v>0</v>
      </c>
      <c r="BB52" s="554">
        <f t="shared" si="59"/>
        <v>80000</v>
      </c>
      <c r="BC52" s="921">
        <f t="shared" si="59"/>
        <v>60000</v>
      </c>
      <c r="BD52" s="921">
        <f t="shared" si="59"/>
        <v>20000</v>
      </c>
      <c r="BE52" s="554">
        <f t="shared" si="59"/>
        <v>3461000</v>
      </c>
      <c r="BF52" s="921">
        <f t="shared" si="59"/>
        <v>3441000</v>
      </c>
      <c r="BG52" s="921">
        <f t="shared" si="59"/>
        <v>20000</v>
      </c>
      <c r="BH52" s="554">
        <f t="shared" si="59"/>
        <v>0</v>
      </c>
      <c r="BI52" s="921">
        <f t="shared" si="59"/>
        <v>0</v>
      </c>
      <c r="BJ52" s="921">
        <f t="shared" si="59"/>
        <v>0</v>
      </c>
      <c r="BK52" s="554">
        <f t="shared" si="59"/>
        <v>265000</v>
      </c>
      <c r="BL52" s="554">
        <f t="shared" si="59"/>
        <v>200000</v>
      </c>
      <c r="BM52" s="921">
        <f t="shared" si="59"/>
        <v>180000</v>
      </c>
      <c r="BN52" s="921">
        <f t="shared" si="59"/>
        <v>20000</v>
      </c>
      <c r="BO52" s="554">
        <f t="shared" si="59"/>
        <v>350000</v>
      </c>
      <c r="BP52" s="554">
        <f t="shared" si="59"/>
        <v>1754100</v>
      </c>
      <c r="BQ52" s="921">
        <f t="shared" si="59"/>
        <v>1504100</v>
      </c>
      <c r="BR52" s="921">
        <f t="shared" si="59"/>
        <v>250000</v>
      </c>
      <c r="BS52" s="554">
        <f t="shared" si="59"/>
        <v>5446509</v>
      </c>
      <c r="BT52" s="921">
        <f t="shared" si="59"/>
        <v>5346509</v>
      </c>
      <c r="BU52" s="921">
        <f t="shared" si="59"/>
        <v>100000</v>
      </c>
      <c r="BV52" s="554">
        <f t="shared" si="59"/>
        <v>2030000</v>
      </c>
      <c r="BW52" s="554">
        <f t="shared" si="59"/>
        <v>1105000</v>
      </c>
      <c r="BX52" s="921">
        <f t="shared" si="59"/>
        <v>1105000</v>
      </c>
      <c r="BY52" s="921">
        <f t="shared" si="59"/>
        <v>0</v>
      </c>
      <c r="BZ52" s="554">
        <f t="shared" si="59"/>
        <v>1000000</v>
      </c>
      <c r="CA52" s="921">
        <f t="shared" si="59"/>
        <v>1000000</v>
      </c>
      <c r="CB52" s="921">
        <f t="shared" si="59"/>
        <v>0</v>
      </c>
      <c r="CC52" s="554">
        <f t="shared" si="59"/>
        <v>805000</v>
      </c>
      <c r="CD52" s="921">
        <f t="shared" si="59"/>
        <v>805000</v>
      </c>
      <c r="CE52" s="921">
        <f t="shared" si="59"/>
        <v>0</v>
      </c>
      <c r="CF52" s="554">
        <f t="shared" ref="CF52:DM52" si="60">SUM(CF17:CF51)</f>
        <v>1000000</v>
      </c>
      <c r="CG52" s="921">
        <f t="shared" si="60"/>
        <v>1000000</v>
      </c>
      <c r="CH52" s="921">
        <f t="shared" si="60"/>
        <v>0</v>
      </c>
      <c r="CI52" s="554">
        <f t="shared" si="60"/>
        <v>150000</v>
      </c>
      <c r="CJ52" s="921">
        <f t="shared" si="60"/>
        <v>150000</v>
      </c>
      <c r="CK52" s="921">
        <f t="shared" si="60"/>
        <v>0</v>
      </c>
      <c r="CL52" s="554">
        <f t="shared" si="60"/>
        <v>100000</v>
      </c>
      <c r="CM52" s="554">
        <f t="shared" si="60"/>
        <v>4950000</v>
      </c>
      <c r="CN52" s="921">
        <f t="shared" si="60"/>
        <v>0</v>
      </c>
      <c r="CO52" s="921">
        <f t="shared" si="60"/>
        <v>4950000</v>
      </c>
      <c r="CP52" s="554">
        <f t="shared" si="60"/>
        <v>754500</v>
      </c>
      <c r="CQ52" s="921">
        <f t="shared" si="60"/>
        <v>4500</v>
      </c>
      <c r="CR52" s="921">
        <f t="shared" si="60"/>
        <v>750000</v>
      </c>
      <c r="CS52" s="554">
        <f t="shared" si="60"/>
        <v>70000</v>
      </c>
      <c r="CT52" s="921">
        <f t="shared" si="60"/>
        <v>0</v>
      </c>
      <c r="CU52" s="921">
        <f t="shared" si="60"/>
        <v>70000</v>
      </c>
      <c r="CV52" s="554">
        <f t="shared" si="60"/>
        <v>66500</v>
      </c>
      <c r="CW52" s="554">
        <f t="shared" si="60"/>
        <v>3015532</v>
      </c>
      <c r="CX52" s="921">
        <f t="shared" si="60"/>
        <v>3015532</v>
      </c>
      <c r="CY52" s="921">
        <f t="shared" si="60"/>
        <v>0</v>
      </c>
      <c r="CZ52" s="921">
        <f t="shared" si="60"/>
        <v>0</v>
      </c>
      <c r="DA52" s="554">
        <f t="shared" si="60"/>
        <v>356001</v>
      </c>
      <c r="DB52" s="554">
        <f t="shared" si="60"/>
        <v>0</v>
      </c>
      <c r="DC52" s="554">
        <f t="shared" si="60"/>
        <v>0</v>
      </c>
      <c r="DD52" s="554">
        <f t="shared" si="60"/>
        <v>0</v>
      </c>
      <c r="DE52" s="554">
        <f t="shared" si="60"/>
        <v>5000</v>
      </c>
      <c r="DF52" s="554">
        <f t="shared" si="60"/>
        <v>0</v>
      </c>
      <c r="DG52" s="554">
        <f t="shared" si="60"/>
        <v>0</v>
      </c>
      <c r="DH52" s="554">
        <f t="shared" si="60"/>
        <v>1129980</v>
      </c>
      <c r="DI52" s="921">
        <f t="shared" ref="DI52:DJ52" si="61">SUM(DI17:DI51)</f>
        <v>1129980</v>
      </c>
      <c r="DJ52" s="921">
        <f t="shared" si="61"/>
        <v>0</v>
      </c>
      <c r="DK52" s="554">
        <f t="shared" si="60"/>
        <v>0</v>
      </c>
      <c r="DL52" s="554">
        <f t="shared" si="60"/>
        <v>0</v>
      </c>
      <c r="DM52" s="924">
        <f t="shared" si="60"/>
        <v>0</v>
      </c>
      <c r="DN52" s="527"/>
      <c r="DO52" s="912"/>
      <c r="DP52" s="913"/>
      <c r="DQ52" s="925">
        <f>SUM(DQ17:DQ50)</f>
        <v>6600000</v>
      </c>
      <c r="DS52" s="762"/>
    </row>
    <row r="53" spans="1:123" ht="15.75" outlineLevel="1" x14ac:dyDescent="0.25">
      <c r="A53" s="559">
        <v>5141</v>
      </c>
      <c r="B53" s="542" t="s">
        <v>7</v>
      </c>
      <c r="C53" s="905">
        <v>1736409.0776</v>
      </c>
      <c r="D53" s="905">
        <v>2399648.3037999999</v>
      </c>
      <c r="E53" s="905">
        <v>2091028.8254</v>
      </c>
      <c r="F53" s="905">
        <v>2091028.8254</v>
      </c>
      <c r="G53" s="905">
        <v>2248528.8254</v>
      </c>
      <c r="H53" s="905">
        <f t="shared" ref="H53:H54" si="62">SUM(I53:O53)+SUM(T53:AA53)+AD53+AG53+SUM(AJ53:AM53)+AP53+AS53+AV53+AY53+BB53+BE53+BH53+BK53+BL53+BO53+BP53+BS53+SUM(BV53:BW53)+CF53+CI53+CL53+CM53+CP53+CS53+CV53+CW53+SUM(DA53:DH53)+BZ53+CC53+SUM(DK53:DM53)</f>
        <v>2058522.1749999998</v>
      </c>
      <c r="I53" s="950">
        <f>[2]Úroky!$B$4</f>
        <v>2058522.1749999998</v>
      </c>
      <c r="J53" s="951"/>
      <c r="K53" s="951"/>
      <c r="L53" s="951"/>
      <c r="M53" s="951"/>
      <c r="N53" s="951"/>
      <c r="O53" s="951">
        <f t="shared" ref="O53:O54" si="63">+P53+Q53</f>
        <v>0</v>
      </c>
      <c r="P53" s="952"/>
      <c r="Q53" s="953"/>
      <c r="R53" s="951"/>
      <c r="S53" s="954">
        <f t="shared" ref="S53:S54" si="64">+Q53+AO53+BU53+BR53+BN53+CZ53+AC53+AI53+AR53+AU53+AX53+BA53+BD53+BG53+BJ53+BY53+CK53+CO53+CR53+CU53+AF53+DJ53</f>
        <v>0</v>
      </c>
      <c r="T53" s="951"/>
      <c r="U53" s="951"/>
      <c r="V53" s="951"/>
      <c r="W53" s="951"/>
      <c r="X53" s="951"/>
      <c r="Y53" s="951"/>
      <c r="Z53" s="951"/>
      <c r="AA53" s="951">
        <f t="shared" ref="AA53:AA54" si="65">+AB53+AC53</f>
        <v>0</v>
      </c>
      <c r="AB53" s="952"/>
      <c r="AC53" s="952"/>
      <c r="AD53" s="951">
        <f t="shared" ref="AD53:AD54" si="66">+AE53+AF53</f>
        <v>0</v>
      </c>
      <c r="AE53" s="952"/>
      <c r="AF53" s="952"/>
      <c r="AG53" s="951">
        <f t="shared" ref="AG53:AG54" si="67">+AH53+AI53</f>
        <v>0</v>
      </c>
      <c r="AH53" s="952"/>
      <c r="AI53" s="952"/>
      <c r="AJ53" s="951"/>
      <c r="AK53" s="951"/>
      <c r="AL53" s="951"/>
      <c r="AM53" s="951">
        <f t="shared" ref="AM53:AM54" si="68">+AN53+AO53</f>
        <v>0</v>
      </c>
      <c r="AN53" s="952"/>
      <c r="AO53" s="952"/>
      <c r="AP53" s="951">
        <f t="shared" ref="AP53:AP54" si="69">+AQ53+AR53</f>
        <v>0</v>
      </c>
      <c r="AQ53" s="952"/>
      <c r="AR53" s="952"/>
      <c r="AS53" s="951">
        <f t="shared" ref="AS53:AS54" si="70">+AT53+AU53</f>
        <v>0</v>
      </c>
      <c r="AT53" s="952"/>
      <c r="AU53" s="952"/>
      <c r="AV53" s="951">
        <f t="shared" ref="AV53:AV54" si="71">+AW53+AX53</f>
        <v>0</v>
      </c>
      <c r="AW53" s="952"/>
      <c r="AX53" s="952"/>
      <c r="AY53" s="951">
        <f t="shared" ref="AY53:AY54" si="72">+AZ53+BA53</f>
        <v>0</v>
      </c>
      <c r="AZ53" s="952"/>
      <c r="BA53" s="952"/>
      <c r="BB53" s="951">
        <f t="shared" ref="BB53:BB54" si="73">+BC53+BD53</f>
        <v>0</v>
      </c>
      <c r="BC53" s="952"/>
      <c r="BD53" s="952"/>
      <c r="BE53" s="951">
        <f t="shared" ref="BE53:BE54" si="74">+BF53+BG53</f>
        <v>0</v>
      </c>
      <c r="BF53" s="952"/>
      <c r="BG53" s="952"/>
      <c r="BH53" s="951">
        <f t="shared" ref="BH53:BH54" si="75">+BI53+BJ53</f>
        <v>0</v>
      </c>
      <c r="BI53" s="952"/>
      <c r="BJ53" s="952"/>
      <c r="BK53" s="951"/>
      <c r="BL53" s="951">
        <f t="shared" ref="BL53:BL54" si="76">+BM53+BN53</f>
        <v>0</v>
      </c>
      <c r="BM53" s="952"/>
      <c r="BN53" s="952"/>
      <c r="BO53" s="951"/>
      <c r="BP53" s="951">
        <f t="shared" ref="BP53:BP54" si="77">+BQ53+BR53</f>
        <v>0</v>
      </c>
      <c r="BQ53" s="952"/>
      <c r="BR53" s="952"/>
      <c r="BS53" s="951">
        <f t="shared" ref="BS53:BS54" si="78">+BT53+BU53</f>
        <v>0</v>
      </c>
      <c r="BT53" s="952"/>
      <c r="BU53" s="952"/>
      <c r="BV53" s="951"/>
      <c r="BW53" s="951">
        <f t="shared" ref="BW53:BW54" si="79">+BX53+BY53</f>
        <v>0</v>
      </c>
      <c r="BX53" s="952"/>
      <c r="BY53" s="952"/>
      <c r="BZ53" s="951"/>
      <c r="CA53" s="952"/>
      <c r="CB53" s="952"/>
      <c r="CC53" s="951"/>
      <c r="CD53" s="952"/>
      <c r="CE53" s="952"/>
      <c r="CF53" s="951"/>
      <c r="CG53" s="952"/>
      <c r="CH53" s="952"/>
      <c r="CI53" s="951">
        <f t="shared" ref="CI53:CI54" si="80">+CJ53+CK53</f>
        <v>0</v>
      </c>
      <c r="CJ53" s="952"/>
      <c r="CK53" s="952"/>
      <c r="CL53" s="951"/>
      <c r="CM53" s="951">
        <f t="shared" ref="CM53:CM54" si="81">+CN53+CO53</f>
        <v>0</v>
      </c>
      <c r="CN53" s="952"/>
      <c r="CO53" s="952"/>
      <c r="CP53" s="951">
        <f t="shared" ref="CP53:CP54" si="82">+CQ53+CR53</f>
        <v>0</v>
      </c>
      <c r="CQ53" s="952"/>
      <c r="CR53" s="952"/>
      <c r="CS53" s="951">
        <f t="shared" ref="CS53:CS54" si="83">+CT53+CU53</f>
        <v>0</v>
      </c>
      <c r="CT53" s="952"/>
      <c r="CU53" s="952"/>
      <c r="CV53" s="951"/>
      <c r="CW53" s="951">
        <f t="shared" ref="CW53:CW54" si="84">+CX53+CY53+CZ53</f>
        <v>0</v>
      </c>
      <c r="CX53" s="952"/>
      <c r="CY53" s="952"/>
      <c r="CZ53" s="952"/>
      <c r="DA53" s="951"/>
      <c r="DB53" s="951"/>
      <c r="DC53" s="951"/>
      <c r="DD53" s="951"/>
      <c r="DE53" s="951"/>
      <c r="DF53" s="951"/>
      <c r="DG53" s="951"/>
      <c r="DH53" s="951"/>
      <c r="DI53" s="952"/>
      <c r="DJ53" s="952"/>
      <c r="DK53" s="951"/>
      <c r="DL53" s="951"/>
      <c r="DM53" s="955"/>
      <c r="DN53" s="527">
        <f t="shared" si="36"/>
        <v>2058522.1749999998</v>
      </c>
      <c r="DO53" s="912">
        <f t="shared" si="56"/>
        <v>0</v>
      </c>
      <c r="DP53" s="913"/>
      <c r="DQ53" s="949"/>
      <c r="DS53" s="762"/>
    </row>
    <row r="54" spans="1:123" ht="15.75" outlineLevel="1" x14ac:dyDescent="0.25">
      <c r="A54" s="947">
        <v>5144</v>
      </c>
      <c r="B54" s="956" t="s">
        <v>819</v>
      </c>
      <c r="C54" s="949">
        <v>479732</v>
      </c>
      <c r="D54" s="949">
        <v>0</v>
      </c>
      <c r="E54" s="949">
        <v>0</v>
      </c>
      <c r="F54" s="949">
        <v>0</v>
      </c>
      <c r="G54" s="949">
        <v>0</v>
      </c>
      <c r="H54" s="949">
        <f t="shared" si="62"/>
        <v>0</v>
      </c>
      <c r="I54" s="591"/>
      <c r="J54" s="957"/>
      <c r="K54" s="957"/>
      <c r="L54" s="957"/>
      <c r="M54" s="957"/>
      <c r="N54" s="957"/>
      <c r="O54" s="957">
        <f t="shared" si="63"/>
        <v>0</v>
      </c>
      <c r="P54" s="958"/>
      <c r="Q54" s="959"/>
      <c r="R54" s="957"/>
      <c r="S54" s="960">
        <f t="shared" si="64"/>
        <v>0</v>
      </c>
      <c r="T54" s="957"/>
      <c r="U54" s="957"/>
      <c r="V54" s="957"/>
      <c r="W54" s="957"/>
      <c r="X54" s="957"/>
      <c r="Y54" s="957"/>
      <c r="Z54" s="957"/>
      <c r="AA54" s="957">
        <f t="shared" si="65"/>
        <v>0</v>
      </c>
      <c r="AB54" s="958"/>
      <c r="AC54" s="958"/>
      <c r="AD54" s="957">
        <f t="shared" si="66"/>
        <v>0</v>
      </c>
      <c r="AE54" s="958"/>
      <c r="AF54" s="958"/>
      <c r="AG54" s="957">
        <f t="shared" si="67"/>
        <v>0</v>
      </c>
      <c r="AH54" s="958"/>
      <c r="AI54" s="958"/>
      <c r="AJ54" s="957"/>
      <c r="AK54" s="957"/>
      <c r="AL54" s="957"/>
      <c r="AM54" s="957">
        <f t="shared" si="68"/>
        <v>0</v>
      </c>
      <c r="AN54" s="958"/>
      <c r="AO54" s="958"/>
      <c r="AP54" s="957">
        <f t="shared" si="69"/>
        <v>0</v>
      </c>
      <c r="AQ54" s="958"/>
      <c r="AR54" s="958"/>
      <c r="AS54" s="957">
        <f t="shared" si="70"/>
        <v>0</v>
      </c>
      <c r="AT54" s="958"/>
      <c r="AU54" s="958"/>
      <c r="AV54" s="957">
        <f t="shared" si="71"/>
        <v>0</v>
      </c>
      <c r="AW54" s="958"/>
      <c r="AX54" s="958"/>
      <c r="AY54" s="957">
        <f t="shared" si="72"/>
        <v>0</v>
      </c>
      <c r="AZ54" s="958"/>
      <c r="BA54" s="958"/>
      <c r="BB54" s="957">
        <f t="shared" si="73"/>
        <v>0</v>
      </c>
      <c r="BC54" s="958"/>
      <c r="BD54" s="958"/>
      <c r="BE54" s="957">
        <f t="shared" si="74"/>
        <v>0</v>
      </c>
      <c r="BF54" s="958"/>
      <c r="BG54" s="958"/>
      <c r="BH54" s="957">
        <f t="shared" si="75"/>
        <v>0</v>
      </c>
      <c r="BI54" s="958"/>
      <c r="BJ54" s="958"/>
      <c r="BK54" s="957"/>
      <c r="BL54" s="957">
        <f t="shared" si="76"/>
        <v>0</v>
      </c>
      <c r="BM54" s="958"/>
      <c r="BN54" s="958"/>
      <c r="BO54" s="957"/>
      <c r="BP54" s="957">
        <f t="shared" si="77"/>
        <v>0</v>
      </c>
      <c r="BQ54" s="958"/>
      <c r="BR54" s="958"/>
      <c r="BS54" s="957">
        <f t="shared" si="78"/>
        <v>0</v>
      </c>
      <c r="BT54" s="958"/>
      <c r="BU54" s="958"/>
      <c r="BV54" s="957"/>
      <c r="BW54" s="957">
        <f t="shared" si="79"/>
        <v>0</v>
      </c>
      <c r="BX54" s="958"/>
      <c r="BY54" s="958"/>
      <c r="BZ54" s="957"/>
      <c r="CA54" s="958"/>
      <c r="CB54" s="958"/>
      <c r="CC54" s="957"/>
      <c r="CD54" s="958"/>
      <c r="CE54" s="958"/>
      <c r="CF54" s="957"/>
      <c r="CG54" s="958"/>
      <c r="CH54" s="958"/>
      <c r="CI54" s="957">
        <f t="shared" si="80"/>
        <v>0</v>
      </c>
      <c r="CJ54" s="958"/>
      <c r="CK54" s="958"/>
      <c r="CL54" s="957"/>
      <c r="CM54" s="957">
        <f t="shared" si="81"/>
        <v>0</v>
      </c>
      <c r="CN54" s="958"/>
      <c r="CO54" s="958"/>
      <c r="CP54" s="957">
        <f t="shared" si="82"/>
        <v>0</v>
      </c>
      <c r="CQ54" s="958"/>
      <c r="CR54" s="958"/>
      <c r="CS54" s="957">
        <f t="shared" si="83"/>
        <v>0</v>
      </c>
      <c r="CT54" s="958"/>
      <c r="CU54" s="958"/>
      <c r="CV54" s="957"/>
      <c r="CW54" s="957">
        <f t="shared" si="84"/>
        <v>0</v>
      </c>
      <c r="CX54" s="958"/>
      <c r="CY54" s="958"/>
      <c r="CZ54" s="958"/>
      <c r="DA54" s="957"/>
      <c r="DB54" s="957"/>
      <c r="DC54" s="957"/>
      <c r="DD54" s="957"/>
      <c r="DE54" s="957"/>
      <c r="DF54" s="957"/>
      <c r="DG54" s="957"/>
      <c r="DH54" s="957"/>
      <c r="DI54" s="958"/>
      <c r="DJ54" s="958"/>
      <c r="DK54" s="957"/>
      <c r="DL54" s="957"/>
      <c r="DM54" s="961"/>
      <c r="DN54" s="527">
        <f t="shared" si="36"/>
        <v>0</v>
      </c>
      <c r="DO54" s="912"/>
      <c r="DP54" s="913"/>
      <c r="DQ54" s="949"/>
      <c r="DS54" s="762"/>
    </row>
    <row r="55" spans="1:123" s="616" customFormat="1" ht="17.25" thickBot="1" x14ac:dyDescent="0.35">
      <c r="A55" s="550" t="s">
        <v>133</v>
      </c>
      <c r="B55" s="551" t="s">
        <v>134</v>
      </c>
      <c r="C55" s="920">
        <v>120961351.77760001</v>
      </c>
      <c r="D55" s="920">
        <f>+D52+D53+D16+D54</f>
        <v>120792267.1038</v>
      </c>
      <c r="E55" s="920">
        <v>129492823.2784</v>
      </c>
      <c r="F55" s="920">
        <v>127871123.2784</v>
      </c>
      <c r="G55" s="920">
        <v>117956938.75040001</v>
      </c>
      <c r="H55" s="920">
        <f>+H52+H53+H16+H54</f>
        <v>123067947.87349999</v>
      </c>
      <c r="I55" s="556">
        <f>+I52+I53+I16+I54</f>
        <v>2138522.1749999998</v>
      </c>
      <c r="J55" s="554">
        <f>+J52+J53+J16+J54</f>
        <v>0</v>
      </c>
      <c r="K55" s="554">
        <f>+K52+K53+K16+K54</f>
        <v>51927.298500000004</v>
      </c>
      <c r="L55" s="554">
        <f t="shared" ref="L55:AQ55" si="85">+L52+L53+L16+L54</f>
        <v>4270152</v>
      </c>
      <c r="M55" s="554">
        <f t="shared" si="85"/>
        <v>5580318</v>
      </c>
      <c r="N55" s="554">
        <f t="shared" si="85"/>
        <v>0</v>
      </c>
      <c r="O55" s="554">
        <f t="shared" si="85"/>
        <v>29837627.600000001</v>
      </c>
      <c r="P55" s="921">
        <f t="shared" si="85"/>
        <v>29767627.600000001</v>
      </c>
      <c r="Q55" s="922">
        <f t="shared" si="85"/>
        <v>70000</v>
      </c>
      <c r="R55" s="554">
        <f t="shared" si="85"/>
        <v>2150720</v>
      </c>
      <c r="S55" s="923">
        <f t="shared" si="85"/>
        <v>16067210</v>
      </c>
      <c r="T55" s="554">
        <f t="shared" si="85"/>
        <v>2267880</v>
      </c>
      <c r="U55" s="554">
        <f t="shared" si="85"/>
        <v>200000</v>
      </c>
      <c r="V55" s="554">
        <f t="shared" si="85"/>
        <v>5670700</v>
      </c>
      <c r="W55" s="554">
        <f t="shared" si="85"/>
        <v>147260.79999999999</v>
      </c>
      <c r="X55" s="554">
        <f t="shared" si="85"/>
        <v>2476134</v>
      </c>
      <c r="Y55" s="554">
        <f t="shared" si="85"/>
        <v>640000</v>
      </c>
      <c r="Z55" s="554">
        <f t="shared" si="85"/>
        <v>1015000</v>
      </c>
      <c r="AA55" s="554">
        <f t="shared" si="85"/>
        <v>1759240</v>
      </c>
      <c r="AB55" s="921">
        <f t="shared" si="85"/>
        <v>1579240</v>
      </c>
      <c r="AC55" s="921">
        <f t="shared" si="85"/>
        <v>180000</v>
      </c>
      <c r="AD55" s="554">
        <f t="shared" si="85"/>
        <v>2470000</v>
      </c>
      <c r="AE55" s="921">
        <f t="shared" si="85"/>
        <v>2470000</v>
      </c>
      <c r="AF55" s="921">
        <f t="shared" si="85"/>
        <v>0</v>
      </c>
      <c r="AG55" s="554">
        <f t="shared" si="85"/>
        <v>1379000</v>
      </c>
      <c r="AH55" s="921">
        <f t="shared" si="85"/>
        <v>1379000</v>
      </c>
      <c r="AI55" s="921">
        <f t="shared" si="85"/>
        <v>0</v>
      </c>
      <c r="AJ55" s="554">
        <f t="shared" si="85"/>
        <v>1023978</v>
      </c>
      <c r="AK55" s="554">
        <f t="shared" si="85"/>
        <v>210000</v>
      </c>
      <c r="AL55" s="554">
        <f t="shared" si="85"/>
        <v>31000</v>
      </c>
      <c r="AM55" s="554">
        <f t="shared" si="85"/>
        <v>220000</v>
      </c>
      <c r="AN55" s="921">
        <f t="shared" si="85"/>
        <v>200000</v>
      </c>
      <c r="AO55" s="921">
        <f t="shared" si="85"/>
        <v>20000</v>
      </c>
      <c r="AP55" s="554">
        <f t="shared" si="85"/>
        <v>2365156</v>
      </c>
      <c r="AQ55" s="921">
        <f t="shared" si="85"/>
        <v>2215156</v>
      </c>
      <c r="AR55" s="921">
        <f t="shared" ref="AR55:BW55" si="86">+AR52+AR53+AR16+AR54</f>
        <v>150000</v>
      </c>
      <c r="AS55" s="554">
        <f t="shared" si="86"/>
        <v>11846000</v>
      </c>
      <c r="AT55" s="921">
        <f t="shared" si="86"/>
        <v>11846000</v>
      </c>
      <c r="AU55" s="921">
        <f t="shared" si="86"/>
        <v>0</v>
      </c>
      <c r="AV55" s="554">
        <f t="shared" si="86"/>
        <v>426000</v>
      </c>
      <c r="AW55" s="921">
        <f t="shared" si="86"/>
        <v>426000</v>
      </c>
      <c r="AX55" s="921">
        <f t="shared" si="86"/>
        <v>0</v>
      </c>
      <c r="AY55" s="554">
        <f t="shared" si="86"/>
        <v>730000</v>
      </c>
      <c r="AZ55" s="921">
        <f t="shared" si="86"/>
        <v>730000</v>
      </c>
      <c r="BA55" s="921">
        <f t="shared" si="86"/>
        <v>0</v>
      </c>
      <c r="BB55" s="554">
        <f t="shared" si="86"/>
        <v>80000</v>
      </c>
      <c r="BC55" s="921">
        <f t="shared" si="86"/>
        <v>60000</v>
      </c>
      <c r="BD55" s="921">
        <f t="shared" si="86"/>
        <v>20000</v>
      </c>
      <c r="BE55" s="554">
        <f t="shared" si="86"/>
        <v>3461000</v>
      </c>
      <c r="BF55" s="921">
        <f t="shared" si="86"/>
        <v>3441000</v>
      </c>
      <c r="BG55" s="921">
        <f t="shared" si="86"/>
        <v>20000</v>
      </c>
      <c r="BH55" s="554">
        <f t="shared" si="86"/>
        <v>0</v>
      </c>
      <c r="BI55" s="921">
        <f t="shared" si="86"/>
        <v>0</v>
      </c>
      <c r="BJ55" s="921">
        <f t="shared" si="86"/>
        <v>0</v>
      </c>
      <c r="BK55" s="554">
        <f t="shared" si="86"/>
        <v>265000</v>
      </c>
      <c r="BL55" s="554">
        <f t="shared" si="86"/>
        <v>200000</v>
      </c>
      <c r="BM55" s="921">
        <f t="shared" si="86"/>
        <v>180000</v>
      </c>
      <c r="BN55" s="921">
        <f t="shared" si="86"/>
        <v>20000</v>
      </c>
      <c r="BO55" s="554">
        <f t="shared" si="86"/>
        <v>350000</v>
      </c>
      <c r="BP55" s="554">
        <f t="shared" si="86"/>
        <v>1754100</v>
      </c>
      <c r="BQ55" s="921">
        <f t="shared" si="86"/>
        <v>1504100</v>
      </c>
      <c r="BR55" s="921">
        <f t="shared" si="86"/>
        <v>250000</v>
      </c>
      <c r="BS55" s="554">
        <f t="shared" si="86"/>
        <v>5446509</v>
      </c>
      <c r="BT55" s="921">
        <f t="shared" si="86"/>
        <v>5346509</v>
      </c>
      <c r="BU55" s="921">
        <f t="shared" si="86"/>
        <v>100000</v>
      </c>
      <c r="BV55" s="554">
        <f t="shared" si="86"/>
        <v>2030000</v>
      </c>
      <c r="BW55" s="554">
        <f t="shared" si="86"/>
        <v>1105000</v>
      </c>
      <c r="BX55" s="921">
        <f t="shared" ref="BX55:BZ55" si="87">+BX52+BX53+BX16+BX54</f>
        <v>1105000</v>
      </c>
      <c r="BY55" s="921">
        <f t="shared" si="87"/>
        <v>0</v>
      </c>
      <c r="BZ55" s="554">
        <f t="shared" si="87"/>
        <v>1000000</v>
      </c>
      <c r="CA55" s="921"/>
      <c r="CB55" s="921"/>
      <c r="CC55" s="554">
        <f>+CC52+CC53+CC16+CC54</f>
        <v>805000</v>
      </c>
      <c r="CD55" s="921"/>
      <c r="CE55" s="921"/>
      <c r="CF55" s="554">
        <f>+CF52+CF53+CF16+CF54</f>
        <v>1000000</v>
      </c>
      <c r="CG55" s="921"/>
      <c r="CH55" s="921"/>
      <c r="CI55" s="554">
        <f t="shared" ref="CI55:DM55" si="88">+CI52+CI53+CI16+CI54</f>
        <v>150000</v>
      </c>
      <c r="CJ55" s="921">
        <f t="shared" si="88"/>
        <v>150000</v>
      </c>
      <c r="CK55" s="921">
        <f t="shared" si="88"/>
        <v>0</v>
      </c>
      <c r="CL55" s="554">
        <f t="shared" si="88"/>
        <v>100000</v>
      </c>
      <c r="CM55" s="554">
        <f t="shared" si="88"/>
        <v>4950000</v>
      </c>
      <c r="CN55" s="921">
        <f t="shared" si="88"/>
        <v>0</v>
      </c>
      <c r="CO55" s="921">
        <f t="shared" si="88"/>
        <v>4950000</v>
      </c>
      <c r="CP55" s="554">
        <f t="shared" si="88"/>
        <v>754500</v>
      </c>
      <c r="CQ55" s="921">
        <f t="shared" si="88"/>
        <v>4500</v>
      </c>
      <c r="CR55" s="921">
        <f t="shared" si="88"/>
        <v>750000</v>
      </c>
      <c r="CS55" s="554">
        <f t="shared" si="88"/>
        <v>70000</v>
      </c>
      <c r="CT55" s="921">
        <f t="shared" si="88"/>
        <v>0</v>
      </c>
      <c r="CU55" s="921">
        <f t="shared" si="88"/>
        <v>70000</v>
      </c>
      <c r="CV55" s="554">
        <f t="shared" si="88"/>
        <v>66500</v>
      </c>
      <c r="CW55" s="554">
        <f t="shared" si="88"/>
        <v>3015532</v>
      </c>
      <c r="CX55" s="921">
        <f t="shared" si="88"/>
        <v>3015532</v>
      </c>
      <c r="CY55" s="921">
        <f t="shared" si="88"/>
        <v>0</v>
      </c>
      <c r="CZ55" s="921">
        <f t="shared" si="88"/>
        <v>0</v>
      </c>
      <c r="DA55" s="554">
        <f t="shared" si="88"/>
        <v>356001</v>
      </c>
      <c r="DB55" s="554">
        <f t="shared" si="88"/>
        <v>0</v>
      </c>
      <c r="DC55" s="554">
        <f t="shared" si="88"/>
        <v>0</v>
      </c>
      <c r="DD55" s="554">
        <f t="shared" si="88"/>
        <v>0</v>
      </c>
      <c r="DE55" s="554">
        <f t="shared" si="88"/>
        <v>5000</v>
      </c>
      <c r="DF55" s="554">
        <f t="shared" si="88"/>
        <v>0</v>
      </c>
      <c r="DG55" s="554">
        <f t="shared" si="88"/>
        <v>0</v>
      </c>
      <c r="DH55" s="554">
        <f t="shared" si="88"/>
        <v>1129980</v>
      </c>
      <c r="DI55" s="921">
        <f t="shared" ref="DI55:DJ55" si="89">+DI52+DI53+DI16+DI54</f>
        <v>1129980</v>
      </c>
      <c r="DJ55" s="921">
        <f t="shared" si="89"/>
        <v>0</v>
      </c>
      <c r="DK55" s="554">
        <f t="shared" si="88"/>
        <v>0</v>
      </c>
      <c r="DL55" s="554">
        <f t="shared" si="88"/>
        <v>0</v>
      </c>
      <c r="DM55" s="924">
        <f t="shared" si="88"/>
        <v>0</v>
      </c>
      <c r="DN55" s="527"/>
      <c r="DO55" s="912"/>
      <c r="DP55" s="913"/>
      <c r="DQ55" s="925">
        <f>+DQ52+DQ53+DQ16</f>
        <v>6600000</v>
      </c>
      <c r="DS55" s="762"/>
    </row>
    <row r="56" spans="1:123" ht="15.75" outlineLevel="1" x14ac:dyDescent="0.25">
      <c r="A56" s="559"/>
      <c r="B56" s="542"/>
      <c r="C56" s="962"/>
      <c r="D56" s="962"/>
      <c r="E56" s="962"/>
      <c r="F56" s="962"/>
      <c r="G56" s="962"/>
      <c r="H56" s="962"/>
      <c r="I56" s="963"/>
      <c r="J56" s="957"/>
      <c r="K56" s="957"/>
      <c r="L56" s="957"/>
      <c r="M56" s="957"/>
      <c r="N56" s="957"/>
      <c r="O56" s="957"/>
      <c r="P56" s="958"/>
      <c r="Q56" s="959"/>
      <c r="R56" s="957"/>
      <c r="S56" s="960">
        <f t="shared" ref="S56:S64" si="90">+Q56+AO56+BU56+BR56+BN56+CZ56+AC56+AI56+AR56+AU56+AX56+BA56+BD56+BG56+BJ56+BY56+CK56+CO56+CR56+CU56+AF56+DJ56</f>
        <v>0</v>
      </c>
      <c r="T56" s="957"/>
      <c r="U56" s="957"/>
      <c r="V56" s="957"/>
      <c r="W56" s="957"/>
      <c r="X56" s="957"/>
      <c r="Y56" s="957"/>
      <c r="Z56" s="957"/>
      <c r="AA56" s="957"/>
      <c r="AB56" s="958"/>
      <c r="AC56" s="958"/>
      <c r="AD56" s="957"/>
      <c r="AE56" s="958"/>
      <c r="AF56" s="958"/>
      <c r="AG56" s="957"/>
      <c r="AH56" s="958"/>
      <c r="AI56" s="958"/>
      <c r="AJ56" s="957"/>
      <c r="AK56" s="957"/>
      <c r="AL56" s="957"/>
      <c r="AM56" s="957"/>
      <c r="AN56" s="958"/>
      <c r="AO56" s="958"/>
      <c r="AP56" s="957"/>
      <c r="AQ56" s="958"/>
      <c r="AR56" s="958"/>
      <c r="AS56" s="957"/>
      <c r="AT56" s="958"/>
      <c r="AU56" s="958"/>
      <c r="AV56" s="957"/>
      <c r="AW56" s="958"/>
      <c r="AX56" s="958"/>
      <c r="AY56" s="957"/>
      <c r="AZ56" s="958"/>
      <c r="BA56" s="958"/>
      <c r="BB56" s="957"/>
      <c r="BC56" s="958"/>
      <c r="BD56" s="958"/>
      <c r="BE56" s="957"/>
      <c r="BF56" s="958"/>
      <c r="BG56" s="958"/>
      <c r="BH56" s="957"/>
      <c r="BI56" s="958"/>
      <c r="BJ56" s="958"/>
      <c r="BK56" s="957"/>
      <c r="BL56" s="957"/>
      <c r="BM56" s="958"/>
      <c r="BN56" s="958"/>
      <c r="BO56" s="957"/>
      <c r="BP56" s="957"/>
      <c r="BQ56" s="958"/>
      <c r="BR56" s="958"/>
      <c r="BS56" s="957"/>
      <c r="BT56" s="958"/>
      <c r="BU56" s="958"/>
      <c r="BV56" s="957"/>
      <c r="BW56" s="957"/>
      <c r="BX56" s="958"/>
      <c r="BY56" s="958"/>
      <c r="BZ56" s="957"/>
      <c r="CA56" s="958"/>
      <c r="CB56" s="958"/>
      <c r="CC56" s="957"/>
      <c r="CD56" s="958"/>
      <c r="CE56" s="958"/>
      <c r="CF56" s="957"/>
      <c r="CG56" s="958"/>
      <c r="CH56" s="958"/>
      <c r="CI56" s="957"/>
      <c r="CJ56" s="958"/>
      <c r="CK56" s="958"/>
      <c r="CL56" s="957"/>
      <c r="CM56" s="957"/>
      <c r="CN56" s="958"/>
      <c r="CO56" s="958"/>
      <c r="CP56" s="957"/>
      <c r="CQ56" s="958"/>
      <c r="CR56" s="958"/>
      <c r="CS56" s="957"/>
      <c r="CT56" s="958"/>
      <c r="CU56" s="958"/>
      <c r="CV56" s="957"/>
      <c r="CW56" s="957"/>
      <c r="CX56" s="958"/>
      <c r="CY56" s="958"/>
      <c r="CZ56" s="958"/>
      <c r="DA56" s="957"/>
      <c r="DB56" s="957"/>
      <c r="DC56" s="957"/>
      <c r="DD56" s="957"/>
      <c r="DE56" s="957"/>
      <c r="DF56" s="957"/>
      <c r="DG56" s="957"/>
      <c r="DH56" s="957"/>
      <c r="DI56" s="958"/>
      <c r="DJ56" s="958"/>
      <c r="DK56" s="957"/>
      <c r="DL56" s="957"/>
      <c r="DM56" s="961"/>
      <c r="DN56" s="527">
        <f t="shared" si="36"/>
        <v>0</v>
      </c>
      <c r="DO56" s="912"/>
      <c r="DP56" s="913"/>
      <c r="DQ56" s="949"/>
      <c r="DS56" s="762"/>
    </row>
    <row r="57" spans="1:123" ht="15.75" outlineLevel="1" x14ac:dyDescent="0.25">
      <c r="A57" s="964">
        <v>6111</v>
      </c>
      <c r="B57" s="948" t="s">
        <v>119</v>
      </c>
      <c r="C57" s="915">
        <v>0</v>
      </c>
      <c r="D57" s="915">
        <v>0</v>
      </c>
      <c r="E57" s="915">
        <v>0</v>
      </c>
      <c r="F57" s="915">
        <v>0</v>
      </c>
      <c r="G57" s="915">
        <v>0</v>
      </c>
      <c r="H57" s="915">
        <f t="shared" ref="H57:H67" si="91">SUM(I57:O57)+SUM(T57:AA57)+AD57+AG57+SUM(AJ57:AM57)+AP57+AS57+AV57+AY57+BB57+BE57+BH57+BK57+BL57+BO57+BP57+BS57+SUM(BV57:BW57)+CF57+CI57+CL57+CM57+CP57+CS57+CV57+CW57+SUM(DA57:DH57)+BZ57+CC57+SUM(DK57:DM57)</f>
        <v>0</v>
      </c>
      <c r="I57" s="571"/>
      <c r="J57" s="492"/>
      <c r="K57" s="492"/>
      <c r="L57" s="492"/>
      <c r="M57" s="492"/>
      <c r="N57" s="492"/>
      <c r="O57" s="492">
        <f t="shared" ref="O57:O68" si="92">+P57+Q57</f>
        <v>0</v>
      </c>
      <c r="P57" s="916"/>
      <c r="Q57" s="917"/>
      <c r="R57" s="492"/>
      <c r="S57" s="927">
        <f t="shared" si="90"/>
        <v>0</v>
      </c>
      <c r="T57" s="492"/>
      <c r="U57" s="492"/>
      <c r="V57" s="492">
        <v>0</v>
      </c>
      <c r="W57" s="492"/>
      <c r="X57" s="492"/>
      <c r="Y57" s="492"/>
      <c r="Z57" s="492"/>
      <c r="AA57" s="492">
        <f t="shared" ref="AA57:AA68" si="93">+AB57+AC57</f>
        <v>0</v>
      </c>
      <c r="AB57" s="916"/>
      <c r="AC57" s="916"/>
      <c r="AD57" s="492">
        <f t="shared" ref="AD57:AD68" si="94">+AE57+AF57</f>
        <v>0</v>
      </c>
      <c r="AE57" s="916"/>
      <c r="AF57" s="916"/>
      <c r="AG57" s="492">
        <f t="shared" ref="AG57:AG68" si="95">+AH57+AI57</f>
        <v>0</v>
      </c>
      <c r="AH57" s="916"/>
      <c r="AI57" s="916"/>
      <c r="AJ57" s="492"/>
      <c r="AK57" s="492"/>
      <c r="AL57" s="492"/>
      <c r="AM57" s="492">
        <f t="shared" ref="AM57:AM68" si="96">+AN57+AO57</f>
        <v>0</v>
      </c>
      <c r="AN57" s="916"/>
      <c r="AO57" s="916"/>
      <c r="AP57" s="492">
        <f t="shared" ref="AP57:AP68" si="97">+AQ57+AR57</f>
        <v>0</v>
      </c>
      <c r="AQ57" s="916"/>
      <c r="AR57" s="916"/>
      <c r="AS57" s="492">
        <f t="shared" ref="AS57:AS68" si="98">+AT57+AU57</f>
        <v>0</v>
      </c>
      <c r="AT57" s="916">
        <f>[5]ZŠ!$B$30</f>
        <v>0</v>
      </c>
      <c r="AU57" s="916"/>
      <c r="AV57" s="492">
        <f t="shared" ref="AV57:AV68" si="99">+AW57+AX57</f>
        <v>0</v>
      </c>
      <c r="AW57" s="916"/>
      <c r="AX57" s="916"/>
      <c r="AY57" s="492">
        <f t="shared" ref="AY57:AY68" si="100">+AZ57+BA57</f>
        <v>0</v>
      </c>
      <c r="AZ57" s="916"/>
      <c r="BA57" s="916"/>
      <c r="BB57" s="492">
        <f t="shared" ref="BB57:BB68" si="101">+BC57+BD57</f>
        <v>0</v>
      </c>
      <c r="BC57" s="916"/>
      <c r="BD57" s="916"/>
      <c r="BE57" s="492">
        <f t="shared" ref="BE57:BE68" si="102">+BF57+BG57</f>
        <v>0</v>
      </c>
      <c r="BF57" s="916"/>
      <c r="BG57" s="916"/>
      <c r="BH57" s="492">
        <f t="shared" ref="BH57:BH68" si="103">+BI57+BJ57</f>
        <v>0</v>
      </c>
      <c r="BI57" s="916"/>
      <c r="BJ57" s="916"/>
      <c r="BK57" s="492"/>
      <c r="BL57" s="492">
        <f t="shared" ref="BL57:BL68" si="104">+BM57+BN57</f>
        <v>0</v>
      </c>
      <c r="BM57" s="916"/>
      <c r="BN57" s="916"/>
      <c r="BO57" s="492"/>
      <c r="BP57" s="492">
        <f t="shared" ref="BP57:BP68" si="105">+BQ57+BR57</f>
        <v>0</v>
      </c>
      <c r="BQ57" s="916"/>
      <c r="BR57" s="916"/>
      <c r="BS57" s="492">
        <f t="shared" ref="BS57:BS68" si="106">+BT57+BU57</f>
        <v>0</v>
      </c>
      <c r="BT57" s="916"/>
      <c r="BU57" s="916"/>
      <c r="BV57" s="492"/>
      <c r="BW57" s="492">
        <f t="shared" ref="BW57:BW68" si="107">+BX57+BY57</f>
        <v>0</v>
      </c>
      <c r="BX57" s="916"/>
      <c r="BY57" s="916"/>
      <c r="BZ57" s="492"/>
      <c r="CA57" s="916"/>
      <c r="CB57" s="916"/>
      <c r="CC57" s="492"/>
      <c r="CD57" s="916"/>
      <c r="CE57" s="916"/>
      <c r="CF57" s="492"/>
      <c r="CG57" s="916"/>
      <c r="CH57" s="916"/>
      <c r="CI57" s="492">
        <f t="shared" ref="CI57:CI68" si="108">+CJ57+CK57</f>
        <v>0</v>
      </c>
      <c r="CJ57" s="916"/>
      <c r="CK57" s="916"/>
      <c r="CL57" s="492"/>
      <c r="CM57" s="492">
        <f t="shared" ref="CM57:CM68" si="109">+CN57+CO57</f>
        <v>0</v>
      </c>
      <c r="CN57" s="916"/>
      <c r="CO57" s="916"/>
      <c r="CP57" s="492">
        <f t="shared" ref="CP57:CP68" si="110">+CQ57+CR57</f>
        <v>0</v>
      </c>
      <c r="CQ57" s="916"/>
      <c r="CR57" s="916"/>
      <c r="CS57" s="492">
        <f t="shared" ref="CS57:CS68" si="111">+CT57+CU57</f>
        <v>0</v>
      </c>
      <c r="CT57" s="916"/>
      <c r="CU57" s="916"/>
      <c r="CV57" s="492"/>
      <c r="CW57" s="492">
        <f t="shared" ref="CW57:CW68" si="112">+CX57+CY57+CZ57</f>
        <v>0</v>
      </c>
      <c r="CX57" s="916"/>
      <c r="CY57" s="916"/>
      <c r="CZ57" s="916"/>
      <c r="DA57" s="492"/>
      <c r="DB57" s="492"/>
      <c r="DC57" s="492"/>
      <c r="DD57" s="492"/>
      <c r="DE57" s="492"/>
      <c r="DF57" s="492"/>
      <c r="DG57" s="492"/>
      <c r="DH57" s="492"/>
      <c r="DI57" s="916"/>
      <c r="DJ57" s="916"/>
      <c r="DK57" s="492"/>
      <c r="DL57" s="492"/>
      <c r="DM57" s="919"/>
      <c r="DN57" s="527">
        <f t="shared" si="36"/>
        <v>0</v>
      </c>
      <c r="DO57" s="912">
        <f t="shared" si="56"/>
        <v>0</v>
      </c>
      <c r="DP57" s="913"/>
      <c r="DQ57" s="915">
        <f t="shared" ref="DQ57:DQ68" si="113">+Q57+AC57+AF57++AI57+AO57+AR57+AU57+AX57+BA57+BD57+BG57+BJ57+BN57+BR57+BU57+BY57+CK57+CO57+CR57+CU57+CZ57</f>
        <v>0</v>
      </c>
      <c r="DS57" s="762"/>
    </row>
    <row r="58" spans="1:123" ht="15.75" outlineLevel="1" x14ac:dyDescent="0.25">
      <c r="A58" s="559">
        <v>6121</v>
      </c>
      <c r="B58" s="542" t="s">
        <v>135</v>
      </c>
      <c r="C58" s="915">
        <v>91630616.960000008</v>
      </c>
      <c r="D58" s="915">
        <v>74979713</v>
      </c>
      <c r="E58" s="915">
        <v>15825000</v>
      </c>
      <c r="F58" s="915">
        <v>17209700</v>
      </c>
      <c r="G58" s="915">
        <v>33275773</v>
      </c>
      <c r="H58" s="915">
        <f t="shared" si="91"/>
        <v>11331108.68</v>
      </c>
      <c r="I58" s="571"/>
      <c r="J58" s="492"/>
      <c r="K58" s="492"/>
      <c r="L58" s="492"/>
      <c r="M58" s="492"/>
      <c r="N58" s="492"/>
      <c r="O58" s="492">
        <f t="shared" si="92"/>
        <v>0</v>
      </c>
      <c r="P58" s="916"/>
      <c r="Q58" s="917"/>
      <c r="R58" s="492"/>
      <c r="S58" s="928">
        <f t="shared" si="90"/>
        <v>0</v>
      </c>
      <c r="T58" s="492"/>
      <c r="U58" s="492"/>
      <c r="V58" s="492"/>
      <c r="W58" s="492"/>
      <c r="X58" s="492">
        <v>0</v>
      </c>
      <c r="Y58" s="492"/>
      <c r="Z58" s="492"/>
      <c r="AA58" s="492">
        <f t="shared" ref="AA58:AA60" si="114">+AB58+AC58</f>
        <v>0</v>
      </c>
      <c r="AB58" s="916">
        <f>[5]Byty!$B$4</f>
        <v>0</v>
      </c>
      <c r="AC58" s="916"/>
      <c r="AD58" s="497">
        <f t="shared" si="94"/>
        <v>6050000</v>
      </c>
      <c r="AE58" s="514">
        <f>[4]DPS!$B$49</f>
        <v>6050000</v>
      </c>
      <c r="AF58" s="514"/>
      <c r="AG58" s="497">
        <f t="shared" si="95"/>
        <v>60000</v>
      </c>
      <c r="AH58" s="514">
        <f>[5]Nebyty!$B$4</f>
        <v>60000</v>
      </c>
      <c r="AI58" s="514"/>
      <c r="AJ58" s="492">
        <f>[4]Hasiči!$B$39</f>
        <v>700000</v>
      </c>
      <c r="AK58" s="492"/>
      <c r="AL58" s="492"/>
      <c r="AM58" s="492">
        <f t="shared" si="96"/>
        <v>0</v>
      </c>
      <c r="AN58" s="916">
        <f>[4]Hřbitov!$B$34</f>
        <v>0</v>
      </c>
      <c r="AO58" s="916"/>
      <c r="AP58" s="866">
        <f t="shared" si="97"/>
        <v>0</v>
      </c>
      <c r="AQ58" s="916">
        <f>+[5]Koupaliště!$B$4</f>
        <v>0</v>
      </c>
      <c r="AR58" s="916"/>
      <c r="AS58" s="492">
        <f t="shared" si="98"/>
        <v>60000</v>
      </c>
      <c r="AT58" s="916">
        <f>[5]ZŠ!$B$4</f>
        <v>60000</v>
      </c>
      <c r="AU58" s="916"/>
      <c r="AV58" s="492">
        <f t="shared" si="99"/>
        <v>30000</v>
      </c>
      <c r="AW58" s="916">
        <f>'[5]Č.p. 65'!$B$4</f>
        <v>30000</v>
      </c>
      <c r="AX58" s="916"/>
      <c r="AY58" s="492">
        <f t="shared" si="100"/>
        <v>0</v>
      </c>
      <c r="AZ58" s="916"/>
      <c r="BA58" s="916"/>
      <c r="BB58" s="492">
        <f t="shared" si="101"/>
        <v>0</v>
      </c>
      <c r="BC58" s="916">
        <f>'[5]MŠ Pražská'!$B$4</f>
        <v>0</v>
      </c>
      <c r="BD58" s="916"/>
      <c r="BE58" s="492">
        <f t="shared" si="102"/>
        <v>0</v>
      </c>
      <c r="BF58" s="916"/>
      <c r="BG58" s="916"/>
      <c r="BH58" s="492">
        <f t="shared" si="103"/>
        <v>0</v>
      </c>
      <c r="BI58" s="916">
        <f>'[5]Jídelna ZŠ'!$B$3</f>
        <v>0</v>
      </c>
      <c r="BJ58" s="916"/>
      <c r="BK58" s="492"/>
      <c r="BL58" s="866">
        <f t="shared" si="104"/>
        <v>30000</v>
      </c>
      <c r="BM58" s="916">
        <f>'[5]MŠ Cukrovar'!$B$4</f>
        <v>30000</v>
      </c>
      <c r="BN58" s="916"/>
      <c r="BO58" s="492"/>
      <c r="BP58" s="492">
        <f t="shared" si="105"/>
        <v>660000</v>
      </c>
      <c r="BQ58" s="929">
        <f>[4]VO!$D$38</f>
        <v>660000</v>
      </c>
      <c r="BR58" s="916">
        <f>[4]VO!$E$38</f>
        <v>0</v>
      </c>
      <c r="BS58" s="866">
        <f t="shared" si="106"/>
        <v>780000</v>
      </c>
      <c r="BT58" s="916">
        <f>'[5]Silnice stavba'!$B$4</f>
        <v>780000</v>
      </c>
      <c r="BU58" s="916"/>
      <c r="BV58" s="492"/>
      <c r="BW58" s="492">
        <f t="shared" si="107"/>
        <v>0</v>
      </c>
      <c r="BX58" s="916">
        <f>[5]Vodovod!$B$4</f>
        <v>0</v>
      </c>
      <c r="BY58" s="916"/>
      <c r="BZ58" s="492"/>
      <c r="CA58" s="916"/>
      <c r="CB58" s="916"/>
      <c r="CC58" s="492">
        <f>+CD58+CE58</f>
        <v>50000</v>
      </c>
      <c r="CD58" s="916">
        <f>[5]Kanalizace!$B$4</f>
        <v>50000</v>
      </c>
      <c r="CE58" s="916"/>
      <c r="CF58" s="492"/>
      <c r="CG58" s="916"/>
      <c r="CH58" s="916"/>
      <c r="CI58" s="492">
        <f t="shared" si="108"/>
        <v>0</v>
      </c>
      <c r="CJ58" s="916">
        <f>'[5]Inženýrské sítě'!$B$4</f>
        <v>0</v>
      </c>
      <c r="CK58" s="916"/>
      <c r="CL58" s="492"/>
      <c r="CM58" s="492">
        <f t="shared" si="109"/>
        <v>0</v>
      </c>
      <c r="CN58" s="916"/>
      <c r="CO58" s="916"/>
      <c r="CP58" s="492">
        <f t="shared" si="110"/>
        <v>0</v>
      </c>
      <c r="CQ58" s="916"/>
      <c r="CR58" s="916"/>
      <c r="CS58" s="492">
        <f t="shared" si="111"/>
        <v>0</v>
      </c>
      <c r="CT58" s="916"/>
      <c r="CU58" s="916"/>
      <c r="CV58" s="492">
        <f>'[6]Povodeň 3744'!$B$29</f>
        <v>2851108.68</v>
      </c>
      <c r="CW58" s="492">
        <f t="shared" si="112"/>
        <v>0</v>
      </c>
      <c r="CX58" s="916"/>
      <c r="CY58" s="916"/>
      <c r="CZ58" s="916"/>
      <c r="DA58" s="492"/>
      <c r="DB58" s="492"/>
      <c r="DC58" s="492"/>
      <c r="DD58" s="492"/>
      <c r="DE58" s="492">
        <f>'[6]Park Úvaly 3749-1'!$B$29</f>
        <v>0</v>
      </c>
      <c r="DF58" s="492"/>
      <c r="DG58" s="492"/>
      <c r="DH58" s="916"/>
      <c r="DI58" s="916">
        <f>'[5]Sběrný dvůr'!$B$4</f>
        <v>0</v>
      </c>
      <c r="DJ58" s="916"/>
      <c r="DK58" s="492">
        <f>[5]Pošembeří!$B$4</f>
        <v>60000</v>
      </c>
      <c r="DL58" s="492">
        <f>[5]Cyklostezky!$B$4</f>
        <v>0</v>
      </c>
      <c r="DM58" s="919"/>
      <c r="DN58" s="527">
        <f t="shared" si="36"/>
        <v>11331108.68</v>
      </c>
      <c r="DO58" s="912">
        <f>DN58-H58</f>
        <v>0</v>
      </c>
      <c r="DP58" s="913"/>
      <c r="DQ58" s="915">
        <f>+Q58+AC58+AF58++AI58+AO58+AR58+AU58+AX58+BA58+BD58+BG58+BJ58+BN58+BR58+BU58+BY58+CK58+CO58+CR58+CU58+CZ58</f>
        <v>0</v>
      </c>
      <c r="DS58" s="762"/>
    </row>
    <row r="59" spans="1:123" ht="15.75" outlineLevel="1" x14ac:dyDescent="0.25">
      <c r="A59" s="559">
        <v>6121</v>
      </c>
      <c r="B59" s="542" t="s">
        <v>136</v>
      </c>
      <c r="C59" s="915">
        <v>7427535</v>
      </c>
      <c r="D59" s="915">
        <v>3658396</v>
      </c>
      <c r="E59" s="915">
        <v>2919396</v>
      </c>
      <c r="F59" s="915">
        <v>2919396</v>
      </c>
      <c r="G59" s="915">
        <v>2711396</v>
      </c>
      <c r="H59" s="915">
        <f t="shared" si="91"/>
        <v>1606000</v>
      </c>
      <c r="I59" s="571"/>
      <c r="J59" s="492"/>
      <c r="K59" s="492"/>
      <c r="L59" s="492">
        <f>+'[2]Všebecná pokladna'!$B$71</f>
        <v>0</v>
      </c>
      <c r="M59" s="492"/>
      <c r="N59" s="492"/>
      <c r="O59" s="492">
        <f t="shared" si="92"/>
        <v>0</v>
      </c>
      <c r="P59" s="916"/>
      <c r="Q59" s="917"/>
      <c r="R59" s="492"/>
      <c r="S59" s="927">
        <f t="shared" si="90"/>
        <v>0</v>
      </c>
      <c r="T59" s="492"/>
      <c r="U59" s="492"/>
      <c r="V59" s="492"/>
      <c r="W59" s="492"/>
      <c r="X59" s="492">
        <v>0</v>
      </c>
      <c r="Y59" s="492"/>
      <c r="Z59" s="492"/>
      <c r="AA59" s="492">
        <f t="shared" si="114"/>
        <v>0</v>
      </c>
      <c r="AB59" s="916">
        <f>[5]Byty!$B$5</f>
        <v>0</v>
      </c>
      <c r="AC59" s="916"/>
      <c r="AD59" s="497">
        <f t="shared" si="94"/>
        <v>0</v>
      </c>
      <c r="AE59" s="514"/>
      <c r="AF59" s="514"/>
      <c r="AG59" s="497">
        <f t="shared" si="95"/>
        <v>0</v>
      </c>
      <c r="AH59" s="916">
        <f>[5]Nebyty!$B$5</f>
        <v>0</v>
      </c>
      <c r="AI59" s="514"/>
      <c r="AJ59" s="492"/>
      <c r="AK59" s="492"/>
      <c r="AL59" s="492"/>
      <c r="AM59" s="492">
        <f t="shared" si="96"/>
        <v>0</v>
      </c>
      <c r="AN59" s="916">
        <f>[4]Hřbitov!$B$33</f>
        <v>0</v>
      </c>
      <c r="AO59" s="916"/>
      <c r="AP59" s="492">
        <f t="shared" si="97"/>
        <v>100000</v>
      </c>
      <c r="AQ59" s="916">
        <f>+[5]Koupaliště!$B$5</f>
        <v>100000</v>
      </c>
      <c r="AR59" s="916"/>
      <c r="AS59" s="492">
        <f t="shared" si="98"/>
        <v>0</v>
      </c>
      <c r="AT59" s="916">
        <f>[5]ZŠ!$B$5</f>
        <v>0</v>
      </c>
      <c r="AU59" s="916"/>
      <c r="AV59" s="492">
        <f t="shared" si="99"/>
        <v>0</v>
      </c>
      <c r="AW59" s="916">
        <f>'[5]Č.p. 65'!$B$5</f>
        <v>0</v>
      </c>
      <c r="AX59" s="916"/>
      <c r="AY59" s="492">
        <f t="shared" si="100"/>
        <v>0</v>
      </c>
      <c r="AZ59" s="916"/>
      <c r="BA59" s="916"/>
      <c r="BB59" s="492">
        <f t="shared" si="101"/>
        <v>0</v>
      </c>
      <c r="BC59" s="916">
        <f>'[5]MŠ Pražská'!$B$5</f>
        <v>0</v>
      </c>
      <c r="BD59" s="916"/>
      <c r="BE59" s="492">
        <f t="shared" si="102"/>
        <v>0</v>
      </c>
      <c r="BF59" s="916"/>
      <c r="BG59" s="916"/>
      <c r="BH59" s="492">
        <f t="shared" si="103"/>
        <v>0</v>
      </c>
      <c r="BI59" s="916">
        <f>'[5]Jídelna ZŠ'!$B$4</f>
        <v>0</v>
      </c>
      <c r="BJ59" s="916"/>
      <c r="BK59" s="492"/>
      <c r="BL59" s="492">
        <f t="shared" si="104"/>
        <v>0</v>
      </c>
      <c r="BM59" s="916">
        <f>'[5]MŠ Cukrovar'!$B$5</f>
        <v>0</v>
      </c>
      <c r="BN59" s="916"/>
      <c r="BO59" s="492">
        <f>'[6]Územní plán 3635'!$B$29</f>
        <v>250000</v>
      </c>
      <c r="BP59" s="492">
        <f t="shared" si="105"/>
        <v>0</v>
      </c>
      <c r="BQ59" s="916"/>
      <c r="BR59" s="916"/>
      <c r="BS59" s="492">
        <f t="shared" si="106"/>
        <v>300000</v>
      </c>
      <c r="BT59" s="916">
        <f>'[5]Silnice stavba'!$B$5</f>
        <v>300000</v>
      </c>
      <c r="BU59" s="916"/>
      <c r="BV59" s="492"/>
      <c r="BW59" s="492">
        <f t="shared" si="107"/>
        <v>0</v>
      </c>
      <c r="BX59" s="916">
        <f>[5]Vodovod!$B$5</f>
        <v>0</v>
      </c>
      <c r="BY59" s="916"/>
      <c r="BZ59" s="492"/>
      <c r="CA59" s="916"/>
      <c r="CB59" s="916"/>
      <c r="CC59" s="492">
        <f t="shared" ref="CC59" si="115">+CD59+CE59</f>
        <v>800000</v>
      </c>
      <c r="CD59" s="916">
        <f>[5]Kanalizace!$B$5</f>
        <v>800000</v>
      </c>
      <c r="CE59" s="916"/>
      <c r="CF59" s="492"/>
      <c r="CG59" s="916"/>
      <c r="CH59" s="916"/>
      <c r="CI59" s="492">
        <f t="shared" si="108"/>
        <v>0</v>
      </c>
      <c r="CJ59" s="916">
        <f>'[5]Inženýrské sítě'!$B$5</f>
        <v>0</v>
      </c>
      <c r="CK59" s="916"/>
      <c r="CL59" s="492"/>
      <c r="CM59" s="492">
        <f t="shared" si="109"/>
        <v>0</v>
      </c>
      <c r="CN59" s="916"/>
      <c r="CO59" s="916"/>
      <c r="CP59" s="492">
        <f t="shared" si="110"/>
        <v>0</v>
      </c>
      <c r="CQ59" s="916"/>
      <c r="CR59" s="916"/>
      <c r="CS59" s="492">
        <f t="shared" si="111"/>
        <v>0</v>
      </c>
      <c r="CT59" s="916"/>
      <c r="CU59" s="916"/>
      <c r="CV59" s="492"/>
      <c r="CW59" s="492">
        <f t="shared" si="112"/>
        <v>130000</v>
      </c>
      <c r="CX59" s="916">
        <f>'[6]Příroda 3749'!$B$23</f>
        <v>130000</v>
      </c>
      <c r="CY59" s="916"/>
      <c r="CZ59" s="916"/>
      <c r="DA59" s="492">
        <f>'[6]Rybníky 3749-2'!$B$21</f>
        <v>26000</v>
      </c>
      <c r="DB59" s="492"/>
      <c r="DC59" s="492"/>
      <c r="DD59" s="492">
        <f>'[6]Pohádková cesta 3749-6'!$B$23</f>
        <v>0</v>
      </c>
      <c r="DE59" s="492">
        <f>'[6]Park Úvaly 3749-1'!$B$30</f>
        <v>0</v>
      </c>
      <c r="DF59" s="492">
        <f>'[6]Park Úvaly 3749-8 dosádba'!$B$29</f>
        <v>0</v>
      </c>
      <c r="DG59" s="492"/>
      <c r="DH59" s="492"/>
      <c r="DI59" s="916">
        <f>'[5]Sběrný dvůr'!$B$5</f>
        <v>0</v>
      </c>
      <c r="DJ59" s="916"/>
      <c r="DK59" s="492">
        <f>[5]Pošembeří!$B$5</f>
        <v>0</v>
      </c>
      <c r="DL59" s="492">
        <f>[5]Cyklostezky!$B$5</f>
        <v>0</v>
      </c>
      <c r="DM59" s="919"/>
      <c r="DN59" s="527">
        <f t="shared" si="36"/>
        <v>1606000</v>
      </c>
      <c r="DO59" s="912">
        <f t="shared" si="56"/>
        <v>0</v>
      </c>
      <c r="DP59" s="913"/>
      <c r="DQ59" s="915">
        <f t="shared" si="113"/>
        <v>0</v>
      </c>
      <c r="DS59" s="762"/>
    </row>
    <row r="60" spans="1:123" ht="15.75" outlineLevel="1" x14ac:dyDescent="0.25">
      <c r="A60" s="559">
        <v>6122</v>
      </c>
      <c r="B60" s="542" t="s">
        <v>137</v>
      </c>
      <c r="C60" s="915">
        <v>85000</v>
      </c>
      <c r="D60" s="915">
        <v>240000</v>
      </c>
      <c r="E60" s="915">
        <v>423500</v>
      </c>
      <c r="F60" s="915">
        <v>423500</v>
      </c>
      <c r="G60" s="915">
        <v>0</v>
      </c>
      <c r="H60" s="915">
        <f t="shared" si="91"/>
        <v>0</v>
      </c>
      <c r="I60" s="571"/>
      <c r="J60" s="492"/>
      <c r="K60" s="492"/>
      <c r="L60" s="492"/>
      <c r="M60" s="492"/>
      <c r="N60" s="492"/>
      <c r="O60" s="492">
        <f t="shared" si="92"/>
        <v>0</v>
      </c>
      <c r="P60" s="916"/>
      <c r="Q60" s="917"/>
      <c r="R60" s="492"/>
      <c r="S60" s="927">
        <f t="shared" si="90"/>
        <v>0</v>
      </c>
      <c r="T60" s="492"/>
      <c r="U60" s="492"/>
      <c r="V60" s="492">
        <v>0</v>
      </c>
      <c r="W60" s="492"/>
      <c r="X60" s="492"/>
      <c r="Y60" s="492"/>
      <c r="Z60" s="492"/>
      <c r="AA60" s="492">
        <f t="shared" si="114"/>
        <v>0</v>
      </c>
      <c r="AB60" s="916"/>
      <c r="AC60" s="916"/>
      <c r="AD60" s="492">
        <f t="shared" si="94"/>
        <v>0</v>
      </c>
      <c r="AE60" s="916"/>
      <c r="AF60" s="916"/>
      <c r="AG60" s="492">
        <f t="shared" si="95"/>
        <v>0</v>
      </c>
      <c r="AH60" s="916">
        <f>[4]Nebyty!$B$19</f>
        <v>0</v>
      </c>
      <c r="AI60" s="916"/>
      <c r="AJ60" s="492"/>
      <c r="AK60" s="492"/>
      <c r="AL60" s="492"/>
      <c r="AM60" s="492">
        <f t="shared" si="96"/>
        <v>0</v>
      </c>
      <c r="AN60" s="916"/>
      <c r="AO60" s="916"/>
      <c r="AP60" s="492">
        <f t="shared" si="97"/>
        <v>0</v>
      </c>
      <c r="AQ60" s="916"/>
      <c r="AR60" s="916"/>
      <c r="AS60" s="492">
        <f t="shared" si="98"/>
        <v>0</v>
      </c>
      <c r="AT60" s="916"/>
      <c r="AU60" s="916"/>
      <c r="AV60" s="492">
        <f t="shared" si="99"/>
        <v>0</v>
      </c>
      <c r="AW60" s="916">
        <f>[3]č.p.65!$B$46</f>
        <v>0</v>
      </c>
      <c r="AX60" s="916"/>
      <c r="AY60" s="492">
        <f t="shared" si="100"/>
        <v>0</v>
      </c>
      <c r="AZ60" s="916"/>
      <c r="BA60" s="916"/>
      <c r="BB60" s="492">
        <f t="shared" si="101"/>
        <v>0</v>
      </c>
      <c r="BC60" s="916"/>
      <c r="BD60" s="916"/>
      <c r="BE60" s="492">
        <f t="shared" si="102"/>
        <v>0</v>
      </c>
      <c r="BF60" s="916"/>
      <c r="BG60" s="916"/>
      <c r="BH60" s="492">
        <f t="shared" si="103"/>
        <v>0</v>
      </c>
      <c r="BI60" s="916"/>
      <c r="BJ60" s="916"/>
      <c r="BK60" s="492"/>
      <c r="BL60" s="492">
        <f t="shared" si="104"/>
        <v>0</v>
      </c>
      <c r="BM60" s="916"/>
      <c r="BN60" s="916"/>
      <c r="BO60" s="492"/>
      <c r="BP60" s="492">
        <f t="shared" si="105"/>
        <v>0</v>
      </c>
      <c r="BQ60" s="916"/>
      <c r="BR60" s="916"/>
      <c r="BS60" s="492">
        <f t="shared" si="106"/>
        <v>0</v>
      </c>
      <c r="BT60" s="916"/>
      <c r="BU60" s="916"/>
      <c r="BV60" s="492"/>
      <c r="BW60" s="492">
        <f t="shared" si="107"/>
        <v>0</v>
      </c>
      <c r="BX60" s="916"/>
      <c r="BY60" s="916"/>
      <c r="BZ60" s="492"/>
      <c r="CA60" s="916"/>
      <c r="CB60" s="916"/>
      <c r="CC60" s="492"/>
      <c r="CD60" s="916"/>
      <c r="CE60" s="916"/>
      <c r="CF60" s="492"/>
      <c r="CG60" s="916"/>
      <c r="CH60" s="916"/>
      <c r="CI60" s="492">
        <f t="shared" si="108"/>
        <v>0</v>
      </c>
      <c r="CJ60" s="916"/>
      <c r="CK60" s="916"/>
      <c r="CL60" s="492"/>
      <c r="CM60" s="492">
        <f t="shared" si="109"/>
        <v>0</v>
      </c>
      <c r="CN60" s="916"/>
      <c r="CO60" s="916"/>
      <c r="CP60" s="492">
        <f t="shared" si="110"/>
        <v>0</v>
      </c>
      <c r="CQ60" s="916"/>
      <c r="CR60" s="916"/>
      <c r="CS60" s="492">
        <f t="shared" si="111"/>
        <v>0</v>
      </c>
      <c r="CT60" s="916"/>
      <c r="CU60" s="916"/>
      <c r="CV60" s="492"/>
      <c r="CW60" s="492">
        <f t="shared" si="112"/>
        <v>0</v>
      </c>
      <c r="CX60" s="916"/>
      <c r="CY60" s="916"/>
      <c r="CZ60" s="916"/>
      <c r="DA60" s="492"/>
      <c r="DB60" s="492"/>
      <c r="DC60" s="492"/>
      <c r="DD60" s="492"/>
      <c r="DE60" s="492"/>
      <c r="DF60" s="492"/>
      <c r="DG60" s="492"/>
      <c r="DH60" s="492"/>
      <c r="DI60" s="916"/>
      <c r="DJ60" s="916"/>
      <c r="DK60" s="492"/>
      <c r="DL60" s="492"/>
      <c r="DM60" s="919"/>
      <c r="DN60" s="527">
        <f t="shared" si="36"/>
        <v>0</v>
      </c>
      <c r="DO60" s="912">
        <f t="shared" si="56"/>
        <v>0</v>
      </c>
      <c r="DP60" s="913"/>
      <c r="DQ60" s="915">
        <f t="shared" si="113"/>
        <v>0</v>
      </c>
      <c r="DS60" s="762"/>
    </row>
    <row r="61" spans="1:123" ht="15.75" outlineLevel="1" x14ac:dyDescent="0.25">
      <c r="A61" s="559">
        <v>6123</v>
      </c>
      <c r="B61" s="542" t="s">
        <v>138</v>
      </c>
      <c r="C61" s="915">
        <v>0</v>
      </c>
      <c r="D61" s="915">
        <v>0</v>
      </c>
      <c r="E61" s="915">
        <v>0</v>
      </c>
      <c r="F61" s="915">
        <v>0</v>
      </c>
      <c r="G61" s="915">
        <v>0</v>
      </c>
      <c r="H61" s="915">
        <f t="shared" si="91"/>
        <v>0</v>
      </c>
      <c r="I61" s="571"/>
      <c r="J61" s="492"/>
      <c r="K61" s="492"/>
      <c r="L61" s="492"/>
      <c r="M61" s="492"/>
      <c r="N61" s="492"/>
      <c r="O61" s="497">
        <f t="shared" si="92"/>
        <v>0</v>
      </c>
      <c r="P61" s="514"/>
      <c r="Q61" s="965"/>
      <c r="R61" s="492"/>
      <c r="S61" s="927">
        <f t="shared" si="90"/>
        <v>0</v>
      </c>
      <c r="T61" s="492">
        <v>0</v>
      </c>
      <c r="U61" s="492"/>
      <c r="V61" s="492">
        <f>'[3]Městská policie'!$B$154</f>
        <v>0</v>
      </c>
      <c r="W61" s="492"/>
      <c r="X61" s="492"/>
      <c r="Y61" s="492"/>
      <c r="Z61" s="492"/>
      <c r="AA61" s="492">
        <f t="shared" si="93"/>
        <v>0</v>
      </c>
      <c r="AB61" s="916"/>
      <c r="AC61" s="916"/>
      <c r="AD61" s="492">
        <f t="shared" si="94"/>
        <v>0</v>
      </c>
      <c r="AE61" s="916"/>
      <c r="AF61" s="916"/>
      <c r="AG61" s="492">
        <f t="shared" si="95"/>
        <v>0</v>
      </c>
      <c r="AH61" s="916"/>
      <c r="AI61" s="916"/>
      <c r="AJ61" s="492">
        <f>[4]Hasiči!$B$32</f>
        <v>0</v>
      </c>
      <c r="AK61" s="492"/>
      <c r="AL61" s="492"/>
      <c r="AM61" s="492">
        <f t="shared" si="96"/>
        <v>0</v>
      </c>
      <c r="AN61" s="916"/>
      <c r="AO61" s="916"/>
      <c r="AP61" s="492">
        <f t="shared" si="97"/>
        <v>0</v>
      </c>
      <c r="AQ61" s="916"/>
      <c r="AR61" s="916"/>
      <c r="AS61" s="492">
        <f t="shared" si="98"/>
        <v>0</v>
      </c>
      <c r="AT61" s="916"/>
      <c r="AU61" s="916"/>
      <c r="AV61" s="492">
        <f t="shared" si="99"/>
        <v>0</v>
      </c>
      <c r="AW61" s="916"/>
      <c r="AX61" s="916"/>
      <c r="AY61" s="492">
        <f t="shared" si="100"/>
        <v>0</v>
      </c>
      <c r="AZ61" s="916"/>
      <c r="BA61" s="916"/>
      <c r="BB61" s="492">
        <f t="shared" si="101"/>
        <v>0</v>
      </c>
      <c r="BC61" s="916"/>
      <c r="BD61" s="916"/>
      <c r="BE61" s="492">
        <f t="shared" si="102"/>
        <v>0</v>
      </c>
      <c r="BF61" s="916"/>
      <c r="BG61" s="916"/>
      <c r="BH61" s="492">
        <f t="shared" si="103"/>
        <v>0</v>
      </c>
      <c r="BI61" s="916"/>
      <c r="BJ61" s="916"/>
      <c r="BK61" s="492"/>
      <c r="BL61" s="492">
        <f t="shared" si="104"/>
        <v>0</v>
      </c>
      <c r="BM61" s="916"/>
      <c r="BN61" s="916"/>
      <c r="BO61" s="492"/>
      <c r="BP61" s="492">
        <f t="shared" si="105"/>
        <v>0</v>
      </c>
      <c r="BQ61" s="916"/>
      <c r="BR61" s="916"/>
      <c r="BS61" s="492">
        <f t="shared" si="106"/>
        <v>0</v>
      </c>
      <c r="BT61" s="916"/>
      <c r="BU61" s="916"/>
      <c r="BV61" s="492"/>
      <c r="BW61" s="492">
        <f t="shared" si="107"/>
        <v>0</v>
      </c>
      <c r="BX61" s="916"/>
      <c r="BY61" s="916"/>
      <c r="BZ61" s="492"/>
      <c r="CA61" s="916"/>
      <c r="CB61" s="916"/>
      <c r="CC61" s="492"/>
      <c r="CD61" s="916"/>
      <c r="CE61" s="916"/>
      <c r="CF61" s="492"/>
      <c r="CG61" s="916"/>
      <c r="CH61" s="916"/>
      <c r="CI61" s="492">
        <f t="shared" si="108"/>
        <v>0</v>
      </c>
      <c r="CJ61" s="916"/>
      <c r="CK61" s="916"/>
      <c r="CL61" s="492"/>
      <c r="CM61" s="492">
        <f t="shared" si="109"/>
        <v>0</v>
      </c>
      <c r="CN61" s="916"/>
      <c r="CO61" s="916"/>
      <c r="CP61" s="492">
        <f t="shared" si="110"/>
        <v>0</v>
      </c>
      <c r="CQ61" s="916"/>
      <c r="CR61" s="916"/>
      <c r="CS61" s="492">
        <f t="shared" si="111"/>
        <v>0</v>
      </c>
      <c r="CT61" s="916"/>
      <c r="CU61" s="916"/>
      <c r="CV61" s="492"/>
      <c r="CW61" s="492">
        <f t="shared" si="112"/>
        <v>0</v>
      </c>
      <c r="CX61" s="916"/>
      <c r="CY61" s="916"/>
      <c r="CZ61" s="916"/>
      <c r="DA61" s="492"/>
      <c r="DB61" s="492"/>
      <c r="DC61" s="492"/>
      <c r="DD61" s="492"/>
      <c r="DE61" s="492"/>
      <c r="DF61" s="492"/>
      <c r="DG61" s="492"/>
      <c r="DH61" s="492"/>
      <c r="DI61" s="916"/>
      <c r="DJ61" s="916"/>
      <c r="DK61" s="492"/>
      <c r="DL61" s="492"/>
      <c r="DM61" s="919"/>
      <c r="DN61" s="527">
        <f t="shared" si="36"/>
        <v>0</v>
      </c>
      <c r="DO61" s="912">
        <f t="shared" si="56"/>
        <v>0</v>
      </c>
      <c r="DP61" s="913"/>
      <c r="DQ61" s="915">
        <f t="shared" si="113"/>
        <v>0</v>
      </c>
      <c r="DS61" s="762"/>
    </row>
    <row r="62" spans="1:123" ht="15.75" outlineLevel="1" x14ac:dyDescent="0.25">
      <c r="A62" s="559">
        <v>6125</v>
      </c>
      <c r="B62" s="542" t="s">
        <v>139</v>
      </c>
      <c r="C62" s="915">
        <v>12292425</v>
      </c>
      <c r="D62" s="915">
        <v>409000</v>
      </c>
      <c r="E62" s="915">
        <v>204000</v>
      </c>
      <c r="F62" s="915">
        <v>204000</v>
      </c>
      <c r="G62" s="915">
        <v>204000</v>
      </c>
      <c r="H62" s="915">
        <f t="shared" si="91"/>
        <v>235000</v>
      </c>
      <c r="I62" s="571"/>
      <c r="J62" s="492"/>
      <c r="K62" s="492"/>
      <c r="L62" s="492"/>
      <c r="M62" s="916"/>
      <c r="N62" s="492"/>
      <c r="O62" s="492">
        <f t="shared" si="92"/>
        <v>235000</v>
      </c>
      <c r="P62" s="916">
        <f>[3]Správa!$D$147</f>
        <v>235000</v>
      </c>
      <c r="Q62" s="917">
        <f>[3]Správa!$E$147</f>
        <v>0</v>
      </c>
      <c r="R62" s="492"/>
      <c r="S62" s="927">
        <f t="shared" si="90"/>
        <v>0</v>
      </c>
      <c r="T62" s="492"/>
      <c r="U62" s="492"/>
      <c r="V62" s="492">
        <f>'[3]Městská policie'!$B$161</f>
        <v>0</v>
      </c>
      <c r="W62" s="492"/>
      <c r="X62" s="492"/>
      <c r="Y62" s="492"/>
      <c r="Z62" s="492"/>
      <c r="AA62" s="492">
        <f t="shared" si="93"/>
        <v>0</v>
      </c>
      <c r="AB62" s="916"/>
      <c r="AC62" s="916"/>
      <c r="AD62" s="492">
        <f t="shared" si="94"/>
        <v>0</v>
      </c>
      <c r="AE62" s="916"/>
      <c r="AF62" s="916"/>
      <c r="AG62" s="492">
        <f t="shared" si="95"/>
        <v>0</v>
      </c>
      <c r="AH62" s="916"/>
      <c r="AI62" s="916"/>
      <c r="AJ62" s="492"/>
      <c r="AK62" s="492"/>
      <c r="AL62" s="492"/>
      <c r="AM62" s="492">
        <f t="shared" si="96"/>
        <v>0</v>
      </c>
      <c r="AN62" s="916"/>
      <c r="AO62" s="916"/>
      <c r="AP62" s="492">
        <f t="shared" si="97"/>
        <v>0</v>
      </c>
      <c r="AQ62" s="916"/>
      <c r="AR62" s="916"/>
      <c r="AS62" s="492">
        <f t="shared" si="98"/>
        <v>0</v>
      </c>
      <c r="AT62" s="916"/>
      <c r="AU62" s="916"/>
      <c r="AV62" s="492">
        <f t="shared" si="99"/>
        <v>0</v>
      </c>
      <c r="AW62" s="916"/>
      <c r="AX62" s="916"/>
      <c r="AY62" s="492">
        <f t="shared" si="100"/>
        <v>0</v>
      </c>
      <c r="AZ62" s="916"/>
      <c r="BA62" s="916"/>
      <c r="BB62" s="492">
        <f t="shared" si="101"/>
        <v>0</v>
      </c>
      <c r="BC62" s="916"/>
      <c r="BD62" s="916"/>
      <c r="BE62" s="492">
        <f t="shared" si="102"/>
        <v>0</v>
      </c>
      <c r="BF62" s="916"/>
      <c r="BG62" s="916"/>
      <c r="BH62" s="492">
        <f t="shared" si="103"/>
        <v>0</v>
      </c>
      <c r="BI62" s="916"/>
      <c r="BJ62" s="916"/>
      <c r="BK62" s="492"/>
      <c r="BL62" s="492">
        <f t="shared" si="104"/>
        <v>0</v>
      </c>
      <c r="BM62" s="916"/>
      <c r="BN62" s="916"/>
      <c r="BO62" s="492"/>
      <c r="BP62" s="492">
        <f t="shared" si="105"/>
        <v>0</v>
      </c>
      <c r="BQ62" s="916"/>
      <c r="BR62" s="916"/>
      <c r="BS62" s="492">
        <f t="shared" si="106"/>
        <v>0</v>
      </c>
      <c r="BT62" s="916"/>
      <c r="BU62" s="916"/>
      <c r="BV62" s="492"/>
      <c r="BW62" s="492">
        <f t="shared" si="107"/>
        <v>0</v>
      </c>
      <c r="BX62" s="916"/>
      <c r="BY62" s="916"/>
      <c r="BZ62" s="492"/>
      <c r="CA62" s="916"/>
      <c r="CB62" s="916"/>
      <c r="CC62" s="492"/>
      <c r="CD62" s="916"/>
      <c r="CE62" s="916"/>
      <c r="CF62" s="492"/>
      <c r="CG62" s="916"/>
      <c r="CH62" s="916"/>
      <c r="CI62" s="492">
        <f t="shared" si="108"/>
        <v>0</v>
      </c>
      <c r="CJ62" s="916"/>
      <c r="CK62" s="916"/>
      <c r="CL62" s="492"/>
      <c r="CM62" s="492">
        <f t="shared" si="109"/>
        <v>0</v>
      </c>
      <c r="CN62" s="916"/>
      <c r="CO62" s="916"/>
      <c r="CP62" s="492">
        <f t="shared" si="110"/>
        <v>0</v>
      </c>
      <c r="CQ62" s="916"/>
      <c r="CR62" s="916"/>
      <c r="CS62" s="492">
        <f t="shared" si="111"/>
        <v>0</v>
      </c>
      <c r="CT62" s="916"/>
      <c r="CU62" s="916"/>
      <c r="CV62" s="492"/>
      <c r="CW62" s="492">
        <f t="shared" si="112"/>
        <v>0</v>
      </c>
      <c r="CX62" s="916"/>
      <c r="CY62" s="916"/>
      <c r="CZ62" s="916"/>
      <c r="DA62" s="492"/>
      <c r="DB62" s="492"/>
      <c r="DC62" s="492"/>
      <c r="DD62" s="492"/>
      <c r="DE62" s="492"/>
      <c r="DF62" s="492"/>
      <c r="DG62" s="492"/>
      <c r="DH62" s="492"/>
      <c r="DI62" s="916"/>
      <c r="DJ62" s="916"/>
      <c r="DK62" s="492"/>
      <c r="DL62" s="492"/>
      <c r="DM62" s="919"/>
      <c r="DN62" s="527">
        <f t="shared" si="36"/>
        <v>235000</v>
      </c>
      <c r="DO62" s="912">
        <f t="shared" si="56"/>
        <v>0</v>
      </c>
      <c r="DP62" s="913"/>
      <c r="DQ62" s="915">
        <f t="shared" si="113"/>
        <v>0</v>
      </c>
      <c r="DS62" s="762"/>
    </row>
    <row r="63" spans="1:123" ht="15.75" outlineLevel="1" x14ac:dyDescent="0.25">
      <c r="A63" s="559">
        <v>6129</v>
      </c>
      <c r="B63" s="542" t="s">
        <v>140</v>
      </c>
      <c r="C63" s="915">
        <v>0</v>
      </c>
      <c r="D63" s="915">
        <v>0</v>
      </c>
      <c r="E63" s="915">
        <v>0</v>
      </c>
      <c r="F63" s="915">
        <v>0</v>
      </c>
      <c r="G63" s="915">
        <v>0</v>
      </c>
      <c r="H63" s="915">
        <f t="shared" si="91"/>
        <v>0</v>
      </c>
      <c r="I63" s="571"/>
      <c r="J63" s="492"/>
      <c r="K63" s="492"/>
      <c r="L63" s="492"/>
      <c r="M63" s="492"/>
      <c r="N63" s="492"/>
      <c r="O63" s="492">
        <f t="shared" si="92"/>
        <v>0</v>
      </c>
      <c r="P63" s="916"/>
      <c r="Q63" s="917"/>
      <c r="R63" s="492"/>
      <c r="S63" s="927">
        <f t="shared" si="90"/>
        <v>0</v>
      </c>
      <c r="T63" s="492"/>
      <c r="U63" s="492"/>
      <c r="V63" s="492"/>
      <c r="W63" s="492"/>
      <c r="X63" s="492"/>
      <c r="Y63" s="492"/>
      <c r="Z63" s="492"/>
      <c r="AA63" s="492">
        <f t="shared" si="93"/>
        <v>0</v>
      </c>
      <c r="AB63" s="916"/>
      <c r="AC63" s="916"/>
      <c r="AD63" s="492">
        <f t="shared" si="94"/>
        <v>0</v>
      </c>
      <c r="AE63" s="916"/>
      <c r="AF63" s="916"/>
      <c r="AG63" s="492">
        <f t="shared" si="95"/>
        <v>0</v>
      </c>
      <c r="AH63" s="916"/>
      <c r="AI63" s="916"/>
      <c r="AJ63" s="492"/>
      <c r="AK63" s="492"/>
      <c r="AL63" s="492"/>
      <c r="AM63" s="492">
        <f t="shared" si="96"/>
        <v>0</v>
      </c>
      <c r="AN63" s="916"/>
      <c r="AO63" s="916"/>
      <c r="AP63" s="492">
        <f t="shared" si="97"/>
        <v>0</v>
      </c>
      <c r="AQ63" s="916"/>
      <c r="AR63" s="916"/>
      <c r="AS63" s="492">
        <f t="shared" si="98"/>
        <v>0</v>
      </c>
      <c r="AT63" s="916"/>
      <c r="AU63" s="916"/>
      <c r="AV63" s="492">
        <f t="shared" si="99"/>
        <v>0</v>
      </c>
      <c r="AW63" s="916"/>
      <c r="AX63" s="916"/>
      <c r="AY63" s="492">
        <f t="shared" si="100"/>
        <v>0</v>
      </c>
      <c r="AZ63" s="916"/>
      <c r="BA63" s="916"/>
      <c r="BB63" s="492">
        <f t="shared" si="101"/>
        <v>0</v>
      </c>
      <c r="BC63" s="916"/>
      <c r="BD63" s="916"/>
      <c r="BE63" s="492">
        <f t="shared" si="102"/>
        <v>0</v>
      </c>
      <c r="BF63" s="916"/>
      <c r="BG63" s="916"/>
      <c r="BH63" s="492">
        <f t="shared" si="103"/>
        <v>0</v>
      </c>
      <c r="BI63" s="916"/>
      <c r="BJ63" s="916"/>
      <c r="BK63" s="492"/>
      <c r="BL63" s="492">
        <f t="shared" si="104"/>
        <v>0</v>
      </c>
      <c r="BM63" s="916"/>
      <c r="BN63" s="916"/>
      <c r="BO63" s="492"/>
      <c r="BP63" s="492">
        <f t="shared" si="105"/>
        <v>0</v>
      </c>
      <c r="BQ63" s="916"/>
      <c r="BR63" s="916"/>
      <c r="BS63" s="492">
        <f t="shared" si="106"/>
        <v>0</v>
      </c>
      <c r="BT63" s="916"/>
      <c r="BU63" s="916"/>
      <c r="BV63" s="492"/>
      <c r="BW63" s="492">
        <f t="shared" si="107"/>
        <v>0</v>
      </c>
      <c r="BX63" s="916"/>
      <c r="BY63" s="916"/>
      <c r="BZ63" s="492"/>
      <c r="CA63" s="916"/>
      <c r="CB63" s="916"/>
      <c r="CC63" s="492"/>
      <c r="CD63" s="916"/>
      <c r="CE63" s="916"/>
      <c r="CF63" s="492"/>
      <c r="CG63" s="916"/>
      <c r="CH63" s="916"/>
      <c r="CI63" s="492">
        <f t="shared" si="108"/>
        <v>0</v>
      </c>
      <c r="CJ63" s="916"/>
      <c r="CK63" s="916"/>
      <c r="CL63" s="492"/>
      <c r="CM63" s="492">
        <f t="shared" si="109"/>
        <v>0</v>
      </c>
      <c r="CN63" s="916"/>
      <c r="CO63" s="916"/>
      <c r="CP63" s="492">
        <f t="shared" si="110"/>
        <v>0</v>
      </c>
      <c r="CQ63" s="916"/>
      <c r="CR63" s="916"/>
      <c r="CS63" s="492">
        <f t="shared" si="111"/>
        <v>0</v>
      </c>
      <c r="CT63" s="916"/>
      <c r="CU63" s="916"/>
      <c r="CV63" s="492"/>
      <c r="CW63" s="492">
        <f t="shared" si="112"/>
        <v>0</v>
      </c>
      <c r="CX63" s="916"/>
      <c r="CY63" s="916"/>
      <c r="CZ63" s="916"/>
      <c r="DA63" s="492"/>
      <c r="DB63" s="492"/>
      <c r="DC63" s="492"/>
      <c r="DD63" s="492"/>
      <c r="DE63" s="492"/>
      <c r="DF63" s="492"/>
      <c r="DG63" s="492"/>
      <c r="DH63" s="492"/>
      <c r="DI63" s="916"/>
      <c r="DJ63" s="916"/>
      <c r="DK63" s="492"/>
      <c r="DL63" s="492"/>
      <c r="DM63" s="919"/>
      <c r="DN63" s="527">
        <f t="shared" si="36"/>
        <v>0</v>
      </c>
      <c r="DO63" s="912">
        <f t="shared" si="56"/>
        <v>0</v>
      </c>
      <c r="DP63" s="913"/>
      <c r="DQ63" s="915">
        <f t="shared" si="113"/>
        <v>0</v>
      </c>
      <c r="DS63" s="762"/>
    </row>
    <row r="64" spans="1:123" ht="18" customHeight="1" outlineLevel="1" x14ac:dyDescent="0.25">
      <c r="A64" s="559">
        <v>6130</v>
      </c>
      <c r="B64" s="542" t="s">
        <v>141</v>
      </c>
      <c r="C64" s="915">
        <v>334500</v>
      </c>
      <c r="D64" s="915">
        <v>385680</v>
      </c>
      <c r="E64" s="915">
        <v>115000</v>
      </c>
      <c r="F64" s="915">
        <v>5950000</v>
      </c>
      <c r="G64" s="915">
        <v>8450000</v>
      </c>
      <c r="H64" s="915">
        <f t="shared" si="91"/>
        <v>80000</v>
      </c>
      <c r="I64" s="571"/>
      <c r="J64" s="492"/>
      <c r="K64" s="492"/>
      <c r="L64" s="492">
        <f>'[2]Všebecná pokladna'!$B$78+'[6]Všeobecná pokladna 6409'!$B$29</f>
        <v>80000</v>
      </c>
      <c r="M64" s="492"/>
      <c r="N64" s="492"/>
      <c r="O64" s="492">
        <f t="shared" si="92"/>
        <v>0</v>
      </c>
      <c r="P64" s="916"/>
      <c r="Q64" s="917"/>
      <c r="R64" s="492"/>
      <c r="S64" s="927">
        <f t="shared" si="90"/>
        <v>0</v>
      </c>
      <c r="T64" s="492"/>
      <c r="U64" s="492"/>
      <c r="V64" s="492"/>
      <c r="W64" s="492"/>
      <c r="X64" s="492"/>
      <c r="Y64" s="492"/>
      <c r="Z64" s="492"/>
      <c r="AA64" s="492">
        <f t="shared" si="93"/>
        <v>0</v>
      </c>
      <c r="AB64" s="916"/>
      <c r="AC64" s="916"/>
      <c r="AD64" s="492">
        <f t="shared" si="94"/>
        <v>0</v>
      </c>
      <c r="AE64" s="916"/>
      <c r="AF64" s="916"/>
      <c r="AG64" s="492">
        <f t="shared" si="95"/>
        <v>0</v>
      </c>
      <c r="AH64" s="916"/>
      <c r="AI64" s="916"/>
      <c r="AJ64" s="492"/>
      <c r="AK64" s="492"/>
      <c r="AL64" s="492"/>
      <c r="AM64" s="492">
        <f t="shared" si="96"/>
        <v>0</v>
      </c>
      <c r="AN64" s="916"/>
      <c r="AO64" s="916"/>
      <c r="AP64" s="492">
        <f t="shared" si="97"/>
        <v>0</v>
      </c>
      <c r="AQ64" s="916"/>
      <c r="AR64" s="916"/>
      <c r="AS64" s="492">
        <f t="shared" si="98"/>
        <v>0</v>
      </c>
      <c r="AT64" s="916"/>
      <c r="AU64" s="916"/>
      <c r="AV64" s="492">
        <f t="shared" si="99"/>
        <v>0</v>
      </c>
      <c r="AW64" s="916"/>
      <c r="AX64" s="916"/>
      <c r="AY64" s="492">
        <f t="shared" si="100"/>
        <v>0</v>
      </c>
      <c r="AZ64" s="916"/>
      <c r="BA64" s="916"/>
      <c r="BB64" s="492">
        <f t="shared" si="101"/>
        <v>0</v>
      </c>
      <c r="BC64" s="916"/>
      <c r="BD64" s="916"/>
      <c r="BE64" s="492">
        <f t="shared" si="102"/>
        <v>0</v>
      </c>
      <c r="BF64" s="916"/>
      <c r="BG64" s="916"/>
      <c r="BH64" s="492">
        <f t="shared" si="103"/>
        <v>0</v>
      </c>
      <c r="BI64" s="916"/>
      <c r="BJ64" s="916"/>
      <c r="BK64" s="492"/>
      <c r="BL64" s="492">
        <f t="shared" si="104"/>
        <v>0</v>
      </c>
      <c r="BM64" s="916"/>
      <c r="BN64" s="916"/>
      <c r="BO64" s="492"/>
      <c r="BP64" s="492">
        <f t="shared" si="105"/>
        <v>0</v>
      </c>
      <c r="BQ64" s="916"/>
      <c r="BR64" s="916"/>
      <c r="BS64" s="492">
        <f t="shared" si="106"/>
        <v>0</v>
      </c>
      <c r="BT64" s="916">
        <f>'[5]Silnice - pozemky'!$B$4</f>
        <v>0</v>
      </c>
      <c r="BU64" s="916"/>
      <c r="BV64" s="492"/>
      <c r="BW64" s="492">
        <f t="shared" si="107"/>
        <v>0</v>
      </c>
      <c r="BX64" s="916"/>
      <c r="BY64" s="916"/>
      <c r="BZ64" s="492"/>
      <c r="CA64" s="916"/>
      <c r="CB64" s="916"/>
      <c r="CC64" s="492"/>
      <c r="CD64" s="916"/>
      <c r="CE64" s="916"/>
      <c r="CF64" s="492"/>
      <c r="CG64" s="916"/>
      <c r="CH64" s="916"/>
      <c r="CI64" s="492">
        <f t="shared" si="108"/>
        <v>0</v>
      </c>
      <c r="CJ64" s="916"/>
      <c r="CK64" s="916"/>
      <c r="CL64" s="492"/>
      <c r="CM64" s="492">
        <f t="shared" si="109"/>
        <v>0</v>
      </c>
      <c r="CN64" s="916"/>
      <c r="CO64" s="916"/>
      <c r="CP64" s="492">
        <f t="shared" si="110"/>
        <v>0</v>
      </c>
      <c r="CQ64" s="916"/>
      <c r="CR64" s="916"/>
      <c r="CS64" s="492">
        <f t="shared" si="111"/>
        <v>0</v>
      </c>
      <c r="CT64" s="916"/>
      <c r="CU64" s="916"/>
      <c r="CV64" s="492"/>
      <c r="CW64" s="492">
        <f t="shared" si="112"/>
        <v>0</v>
      </c>
      <c r="CX64" s="916"/>
      <c r="CY64" s="916"/>
      <c r="CZ64" s="916"/>
      <c r="DA64" s="492"/>
      <c r="DB64" s="492"/>
      <c r="DC64" s="492"/>
      <c r="DD64" s="492"/>
      <c r="DE64" s="492"/>
      <c r="DF64" s="492"/>
      <c r="DG64" s="492"/>
      <c r="DH64" s="492"/>
      <c r="DI64" s="916"/>
      <c r="DJ64" s="916"/>
      <c r="DK64" s="492"/>
      <c r="DL64" s="492"/>
      <c r="DM64" s="919"/>
      <c r="DN64" s="527">
        <f t="shared" si="36"/>
        <v>80000</v>
      </c>
      <c r="DO64" s="912">
        <f t="shared" si="56"/>
        <v>0</v>
      </c>
      <c r="DP64" s="913"/>
      <c r="DQ64" s="915">
        <f t="shared" si="113"/>
        <v>0</v>
      </c>
      <c r="DS64" s="762"/>
    </row>
    <row r="65" spans="1:123" ht="18" customHeight="1" outlineLevel="1" x14ac:dyDescent="0.25">
      <c r="A65" s="559">
        <v>6349</v>
      </c>
      <c r="B65" s="542" t="s">
        <v>1959</v>
      </c>
      <c r="C65" s="915"/>
      <c r="D65" s="915"/>
      <c r="E65" s="915"/>
      <c r="F65" s="915"/>
      <c r="G65" s="915"/>
      <c r="H65" s="915">
        <f t="shared" si="91"/>
        <v>0</v>
      </c>
      <c r="I65" s="571"/>
      <c r="J65" s="492"/>
      <c r="K65" s="492"/>
      <c r="L65" s="492">
        <f>'[2]Všebecná pokladna'!$B$85</f>
        <v>0</v>
      </c>
      <c r="M65" s="492"/>
      <c r="N65" s="492"/>
      <c r="O65" s="492"/>
      <c r="P65" s="916"/>
      <c r="Q65" s="917"/>
      <c r="R65" s="492"/>
      <c r="S65" s="927"/>
      <c r="T65" s="492"/>
      <c r="U65" s="492"/>
      <c r="V65" s="492"/>
      <c r="W65" s="492"/>
      <c r="X65" s="492"/>
      <c r="Y65" s="492"/>
      <c r="Z65" s="492"/>
      <c r="AA65" s="492"/>
      <c r="AB65" s="916"/>
      <c r="AC65" s="916"/>
      <c r="AD65" s="492"/>
      <c r="AE65" s="916"/>
      <c r="AF65" s="916"/>
      <c r="AG65" s="492"/>
      <c r="AH65" s="916"/>
      <c r="AI65" s="916"/>
      <c r="AJ65" s="492"/>
      <c r="AK65" s="492"/>
      <c r="AL65" s="492"/>
      <c r="AM65" s="492"/>
      <c r="AN65" s="916"/>
      <c r="AO65" s="916"/>
      <c r="AP65" s="492"/>
      <c r="AQ65" s="916"/>
      <c r="AR65" s="916"/>
      <c r="AS65" s="492"/>
      <c r="AT65" s="916"/>
      <c r="AU65" s="916"/>
      <c r="AV65" s="492"/>
      <c r="AW65" s="916"/>
      <c r="AX65" s="916"/>
      <c r="AY65" s="492"/>
      <c r="AZ65" s="916"/>
      <c r="BA65" s="916"/>
      <c r="BB65" s="492"/>
      <c r="BC65" s="916"/>
      <c r="BD65" s="916"/>
      <c r="BE65" s="492"/>
      <c r="BF65" s="916"/>
      <c r="BG65" s="916"/>
      <c r="BH65" s="492"/>
      <c r="BI65" s="916"/>
      <c r="BJ65" s="916"/>
      <c r="BK65" s="492"/>
      <c r="BL65" s="492"/>
      <c r="BM65" s="916"/>
      <c r="BN65" s="916"/>
      <c r="BO65" s="492"/>
      <c r="BP65" s="492"/>
      <c r="BQ65" s="916"/>
      <c r="BR65" s="916"/>
      <c r="BS65" s="492"/>
      <c r="BT65" s="916"/>
      <c r="BU65" s="916"/>
      <c r="BV65" s="492"/>
      <c r="BW65" s="492"/>
      <c r="BX65" s="916"/>
      <c r="BY65" s="916"/>
      <c r="BZ65" s="492"/>
      <c r="CA65" s="916"/>
      <c r="CB65" s="916"/>
      <c r="CC65" s="492"/>
      <c r="CD65" s="916"/>
      <c r="CE65" s="916"/>
      <c r="CF65" s="492"/>
      <c r="CG65" s="916"/>
      <c r="CH65" s="916"/>
      <c r="CI65" s="492"/>
      <c r="CJ65" s="916"/>
      <c r="CK65" s="916"/>
      <c r="CL65" s="492"/>
      <c r="CM65" s="492"/>
      <c r="CN65" s="916"/>
      <c r="CO65" s="916"/>
      <c r="CP65" s="492"/>
      <c r="CQ65" s="916"/>
      <c r="CR65" s="916"/>
      <c r="CS65" s="492"/>
      <c r="CT65" s="916"/>
      <c r="CU65" s="916"/>
      <c r="CV65" s="492"/>
      <c r="CW65" s="492"/>
      <c r="CX65" s="916"/>
      <c r="CY65" s="916"/>
      <c r="CZ65" s="916"/>
      <c r="DA65" s="492"/>
      <c r="DB65" s="492"/>
      <c r="DC65" s="492"/>
      <c r="DD65" s="492"/>
      <c r="DE65" s="492"/>
      <c r="DF65" s="492"/>
      <c r="DG65" s="492"/>
      <c r="DH65" s="492"/>
      <c r="DI65" s="916"/>
      <c r="DJ65" s="916"/>
      <c r="DK65" s="492"/>
      <c r="DL65" s="492"/>
      <c r="DM65" s="919"/>
      <c r="DN65" s="527"/>
      <c r="DO65" s="912"/>
      <c r="DP65" s="913"/>
      <c r="DQ65" s="915"/>
      <c r="DS65" s="762"/>
    </row>
    <row r="66" spans="1:123" s="768" customFormat="1" ht="16.5" outlineLevel="1" thickBot="1" x14ac:dyDescent="0.3">
      <c r="A66" s="933">
        <v>6351</v>
      </c>
      <c r="B66" s="934" t="s">
        <v>347</v>
      </c>
      <c r="C66" s="935">
        <v>3640000</v>
      </c>
      <c r="D66" s="935">
        <v>5381879</v>
      </c>
      <c r="E66" s="935">
        <v>2930000</v>
      </c>
      <c r="F66" s="935">
        <v>2930000</v>
      </c>
      <c r="G66" s="935">
        <v>3980000</v>
      </c>
      <c r="H66" s="915">
        <f>SUM(I66:O66)+SUM(T66:AA66)+AD66+AG66+SUM(AJ66:AM66)+AP66+AS66+AV66+AY66+BB66+BE66+BH66+BK66+BL66+BO66+BP66+BS66+SUM(BV66:BW66)+CF66+CI66+CL66+CM66+CP66+CS66+CV66+CW66+SUM(DA66:DH66)+BZ66+CC66+SUM(DK66:DM66)+S66</f>
        <v>2944000</v>
      </c>
      <c r="I66" s="936"/>
      <c r="J66" s="916"/>
      <c r="K66" s="916"/>
      <c r="L66" s="916">
        <f>'[2]Všebecná pokladna'!$B$92</f>
        <v>0</v>
      </c>
      <c r="M66" s="916"/>
      <c r="N66" s="916"/>
      <c r="O66" s="492">
        <f t="shared" si="92"/>
        <v>0</v>
      </c>
      <c r="P66" s="916"/>
      <c r="Q66" s="917"/>
      <c r="R66" s="916"/>
      <c r="S66" s="928">
        <f>[5]TSÚ!$B$4</f>
        <v>2944000</v>
      </c>
      <c r="T66" s="916"/>
      <c r="U66" s="916"/>
      <c r="V66" s="916"/>
      <c r="W66" s="916"/>
      <c r="X66" s="916"/>
      <c r="Y66" s="916"/>
      <c r="Z66" s="916"/>
      <c r="AA66" s="916">
        <f t="shared" si="93"/>
        <v>0</v>
      </c>
      <c r="AB66" s="916"/>
      <c r="AC66" s="916"/>
      <c r="AD66" s="916">
        <f t="shared" si="94"/>
        <v>0</v>
      </c>
      <c r="AE66" s="916"/>
      <c r="AF66" s="916"/>
      <c r="AG66" s="916">
        <f t="shared" si="95"/>
        <v>0</v>
      </c>
      <c r="AH66" s="916"/>
      <c r="AI66" s="916"/>
      <c r="AJ66" s="916"/>
      <c r="AK66" s="916"/>
      <c r="AL66" s="916"/>
      <c r="AM66" s="916">
        <f t="shared" si="96"/>
        <v>0</v>
      </c>
      <c r="AN66" s="916"/>
      <c r="AO66" s="916"/>
      <c r="AP66" s="916">
        <f t="shared" si="97"/>
        <v>0</v>
      </c>
      <c r="AQ66" s="916"/>
      <c r="AR66" s="916"/>
      <c r="AS66" s="916">
        <f t="shared" si="98"/>
        <v>0</v>
      </c>
      <c r="AT66" s="916"/>
      <c r="AU66" s="916"/>
      <c r="AV66" s="916">
        <f t="shared" si="99"/>
        <v>0</v>
      </c>
      <c r="AW66" s="916"/>
      <c r="AX66" s="916"/>
      <c r="AY66" s="916">
        <f t="shared" si="100"/>
        <v>0</v>
      </c>
      <c r="AZ66" s="916"/>
      <c r="BA66" s="916"/>
      <c r="BB66" s="916">
        <f t="shared" si="101"/>
        <v>0</v>
      </c>
      <c r="BC66" s="916"/>
      <c r="BD66" s="916"/>
      <c r="BE66" s="916">
        <f t="shared" si="102"/>
        <v>0</v>
      </c>
      <c r="BF66" s="916"/>
      <c r="BG66" s="916"/>
      <c r="BH66" s="916">
        <f t="shared" si="103"/>
        <v>0</v>
      </c>
      <c r="BI66" s="916"/>
      <c r="BJ66" s="916"/>
      <c r="BK66" s="916"/>
      <c r="BL66" s="916">
        <f t="shared" si="104"/>
        <v>0</v>
      </c>
      <c r="BM66" s="916"/>
      <c r="BN66" s="916"/>
      <c r="BO66" s="916"/>
      <c r="BP66" s="916">
        <f t="shared" si="105"/>
        <v>0</v>
      </c>
      <c r="BQ66" s="916"/>
      <c r="BR66" s="916"/>
      <c r="BS66" s="916">
        <f t="shared" si="106"/>
        <v>0</v>
      </c>
      <c r="BT66" s="916"/>
      <c r="BU66" s="916"/>
      <c r="BV66" s="916"/>
      <c r="BW66" s="916">
        <f t="shared" si="107"/>
        <v>0</v>
      </c>
      <c r="BX66" s="916"/>
      <c r="BY66" s="916"/>
      <c r="BZ66" s="916"/>
      <c r="CA66" s="916"/>
      <c r="CB66" s="916"/>
      <c r="CC66" s="916"/>
      <c r="CD66" s="916"/>
      <c r="CE66" s="916"/>
      <c r="CF66" s="916"/>
      <c r="CG66" s="916"/>
      <c r="CH66" s="916"/>
      <c r="CI66" s="916">
        <f t="shared" si="108"/>
        <v>0</v>
      </c>
      <c r="CJ66" s="916"/>
      <c r="CK66" s="916"/>
      <c r="CL66" s="916"/>
      <c r="CM66" s="916">
        <f t="shared" si="109"/>
        <v>0</v>
      </c>
      <c r="CN66" s="916"/>
      <c r="CO66" s="916"/>
      <c r="CP66" s="916">
        <f t="shared" si="110"/>
        <v>0</v>
      </c>
      <c r="CQ66" s="916"/>
      <c r="CR66" s="916"/>
      <c r="CS66" s="916">
        <f t="shared" si="111"/>
        <v>0</v>
      </c>
      <c r="CT66" s="916"/>
      <c r="CU66" s="916"/>
      <c r="CV66" s="916"/>
      <c r="CW66" s="916">
        <f t="shared" si="112"/>
        <v>0</v>
      </c>
      <c r="CX66" s="916"/>
      <c r="CY66" s="916"/>
      <c r="CZ66" s="916"/>
      <c r="DA66" s="916"/>
      <c r="DB66" s="916"/>
      <c r="DC66" s="916"/>
      <c r="DD66" s="916"/>
      <c r="DE66" s="916"/>
      <c r="DF66" s="916"/>
      <c r="DG66" s="916"/>
      <c r="DH66" s="916"/>
      <c r="DI66" s="916"/>
      <c r="DJ66" s="916"/>
      <c r="DK66" s="916"/>
      <c r="DL66" s="916"/>
      <c r="DM66" s="937"/>
      <c r="DN66" s="527">
        <f>+I66+J66+K66+L66+M66+N66+O66+R66+S66+T66+U66+V66+W66+X66+Y66+Z66+AA66+AD66+AG66+AJ66+AK66+AL66+AM66+AP66+AS66+AV66+AY66+BB66+BE66+BH66+BK66+BL66+BO66+BP66+BS66+BV66+BW66+BZ66+CC66+CF66+CI66+CL66+CM66+CP66+CS66+CV66+CW66+DA66+DB66+DC66+DD66+DE66+DG66+DH66+DK66+DL66+DM66</f>
        <v>2944000</v>
      </c>
      <c r="DO66" s="912">
        <f t="shared" si="56"/>
        <v>0</v>
      </c>
      <c r="DP66" s="913"/>
      <c r="DQ66" s="935">
        <f t="shared" si="113"/>
        <v>0</v>
      </c>
      <c r="DS66" s="762"/>
    </row>
    <row r="67" spans="1:123" s="1402" customFormat="1" ht="16.5" outlineLevel="1" thickBot="1" x14ac:dyDescent="0.3">
      <c r="A67" s="2115">
        <v>8115</v>
      </c>
      <c r="B67" s="2116" t="s">
        <v>974</v>
      </c>
      <c r="C67" s="2117">
        <v>772368</v>
      </c>
      <c r="D67" s="2117">
        <v>1164351.1561999917</v>
      </c>
      <c r="E67" s="2117">
        <v>1018791.9635724127</v>
      </c>
      <c r="F67" s="2117">
        <v>418296.18160000443</v>
      </c>
      <c r="G67" s="2117">
        <v>-500354.75040000677</v>
      </c>
      <c r="H67" s="2118">
        <f t="shared" si="91"/>
        <v>-139622.55349998921</v>
      </c>
      <c r="I67" s="2119"/>
      <c r="J67" s="2120"/>
      <c r="K67" s="2121"/>
      <c r="L67" s="1773">
        <f>L75</f>
        <v>-139622.55349998921</v>
      </c>
      <c r="M67" s="2122"/>
      <c r="N67" s="2122"/>
      <c r="O67" s="2121">
        <f t="shared" si="92"/>
        <v>0</v>
      </c>
      <c r="P67" s="2121"/>
      <c r="Q67" s="2120"/>
      <c r="R67" s="2121"/>
      <c r="S67" s="2123">
        <f>+Q67+AO67+BU67+BR67+BN67+CZ67+AC67+AI67+AR67+AU67+AX67+BA67+BD67+BG67+BJ67+BY67+CK67+CO67+CR67+CU67+AF67+DJ67</f>
        <v>0</v>
      </c>
      <c r="T67" s="2121"/>
      <c r="U67" s="2121"/>
      <c r="V67" s="2121"/>
      <c r="W67" s="2121"/>
      <c r="X67" s="2121"/>
      <c r="Y67" s="2121"/>
      <c r="Z67" s="2121"/>
      <c r="AA67" s="2121">
        <f t="shared" si="93"/>
        <v>0</v>
      </c>
      <c r="AB67" s="2121"/>
      <c r="AC67" s="2121"/>
      <c r="AD67" s="2121">
        <f t="shared" si="94"/>
        <v>0</v>
      </c>
      <c r="AE67" s="2121"/>
      <c r="AF67" s="2121"/>
      <c r="AG67" s="2121">
        <f t="shared" si="95"/>
        <v>0</v>
      </c>
      <c r="AH67" s="2121"/>
      <c r="AI67" s="2121"/>
      <c r="AJ67" s="2121"/>
      <c r="AK67" s="2121"/>
      <c r="AL67" s="2121"/>
      <c r="AM67" s="2121">
        <f t="shared" si="96"/>
        <v>0</v>
      </c>
      <c r="AN67" s="2121"/>
      <c r="AO67" s="2121"/>
      <c r="AP67" s="2121">
        <f t="shared" si="97"/>
        <v>0</v>
      </c>
      <c r="AQ67" s="2121"/>
      <c r="AR67" s="2121"/>
      <c r="AS67" s="2121">
        <f t="shared" si="98"/>
        <v>0</v>
      </c>
      <c r="AT67" s="2121"/>
      <c r="AU67" s="2121"/>
      <c r="AV67" s="2121">
        <f t="shared" si="99"/>
        <v>0</v>
      </c>
      <c r="AW67" s="2121"/>
      <c r="AX67" s="2121"/>
      <c r="AY67" s="2121">
        <f t="shared" si="100"/>
        <v>0</v>
      </c>
      <c r="AZ67" s="2121"/>
      <c r="BA67" s="2121"/>
      <c r="BB67" s="2121">
        <f t="shared" si="101"/>
        <v>0</v>
      </c>
      <c r="BC67" s="2121"/>
      <c r="BD67" s="2121"/>
      <c r="BE67" s="2121">
        <f t="shared" si="102"/>
        <v>0</v>
      </c>
      <c r="BF67" s="2121"/>
      <c r="BG67" s="2121"/>
      <c r="BH67" s="2121">
        <f t="shared" si="103"/>
        <v>0</v>
      </c>
      <c r="BI67" s="2121"/>
      <c r="BJ67" s="2121"/>
      <c r="BK67" s="2121"/>
      <c r="BL67" s="2121">
        <f t="shared" si="104"/>
        <v>0</v>
      </c>
      <c r="BM67" s="2121"/>
      <c r="BN67" s="2121"/>
      <c r="BO67" s="2121"/>
      <c r="BP67" s="2121">
        <f t="shared" si="105"/>
        <v>0</v>
      </c>
      <c r="BQ67" s="2121"/>
      <c r="BR67" s="2121"/>
      <c r="BS67" s="2121">
        <f t="shared" si="106"/>
        <v>0</v>
      </c>
      <c r="BT67" s="2121"/>
      <c r="BU67" s="2121"/>
      <c r="BV67" s="2121"/>
      <c r="BW67" s="2121">
        <f t="shared" si="107"/>
        <v>0</v>
      </c>
      <c r="BX67" s="2121"/>
      <c r="BY67" s="2121"/>
      <c r="BZ67" s="2121"/>
      <c r="CA67" s="2121"/>
      <c r="CB67" s="2121"/>
      <c r="CC67" s="2121"/>
      <c r="CD67" s="2121"/>
      <c r="CE67" s="2121"/>
      <c r="CF67" s="2121"/>
      <c r="CG67" s="2121"/>
      <c r="CH67" s="2121"/>
      <c r="CI67" s="2121">
        <f t="shared" si="108"/>
        <v>0</v>
      </c>
      <c r="CJ67" s="2121"/>
      <c r="CK67" s="2121"/>
      <c r="CL67" s="2121"/>
      <c r="CM67" s="2121">
        <f t="shared" si="109"/>
        <v>0</v>
      </c>
      <c r="CN67" s="2121"/>
      <c r="CO67" s="2121"/>
      <c r="CP67" s="2121">
        <f t="shared" si="110"/>
        <v>0</v>
      </c>
      <c r="CQ67" s="2121"/>
      <c r="CR67" s="2121"/>
      <c r="CS67" s="2121">
        <f t="shared" si="111"/>
        <v>0</v>
      </c>
      <c r="CT67" s="2121"/>
      <c r="CU67" s="2121"/>
      <c r="CV67" s="2121"/>
      <c r="CW67" s="2121">
        <f t="shared" si="112"/>
        <v>0</v>
      </c>
      <c r="CX67" s="2121"/>
      <c r="CY67" s="2121"/>
      <c r="CZ67" s="2121"/>
      <c r="DA67" s="2121"/>
      <c r="DB67" s="2121"/>
      <c r="DC67" s="2121"/>
      <c r="DD67" s="2121"/>
      <c r="DE67" s="2121"/>
      <c r="DF67" s="2121"/>
      <c r="DG67" s="2121"/>
      <c r="DH67" s="2121"/>
      <c r="DI67" s="2121"/>
      <c r="DJ67" s="2121"/>
      <c r="DK67" s="2121"/>
      <c r="DL67" s="2121"/>
      <c r="DM67" s="2124"/>
      <c r="DN67" s="667">
        <f t="shared" si="36"/>
        <v>-139622.55349998921</v>
      </c>
      <c r="DO67" s="2125">
        <f t="shared" si="56"/>
        <v>0</v>
      </c>
      <c r="DP67" s="2126"/>
      <c r="DQ67" s="2117">
        <f t="shared" si="113"/>
        <v>0</v>
      </c>
      <c r="DS67" s="987"/>
    </row>
    <row r="68" spans="1:123" ht="15.75" outlineLevel="1" x14ac:dyDescent="0.25">
      <c r="A68" s="559">
        <v>6349</v>
      </c>
      <c r="B68" s="542" t="s">
        <v>347</v>
      </c>
      <c r="C68" s="915">
        <v>1445000</v>
      </c>
      <c r="D68" s="915">
        <v>0</v>
      </c>
      <c r="E68" s="915">
        <v>0</v>
      </c>
      <c r="F68" s="915">
        <v>0</v>
      </c>
      <c r="G68" s="915">
        <v>0</v>
      </c>
      <c r="H68" s="915">
        <f t="shared" ref="H68" si="116">SUM(I68:O68)+SUM(S68:AA68)+AD68+AG68+SUM(AJ68:AM68)+AP68+AS68+AV68+AY68+BB68+BE68+BH68+BK68+BL68+BO68+BP68+BS68+SUM(BV68:BW68)+CF68+CI68+CL68+CM68+CP68+CS68+CV68+CW68+SUM(DA68:DM68)+BZ68+CC68</f>
        <v>0</v>
      </c>
      <c r="I68" s="571"/>
      <c r="J68" s="492"/>
      <c r="K68" s="916"/>
      <c r="L68" s="907"/>
      <c r="M68" s="492"/>
      <c r="N68" s="492"/>
      <c r="O68" s="492">
        <f t="shared" si="92"/>
        <v>0</v>
      </c>
      <c r="P68" s="916"/>
      <c r="Q68" s="917"/>
      <c r="R68" s="492"/>
      <c r="S68" s="927"/>
      <c r="T68" s="492"/>
      <c r="U68" s="492"/>
      <c r="V68" s="492"/>
      <c r="W68" s="492"/>
      <c r="X68" s="492"/>
      <c r="Y68" s="492"/>
      <c r="Z68" s="492"/>
      <c r="AA68" s="492">
        <f t="shared" si="93"/>
        <v>0</v>
      </c>
      <c r="AB68" s="916"/>
      <c r="AC68" s="916"/>
      <c r="AD68" s="492">
        <f t="shared" si="94"/>
        <v>0</v>
      </c>
      <c r="AE68" s="916"/>
      <c r="AF68" s="916"/>
      <c r="AG68" s="492">
        <f t="shared" si="95"/>
        <v>0</v>
      </c>
      <c r="AH68" s="916"/>
      <c r="AI68" s="916"/>
      <c r="AJ68" s="492"/>
      <c r="AK68" s="492"/>
      <c r="AL68" s="492"/>
      <c r="AM68" s="492">
        <f t="shared" si="96"/>
        <v>0</v>
      </c>
      <c r="AN68" s="916"/>
      <c r="AO68" s="916"/>
      <c r="AP68" s="492">
        <f t="shared" si="97"/>
        <v>0</v>
      </c>
      <c r="AQ68" s="916"/>
      <c r="AR68" s="916"/>
      <c r="AS68" s="492">
        <f t="shared" si="98"/>
        <v>0</v>
      </c>
      <c r="AT68" s="916"/>
      <c r="AU68" s="916"/>
      <c r="AV68" s="492">
        <f t="shared" si="99"/>
        <v>0</v>
      </c>
      <c r="AW68" s="916"/>
      <c r="AX68" s="916"/>
      <c r="AY68" s="492">
        <f t="shared" si="100"/>
        <v>0</v>
      </c>
      <c r="AZ68" s="916"/>
      <c r="BA68" s="916"/>
      <c r="BB68" s="492">
        <f t="shared" si="101"/>
        <v>0</v>
      </c>
      <c r="BC68" s="916"/>
      <c r="BD68" s="916"/>
      <c r="BE68" s="492">
        <f t="shared" si="102"/>
        <v>0</v>
      </c>
      <c r="BF68" s="916"/>
      <c r="BG68" s="916"/>
      <c r="BH68" s="492">
        <f t="shared" si="103"/>
        <v>0</v>
      </c>
      <c r="BI68" s="916"/>
      <c r="BJ68" s="916"/>
      <c r="BK68" s="492"/>
      <c r="BL68" s="492">
        <f t="shared" si="104"/>
        <v>0</v>
      </c>
      <c r="BM68" s="916"/>
      <c r="BN68" s="916"/>
      <c r="BO68" s="492"/>
      <c r="BP68" s="492">
        <f t="shared" si="105"/>
        <v>0</v>
      </c>
      <c r="BQ68" s="916"/>
      <c r="BR68" s="916"/>
      <c r="BS68" s="492">
        <f t="shared" si="106"/>
        <v>0</v>
      </c>
      <c r="BT68" s="916"/>
      <c r="BU68" s="916"/>
      <c r="BV68" s="492"/>
      <c r="BW68" s="492">
        <f t="shared" si="107"/>
        <v>0</v>
      </c>
      <c r="BX68" s="916"/>
      <c r="BY68" s="916"/>
      <c r="BZ68" s="492"/>
      <c r="CA68" s="916"/>
      <c r="CB68" s="916"/>
      <c r="CC68" s="492"/>
      <c r="CD68" s="916"/>
      <c r="CE68" s="916"/>
      <c r="CF68" s="492"/>
      <c r="CG68" s="916"/>
      <c r="CH68" s="916"/>
      <c r="CI68" s="492">
        <f t="shared" si="108"/>
        <v>0</v>
      </c>
      <c r="CJ68" s="916"/>
      <c r="CK68" s="916"/>
      <c r="CL68" s="492"/>
      <c r="CM68" s="492">
        <f t="shared" si="109"/>
        <v>0</v>
      </c>
      <c r="CN68" s="916"/>
      <c r="CO68" s="916"/>
      <c r="CP68" s="492">
        <f t="shared" si="110"/>
        <v>0</v>
      </c>
      <c r="CQ68" s="916"/>
      <c r="CR68" s="916"/>
      <c r="CS68" s="492">
        <f t="shared" si="111"/>
        <v>0</v>
      </c>
      <c r="CT68" s="916"/>
      <c r="CU68" s="916"/>
      <c r="CV68" s="492"/>
      <c r="CW68" s="492">
        <f t="shared" si="112"/>
        <v>0</v>
      </c>
      <c r="CX68" s="916"/>
      <c r="CY68" s="916"/>
      <c r="CZ68" s="916"/>
      <c r="DA68" s="492"/>
      <c r="DB68" s="492"/>
      <c r="DC68" s="492"/>
      <c r="DD68" s="492"/>
      <c r="DE68" s="492"/>
      <c r="DF68" s="492"/>
      <c r="DG68" s="492"/>
      <c r="DH68" s="492"/>
      <c r="DI68" s="916"/>
      <c r="DJ68" s="916"/>
      <c r="DK68" s="492"/>
      <c r="DL68" s="492"/>
      <c r="DM68" s="919"/>
      <c r="DN68" s="527">
        <f t="shared" si="36"/>
        <v>0</v>
      </c>
      <c r="DO68" s="912">
        <f t="shared" si="56"/>
        <v>0</v>
      </c>
      <c r="DP68" s="913"/>
      <c r="DQ68" s="915">
        <f t="shared" si="113"/>
        <v>0</v>
      </c>
      <c r="DS68" s="762"/>
    </row>
    <row r="69" spans="1:123" s="616" customFormat="1" ht="17.25" thickBot="1" x14ac:dyDescent="0.35">
      <c r="A69" s="550" t="s">
        <v>143</v>
      </c>
      <c r="B69" s="551" t="s">
        <v>144</v>
      </c>
      <c r="C69" s="920">
        <v>117627444.96000001</v>
      </c>
      <c r="D69" s="920">
        <f>SUM(D57:D68)</f>
        <v>86219019.156199992</v>
      </c>
      <c r="E69" s="920">
        <v>23435687.963572413</v>
      </c>
      <c r="F69" s="920">
        <v>30054892.181600004</v>
      </c>
      <c r="G69" s="920">
        <v>48120814.249599993</v>
      </c>
      <c r="H69" s="920">
        <f>SUM(H57:H68)</f>
        <v>16056486.12650001</v>
      </c>
      <c r="I69" s="556">
        <f>SUM(I57:I68)</f>
        <v>0</v>
      </c>
      <c r="J69" s="554">
        <f>SUM(J57:J68)</f>
        <v>0</v>
      </c>
      <c r="K69" s="554">
        <f>SUM(K57:K68)</f>
        <v>0</v>
      </c>
      <c r="L69" s="554">
        <f t="shared" ref="L69:R69" si="117">SUM(L57:L68)</f>
        <v>-59622.553499989212</v>
      </c>
      <c r="M69" s="554">
        <f t="shared" si="117"/>
        <v>0</v>
      </c>
      <c r="N69" s="554">
        <f t="shared" si="117"/>
        <v>0</v>
      </c>
      <c r="O69" s="554">
        <f t="shared" si="117"/>
        <v>235000</v>
      </c>
      <c r="P69" s="921">
        <f t="shared" si="117"/>
        <v>235000</v>
      </c>
      <c r="Q69" s="922">
        <f t="shared" si="117"/>
        <v>0</v>
      </c>
      <c r="R69" s="554">
        <f t="shared" si="117"/>
        <v>0</v>
      </c>
      <c r="S69" s="923">
        <f>SUM(S66:S68)</f>
        <v>2944000</v>
      </c>
      <c r="T69" s="554">
        <f t="shared" ref="T69:AY69" si="118">SUM(T57:T68)</f>
        <v>0</v>
      </c>
      <c r="U69" s="554">
        <f t="shared" si="118"/>
        <v>0</v>
      </c>
      <c r="V69" s="554">
        <f t="shared" si="118"/>
        <v>0</v>
      </c>
      <c r="W69" s="554">
        <f t="shared" si="118"/>
        <v>0</v>
      </c>
      <c r="X69" s="554">
        <f t="shared" si="118"/>
        <v>0</v>
      </c>
      <c r="Y69" s="554">
        <f t="shared" si="118"/>
        <v>0</v>
      </c>
      <c r="Z69" s="554">
        <f t="shared" si="118"/>
        <v>0</v>
      </c>
      <c r="AA69" s="554">
        <f t="shared" si="118"/>
        <v>0</v>
      </c>
      <c r="AB69" s="921">
        <f t="shared" si="118"/>
        <v>0</v>
      </c>
      <c r="AC69" s="921">
        <f t="shared" si="118"/>
        <v>0</v>
      </c>
      <c r="AD69" s="554">
        <f t="shared" si="118"/>
        <v>6050000</v>
      </c>
      <c r="AE69" s="921">
        <f t="shared" si="118"/>
        <v>6050000</v>
      </c>
      <c r="AF69" s="921">
        <f t="shared" si="118"/>
        <v>0</v>
      </c>
      <c r="AG69" s="554">
        <f t="shared" si="118"/>
        <v>60000</v>
      </c>
      <c r="AH69" s="921">
        <f t="shared" si="118"/>
        <v>60000</v>
      </c>
      <c r="AI69" s="921">
        <f t="shared" si="118"/>
        <v>0</v>
      </c>
      <c r="AJ69" s="554">
        <f t="shared" si="118"/>
        <v>700000</v>
      </c>
      <c r="AK69" s="554">
        <f t="shared" si="118"/>
        <v>0</v>
      </c>
      <c r="AL69" s="554">
        <f t="shared" si="118"/>
        <v>0</v>
      </c>
      <c r="AM69" s="554">
        <f t="shared" si="118"/>
        <v>0</v>
      </c>
      <c r="AN69" s="921">
        <f t="shared" si="118"/>
        <v>0</v>
      </c>
      <c r="AO69" s="921">
        <f t="shared" si="118"/>
        <v>0</v>
      </c>
      <c r="AP69" s="554">
        <f t="shared" si="118"/>
        <v>100000</v>
      </c>
      <c r="AQ69" s="921">
        <f t="shared" si="118"/>
        <v>100000</v>
      </c>
      <c r="AR69" s="921">
        <f t="shared" si="118"/>
        <v>0</v>
      </c>
      <c r="AS69" s="554">
        <f t="shared" si="118"/>
        <v>60000</v>
      </c>
      <c r="AT69" s="921">
        <f t="shared" si="118"/>
        <v>60000</v>
      </c>
      <c r="AU69" s="921">
        <f t="shared" si="118"/>
        <v>0</v>
      </c>
      <c r="AV69" s="554">
        <f t="shared" si="118"/>
        <v>30000</v>
      </c>
      <c r="AW69" s="921">
        <f t="shared" si="118"/>
        <v>30000</v>
      </c>
      <c r="AX69" s="921">
        <f t="shared" si="118"/>
        <v>0</v>
      </c>
      <c r="AY69" s="554">
        <f t="shared" si="118"/>
        <v>0</v>
      </c>
      <c r="AZ69" s="921">
        <f t="shared" ref="AZ69:BZ69" si="119">SUM(AZ57:AZ68)</f>
        <v>0</v>
      </c>
      <c r="BA69" s="921">
        <f t="shared" si="119"/>
        <v>0</v>
      </c>
      <c r="BB69" s="554">
        <f t="shared" si="119"/>
        <v>0</v>
      </c>
      <c r="BC69" s="921">
        <f t="shared" si="119"/>
        <v>0</v>
      </c>
      <c r="BD69" s="921">
        <f t="shared" si="119"/>
        <v>0</v>
      </c>
      <c r="BE69" s="554">
        <f t="shared" si="119"/>
        <v>0</v>
      </c>
      <c r="BF69" s="921">
        <f t="shared" si="119"/>
        <v>0</v>
      </c>
      <c r="BG69" s="921">
        <f t="shared" si="119"/>
        <v>0</v>
      </c>
      <c r="BH69" s="554">
        <f t="shared" si="119"/>
        <v>0</v>
      </c>
      <c r="BI69" s="921">
        <f t="shared" si="119"/>
        <v>0</v>
      </c>
      <c r="BJ69" s="921">
        <f t="shared" si="119"/>
        <v>0</v>
      </c>
      <c r="BK69" s="554">
        <f t="shared" si="119"/>
        <v>0</v>
      </c>
      <c r="BL69" s="554">
        <f t="shared" si="119"/>
        <v>30000</v>
      </c>
      <c r="BM69" s="921">
        <f t="shared" si="119"/>
        <v>30000</v>
      </c>
      <c r="BN69" s="921">
        <f t="shared" si="119"/>
        <v>0</v>
      </c>
      <c r="BO69" s="554">
        <f t="shared" si="119"/>
        <v>250000</v>
      </c>
      <c r="BP69" s="554">
        <f t="shared" si="119"/>
        <v>660000</v>
      </c>
      <c r="BQ69" s="921">
        <f t="shared" si="119"/>
        <v>660000</v>
      </c>
      <c r="BR69" s="921">
        <f t="shared" si="119"/>
        <v>0</v>
      </c>
      <c r="BS69" s="554">
        <f t="shared" si="119"/>
        <v>1080000</v>
      </c>
      <c r="BT69" s="921">
        <f t="shared" si="119"/>
        <v>1080000</v>
      </c>
      <c r="BU69" s="921">
        <f t="shared" si="119"/>
        <v>0</v>
      </c>
      <c r="BV69" s="554">
        <f t="shared" si="119"/>
        <v>0</v>
      </c>
      <c r="BW69" s="554">
        <f t="shared" si="119"/>
        <v>0</v>
      </c>
      <c r="BX69" s="921">
        <f t="shared" si="119"/>
        <v>0</v>
      </c>
      <c r="BY69" s="921">
        <f t="shared" si="119"/>
        <v>0</v>
      </c>
      <c r="BZ69" s="554">
        <f t="shared" si="119"/>
        <v>0</v>
      </c>
      <c r="CA69" s="921"/>
      <c r="CB69" s="921"/>
      <c r="CC69" s="554">
        <f>SUM(CC57:CC68)</f>
        <v>850000</v>
      </c>
      <c r="CD69" s="921"/>
      <c r="CE69" s="921"/>
      <c r="CF69" s="554">
        <f>SUM(CF57:CF68)</f>
        <v>0</v>
      </c>
      <c r="CG69" s="921"/>
      <c r="CH69" s="921"/>
      <c r="CI69" s="554">
        <f t="shared" ref="CI69:DM69" si="120">SUM(CI57:CI68)</f>
        <v>0</v>
      </c>
      <c r="CJ69" s="921">
        <f t="shared" si="120"/>
        <v>0</v>
      </c>
      <c r="CK69" s="921">
        <f t="shared" si="120"/>
        <v>0</v>
      </c>
      <c r="CL69" s="554">
        <f t="shared" si="120"/>
        <v>0</v>
      </c>
      <c r="CM69" s="554">
        <f t="shared" si="120"/>
        <v>0</v>
      </c>
      <c r="CN69" s="921">
        <f t="shared" si="120"/>
        <v>0</v>
      </c>
      <c r="CO69" s="921">
        <f t="shared" si="120"/>
        <v>0</v>
      </c>
      <c r="CP69" s="554">
        <f t="shared" si="120"/>
        <v>0</v>
      </c>
      <c r="CQ69" s="921">
        <f t="shared" si="120"/>
        <v>0</v>
      </c>
      <c r="CR69" s="921">
        <f t="shared" si="120"/>
        <v>0</v>
      </c>
      <c r="CS69" s="554">
        <f t="shared" si="120"/>
        <v>0</v>
      </c>
      <c r="CT69" s="921">
        <f t="shared" si="120"/>
        <v>0</v>
      </c>
      <c r="CU69" s="921">
        <f t="shared" si="120"/>
        <v>0</v>
      </c>
      <c r="CV69" s="554">
        <f t="shared" si="120"/>
        <v>2851108.68</v>
      </c>
      <c r="CW69" s="554">
        <f t="shared" si="120"/>
        <v>130000</v>
      </c>
      <c r="CX69" s="921">
        <f t="shared" si="120"/>
        <v>130000</v>
      </c>
      <c r="CY69" s="921">
        <f t="shared" si="120"/>
        <v>0</v>
      </c>
      <c r="CZ69" s="921">
        <f t="shared" si="120"/>
        <v>0</v>
      </c>
      <c r="DA69" s="554">
        <f t="shared" si="120"/>
        <v>26000</v>
      </c>
      <c r="DB69" s="554">
        <f t="shared" si="120"/>
        <v>0</v>
      </c>
      <c r="DC69" s="554">
        <f t="shared" si="120"/>
        <v>0</v>
      </c>
      <c r="DD69" s="554">
        <f t="shared" si="120"/>
        <v>0</v>
      </c>
      <c r="DE69" s="554">
        <f t="shared" si="120"/>
        <v>0</v>
      </c>
      <c r="DF69" s="554">
        <f t="shared" si="120"/>
        <v>0</v>
      </c>
      <c r="DG69" s="554">
        <f t="shared" si="120"/>
        <v>0</v>
      </c>
      <c r="DH69" s="554">
        <f t="shared" si="120"/>
        <v>0</v>
      </c>
      <c r="DI69" s="921">
        <f t="shared" ref="DI69:DJ69" si="121">SUM(DI57:DI68)</f>
        <v>0</v>
      </c>
      <c r="DJ69" s="921">
        <f t="shared" si="121"/>
        <v>0</v>
      </c>
      <c r="DK69" s="554">
        <f t="shared" si="120"/>
        <v>60000</v>
      </c>
      <c r="DL69" s="554">
        <f t="shared" si="120"/>
        <v>0</v>
      </c>
      <c r="DM69" s="924">
        <f t="shared" si="120"/>
        <v>0</v>
      </c>
      <c r="DN69" s="527"/>
      <c r="DO69" s="912"/>
      <c r="DP69" s="913"/>
      <c r="DQ69" s="925">
        <f>SUM(DQ57:DQ68)</f>
        <v>0</v>
      </c>
      <c r="DS69" s="762"/>
    </row>
    <row r="70" spans="1:123" ht="15.75" outlineLevel="1" x14ac:dyDescent="0.25">
      <c r="A70" s="559"/>
      <c r="B70" s="542"/>
      <c r="C70" s="949"/>
      <c r="D70" s="949"/>
      <c r="E70" s="949"/>
      <c r="F70" s="949"/>
      <c r="G70" s="949"/>
      <c r="H70" s="949"/>
      <c r="I70" s="963"/>
      <c r="J70" s="957"/>
      <c r="K70" s="957"/>
      <c r="L70" s="957"/>
      <c r="M70" s="957"/>
      <c r="N70" s="957"/>
      <c r="O70" s="957">
        <f t="shared" ref="O70:O71" si="122">+P70+Q70</f>
        <v>0</v>
      </c>
      <c r="P70" s="958"/>
      <c r="Q70" s="959"/>
      <c r="R70" s="957"/>
      <c r="S70" s="960">
        <f t="shared" ref="S70:S71" si="123">+Q70+AO70+BU70+BR70+BN70+CZ70+AC70+AI70+AR70+AU70+AX70+BA70+BD70+BG70+BJ70+BY70+CK70+CO70+CR70+CU70+AF70+DJ70</f>
        <v>0</v>
      </c>
      <c r="T70" s="957"/>
      <c r="U70" s="957"/>
      <c r="V70" s="957"/>
      <c r="W70" s="957"/>
      <c r="X70" s="957"/>
      <c r="Y70" s="957"/>
      <c r="Z70" s="957"/>
      <c r="AA70" s="957">
        <f t="shared" ref="AA70:AA71" si="124">+AB70+AC70</f>
        <v>0</v>
      </c>
      <c r="AB70" s="958"/>
      <c r="AC70" s="958"/>
      <c r="AD70" s="957">
        <f t="shared" ref="AD70:AD71" si="125">+AE70+AF70</f>
        <v>0</v>
      </c>
      <c r="AE70" s="958"/>
      <c r="AF70" s="958"/>
      <c r="AG70" s="957">
        <f t="shared" ref="AG70:AG71" si="126">+AH70+AI70</f>
        <v>0</v>
      </c>
      <c r="AH70" s="958"/>
      <c r="AI70" s="958"/>
      <c r="AJ70" s="957"/>
      <c r="AK70" s="957"/>
      <c r="AL70" s="957"/>
      <c r="AM70" s="957">
        <f t="shared" ref="AM70:AM71" si="127">+AN70+AO70</f>
        <v>0</v>
      </c>
      <c r="AN70" s="958"/>
      <c r="AO70" s="958"/>
      <c r="AP70" s="957">
        <f t="shared" ref="AP70:AP71" si="128">+AQ70+AR70</f>
        <v>0</v>
      </c>
      <c r="AQ70" s="958"/>
      <c r="AR70" s="958"/>
      <c r="AS70" s="957">
        <f t="shared" ref="AS70:AS71" si="129">+AT70+AU70</f>
        <v>0</v>
      </c>
      <c r="AT70" s="958"/>
      <c r="AU70" s="958"/>
      <c r="AV70" s="957">
        <f t="shared" ref="AV70:AV71" si="130">+AW70+AX70</f>
        <v>0</v>
      </c>
      <c r="AW70" s="958"/>
      <c r="AX70" s="958"/>
      <c r="AY70" s="957">
        <f t="shared" ref="AY70:AY71" si="131">+AZ70+BA70</f>
        <v>0</v>
      </c>
      <c r="AZ70" s="958"/>
      <c r="BA70" s="958"/>
      <c r="BB70" s="957">
        <f t="shared" ref="BB70:BB71" si="132">+BC70+BD70</f>
        <v>0</v>
      </c>
      <c r="BC70" s="958"/>
      <c r="BD70" s="958"/>
      <c r="BE70" s="957">
        <f t="shared" ref="BE70:BE71" si="133">+BF70+BG70</f>
        <v>0</v>
      </c>
      <c r="BF70" s="958"/>
      <c r="BG70" s="958"/>
      <c r="BH70" s="957">
        <f t="shared" ref="BH70:BH71" si="134">+BI70+BJ70</f>
        <v>0</v>
      </c>
      <c r="BI70" s="958"/>
      <c r="BJ70" s="958"/>
      <c r="BK70" s="957"/>
      <c r="BL70" s="957">
        <f t="shared" ref="BL70:BL71" si="135">+BM70+BN70</f>
        <v>0</v>
      </c>
      <c r="BM70" s="958"/>
      <c r="BN70" s="958"/>
      <c r="BO70" s="957"/>
      <c r="BP70" s="957">
        <f t="shared" ref="BP70:BP71" si="136">+BQ70+BR70</f>
        <v>0</v>
      </c>
      <c r="BQ70" s="958"/>
      <c r="BR70" s="958"/>
      <c r="BS70" s="957">
        <f t="shared" ref="BS70:BS71" si="137">+BT70+BU70</f>
        <v>0</v>
      </c>
      <c r="BT70" s="958"/>
      <c r="BU70" s="958"/>
      <c r="BV70" s="957"/>
      <c r="BW70" s="957">
        <f t="shared" ref="BW70:BW71" si="138">+BX70+BY70</f>
        <v>0</v>
      </c>
      <c r="BX70" s="958"/>
      <c r="BY70" s="958"/>
      <c r="BZ70" s="957"/>
      <c r="CA70" s="958"/>
      <c r="CB70" s="958"/>
      <c r="CC70" s="957"/>
      <c r="CD70" s="958"/>
      <c r="CE70" s="958"/>
      <c r="CF70" s="957"/>
      <c r="CG70" s="958"/>
      <c r="CH70" s="958"/>
      <c r="CI70" s="957">
        <f t="shared" ref="CI70:CI71" si="139">+CJ70+CK70</f>
        <v>0</v>
      </c>
      <c r="CJ70" s="958"/>
      <c r="CK70" s="958"/>
      <c r="CL70" s="957"/>
      <c r="CM70" s="957">
        <f t="shared" ref="CM70:CM71" si="140">+CN70+CO70</f>
        <v>0</v>
      </c>
      <c r="CN70" s="958"/>
      <c r="CO70" s="958"/>
      <c r="CP70" s="957">
        <f t="shared" ref="CP70:CP71" si="141">+CQ70+CR70</f>
        <v>0</v>
      </c>
      <c r="CQ70" s="958"/>
      <c r="CR70" s="958"/>
      <c r="CS70" s="957">
        <f t="shared" ref="CS70:CS71" si="142">+CT70+CU70</f>
        <v>0</v>
      </c>
      <c r="CT70" s="958"/>
      <c r="CU70" s="958"/>
      <c r="CV70" s="957"/>
      <c r="CW70" s="957">
        <f t="shared" ref="CW70:CW71" si="143">+CX70+CY70+CZ70</f>
        <v>0</v>
      </c>
      <c r="CX70" s="958"/>
      <c r="CY70" s="958"/>
      <c r="CZ70" s="958"/>
      <c r="DA70" s="957"/>
      <c r="DB70" s="957"/>
      <c r="DC70" s="957"/>
      <c r="DD70" s="957"/>
      <c r="DE70" s="957"/>
      <c r="DF70" s="957"/>
      <c r="DG70" s="957"/>
      <c r="DH70" s="957"/>
      <c r="DI70" s="958"/>
      <c r="DJ70" s="958"/>
      <c r="DK70" s="957"/>
      <c r="DL70" s="957"/>
      <c r="DM70" s="961"/>
      <c r="DN70" s="527">
        <f t="shared" si="36"/>
        <v>0</v>
      </c>
      <c r="DO70" s="912">
        <f t="shared" si="56"/>
        <v>0</v>
      </c>
      <c r="DP70" s="913"/>
      <c r="DQ70" s="949"/>
      <c r="DS70" s="762"/>
    </row>
    <row r="71" spans="1:123" ht="15.75" outlineLevel="1" x14ac:dyDescent="0.25">
      <c r="A71" s="964" t="s">
        <v>145</v>
      </c>
      <c r="B71" s="948" t="s">
        <v>146</v>
      </c>
      <c r="C71" s="940">
        <v>11409092</v>
      </c>
      <c r="D71" s="940">
        <v>33123376</v>
      </c>
      <c r="E71" s="940">
        <v>16551944</v>
      </c>
      <c r="F71" s="940">
        <v>16551944</v>
      </c>
      <c r="G71" s="940">
        <v>17055284</v>
      </c>
      <c r="H71" s="940">
        <f>SUM(I71:O71)+SUM(T71:AA71)+AD71+AG71+SUM(AJ71:AM71)+AP71+AS71+AV71+AY71+BB71+BE71+BH71+BK71+BL71+BO71+BP71+BS71+SUM(BV71:BW71)+CF71+CI71+CL71+CM71+CP71+CS71+CV71+CW71+SUM(DA71:DH71)+BZ71+CC71+SUM(DK71:DM71)</f>
        <v>19016744</v>
      </c>
      <c r="I71" s="966"/>
      <c r="J71" s="942">
        <f>+'[2]Splátky jistiny'!$B$4</f>
        <v>19016744</v>
      </c>
      <c r="K71" s="942"/>
      <c r="L71" s="967"/>
      <c r="M71" s="967"/>
      <c r="N71" s="967"/>
      <c r="O71" s="967">
        <f t="shared" si="122"/>
        <v>0</v>
      </c>
      <c r="P71" s="968"/>
      <c r="Q71" s="969"/>
      <c r="R71" s="967"/>
      <c r="S71" s="970">
        <f t="shared" si="123"/>
        <v>0</v>
      </c>
      <c r="T71" s="967"/>
      <c r="U71" s="967"/>
      <c r="V71" s="967"/>
      <c r="W71" s="967"/>
      <c r="X71" s="967"/>
      <c r="Y71" s="967"/>
      <c r="Z71" s="967"/>
      <c r="AA71" s="967">
        <f t="shared" si="124"/>
        <v>0</v>
      </c>
      <c r="AB71" s="968"/>
      <c r="AC71" s="968"/>
      <c r="AD71" s="967">
        <f t="shared" si="125"/>
        <v>0</v>
      </c>
      <c r="AE71" s="968"/>
      <c r="AF71" s="968"/>
      <c r="AG71" s="967">
        <f t="shared" si="126"/>
        <v>0</v>
      </c>
      <c r="AH71" s="968"/>
      <c r="AI71" s="968"/>
      <c r="AJ71" s="967"/>
      <c r="AK71" s="967"/>
      <c r="AL71" s="967"/>
      <c r="AM71" s="967">
        <f t="shared" si="127"/>
        <v>0</v>
      </c>
      <c r="AN71" s="968"/>
      <c r="AO71" s="968"/>
      <c r="AP71" s="967">
        <f t="shared" si="128"/>
        <v>0</v>
      </c>
      <c r="AQ71" s="968"/>
      <c r="AR71" s="968"/>
      <c r="AS71" s="967">
        <f t="shared" si="129"/>
        <v>0</v>
      </c>
      <c r="AT71" s="968"/>
      <c r="AU71" s="968"/>
      <c r="AV71" s="967">
        <f t="shared" si="130"/>
        <v>0</v>
      </c>
      <c r="AW71" s="968"/>
      <c r="AX71" s="968"/>
      <c r="AY71" s="967">
        <f t="shared" si="131"/>
        <v>0</v>
      </c>
      <c r="AZ71" s="968"/>
      <c r="BA71" s="968"/>
      <c r="BB71" s="967">
        <f t="shared" si="132"/>
        <v>0</v>
      </c>
      <c r="BC71" s="968"/>
      <c r="BD71" s="968"/>
      <c r="BE71" s="967">
        <f t="shared" si="133"/>
        <v>0</v>
      </c>
      <c r="BF71" s="968"/>
      <c r="BG71" s="968"/>
      <c r="BH71" s="967">
        <f t="shared" si="134"/>
        <v>0</v>
      </c>
      <c r="BI71" s="968"/>
      <c r="BJ71" s="968"/>
      <c r="BK71" s="967"/>
      <c r="BL71" s="967">
        <f t="shared" si="135"/>
        <v>0</v>
      </c>
      <c r="BM71" s="968"/>
      <c r="BN71" s="968"/>
      <c r="BO71" s="967"/>
      <c r="BP71" s="967">
        <f t="shared" si="136"/>
        <v>0</v>
      </c>
      <c r="BQ71" s="968"/>
      <c r="BR71" s="968"/>
      <c r="BS71" s="967">
        <f t="shared" si="137"/>
        <v>0</v>
      </c>
      <c r="BT71" s="968"/>
      <c r="BU71" s="968"/>
      <c r="BV71" s="967"/>
      <c r="BW71" s="967">
        <f t="shared" si="138"/>
        <v>0</v>
      </c>
      <c r="BX71" s="968"/>
      <c r="BY71" s="968"/>
      <c r="BZ71" s="967"/>
      <c r="CA71" s="968"/>
      <c r="CB71" s="968"/>
      <c r="CC71" s="967"/>
      <c r="CD71" s="968"/>
      <c r="CE71" s="968"/>
      <c r="CF71" s="967"/>
      <c r="CG71" s="968"/>
      <c r="CH71" s="968"/>
      <c r="CI71" s="967">
        <f t="shared" si="139"/>
        <v>0</v>
      </c>
      <c r="CJ71" s="968"/>
      <c r="CK71" s="968"/>
      <c r="CL71" s="967"/>
      <c r="CM71" s="967">
        <f t="shared" si="140"/>
        <v>0</v>
      </c>
      <c r="CN71" s="968"/>
      <c r="CO71" s="968"/>
      <c r="CP71" s="967">
        <f t="shared" si="141"/>
        <v>0</v>
      </c>
      <c r="CQ71" s="968"/>
      <c r="CR71" s="968"/>
      <c r="CS71" s="967">
        <f t="shared" si="142"/>
        <v>0</v>
      </c>
      <c r="CT71" s="968"/>
      <c r="CU71" s="968"/>
      <c r="CV71" s="967"/>
      <c r="CW71" s="967">
        <f t="shared" si="143"/>
        <v>0</v>
      </c>
      <c r="CX71" s="968"/>
      <c r="CY71" s="968"/>
      <c r="CZ71" s="968"/>
      <c r="DA71" s="967"/>
      <c r="DB71" s="967"/>
      <c r="DC71" s="967"/>
      <c r="DD71" s="967"/>
      <c r="DE71" s="967"/>
      <c r="DF71" s="967"/>
      <c r="DG71" s="967"/>
      <c r="DH71" s="967"/>
      <c r="DI71" s="968"/>
      <c r="DJ71" s="968"/>
      <c r="DK71" s="967"/>
      <c r="DL71" s="967"/>
      <c r="DM71" s="971"/>
      <c r="DN71" s="527">
        <f t="shared" si="36"/>
        <v>19016744</v>
      </c>
      <c r="DO71" s="912">
        <f t="shared" si="56"/>
        <v>0</v>
      </c>
      <c r="DP71" s="913"/>
      <c r="DQ71" s="940"/>
      <c r="DS71" s="762"/>
    </row>
    <row r="72" spans="1:123" s="616" customFormat="1" ht="16.5" customHeight="1" thickBot="1" x14ac:dyDescent="0.35">
      <c r="A72" s="550" t="s">
        <v>147</v>
      </c>
      <c r="B72" s="551" t="s">
        <v>146</v>
      </c>
      <c r="C72" s="920">
        <v>11409092</v>
      </c>
      <c r="D72" s="920">
        <f>+D71</f>
        <v>33123376</v>
      </c>
      <c r="E72" s="920">
        <v>16551944</v>
      </c>
      <c r="F72" s="920">
        <v>16551944</v>
      </c>
      <c r="G72" s="920">
        <v>17055284</v>
      </c>
      <c r="H72" s="920">
        <f>+H71</f>
        <v>19016744</v>
      </c>
      <c r="I72" s="556">
        <f t="shared" ref="I72:DM72" si="144">+I71</f>
        <v>0</v>
      </c>
      <c r="J72" s="554">
        <f t="shared" si="144"/>
        <v>19016744</v>
      </c>
      <c r="K72" s="554">
        <f t="shared" si="144"/>
        <v>0</v>
      </c>
      <c r="L72" s="554">
        <f t="shared" si="144"/>
        <v>0</v>
      </c>
      <c r="M72" s="554">
        <f t="shared" si="144"/>
        <v>0</v>
      </c>
      <c r="N72" s="554">
        <f t="shared" ref="N72" si="145">+N71</f>
        <v>0</v>
      </c>
      <c r="O72" s="554">
        <f t="shared" si="144"/>
        <v>0</v>
      </c>
      <c r="P72" s="921">
        <f>+P71</f>
        <v>0</v>
      </c>
      <c r="Q72" s="922">
        <f>+Q71</f>
        <v>0</v>
      </c>
      <c r="R72" s="554">
        <f t="shared" ref="R72" si="146">+R71</f>
        <v>0</v>
      </c>
      <c r="S72" s="923">
        <f t="shared" si="144"/>
        <v>0</v>
      </c>
      <c r="T72" s="554">
        <f t="shared" si="144"/>
        <v>0</v>
      </c>
      <c r="U72" s="554">
        <f t="shared" si="144"/>
        <v>0</v>
      </c>
      <c r="V72" s="554">
        <f t="shared" si="144"/>
        <v>0</v>
      </c>
      <c r="W72" s="554">
        <f t="shared" si="144"/>
        <v>0</v>
      </c>
      <c r="X72" s="554">
        <f t="shared" si="144"/>
        <v>0</v>
      </c>
      <c r="Y72" s="554">
        <f t="shared" si="144"/>
        <v>0</v>
      </c>
      <c r="Z72" s="554">
        <f t="shared" si="144"/>
        <v>0</v>
      </c>
      <c r="AA72" s="554">
        <f t="shared" si="144"/>
        <v>0</v>
      </c>
      <c r="AB72" s="921">
        <f>+AB71</f>
        <v>0</v>
      </c>
      <c r="AC72" s="921">
        <f>+AC71</f>
        <v>0</v>
      </c>
      <c r="AD72" s="554">
        <f t="shared" si="144"/>
        <v>0</v>
      </c>
      <c r="AE72" s="921">
        <f>+AE71</f>
        <v>0</v>
      </c>
      <c r="AF72" s="921">
        <f>+AF71</f>
        <v>0</v>
      </c>
      <c r="AG72" s="554">
        <f t="shared" si="144"/>
        <v>0</v>
      </c>
      <c r="AH72" s="921">
        <f>+AH71</f>
        <v>0</v>
      </c>
      <c r="AI72" s="921">
        <f>+AI71</f>
        <v>0</v>
      </c>
      <c r="AJ72" s="554">
        <f t="shared" si="144"/>
        <v>0</v>
      </c>
      <c r="AK72" s="554">
        <f t="shared" si="144"/>
        <v>0</v>
      </c>
      <c r="AL72" s="554">
        <f t="shared" si="144"/>
        <v>0</v>
      </c>
      <c r="AM72" s="554">
        <f t="shared" si="144"/>
        <v>0</v>
      </c>
      <c r="AN72" s="921">
        <f>+AN71</f>
        <v>0</v>
      </c>
      <c r="AO72" s="921">
        <f>+AO71</f>
        <v>0</v>
      </c>
      <c r="AP72" s="554">
        <f t="shared" si="144"/>
        <v>0</v>
      </c>
      <c r="AQ72" s="921">
        <f>+AQ71</f>
        <v>0</v>
      </c>
      <c r="AR72" s="921">
        <f>+AR71</f>
        <v>0</v>
      </c>
      <c r="AS72" s="554">
        <f t="shared" si="144"/>
        <v>0</v>
      </c>
      <c r="AT72" s="921">
        <f t="shared" si="144"/>
        <v>0</v>
      </c>
      <c r="AU72" s="921">
        <f t="shared" si="144"/>
        <v>0</v>
      </c>
      <c r="AV72" s="554">
        <f t="shared" si="144"/>
        <v>0</v>
      </c>
      <c r="AW72" s="921">
        <f t="shared" si="144"/>
        <v>0</v>
      </c>
      <c r="AX72" s="921">
        <f t="shared" si="144"/>
        <v>0</v>
      </c>
      <c r="AY72" s="554">
        <f t="shared" si="144"/>
        <v>0</v>
      </c>
      <c r="AZ72" s="921">
        <f t="shared" si="144"/>
        <v>0</v>
      </c>
      <c r="BA72" s="921">
        <f t="shared" si="144"/>
        <v>0</v>
      </c>
      <c r="BB72" s="554">
        <f t="shared" si="144"/>
        <v>0</v>
      </c>
      <c r="BC72" s="921">
        <f t="shared" si="144"/>
        <v>0</v>
      </c>
      <c r="BD72" s="921">
        <f t="shared" si="144"/>
        <v>0</v>
      </c>
      <c r="BE72" s="554">
        <f t="shared" si="144"/>
        <v>0</v>
      </c>
      <c r="BF72" s="921">
        <f t="shared" si="144"/>
        <v>0</v>
      </c>
      <c r="BG72" s="921">
        <f t="shared" si="144"/>
        <v>0</v>
      </c>
      <c r="BH72" s="554">
        <f t="shared" si="144"/>
        <v>0</v>
      </c>
      <c r="BI72" s="921">
        <f t="shared" si="144"/>
        <v>0</v>
      </c>
      <c r="BJ72" s="921">
        <f t="shared" si="144"/>
        <v>0</v>
      </c>
      <c r="BK72" s="554">
        <f t="shared" si="144"/>
        <v>0</v>
      </c>
      <c r="BL72" s="554">
        <f>+BL71</f>
        <v>0</v>
      </c>
      <c r="BM72" s="921">
        <f>+BM71</f>
        <v>0</v>
      </c>
      <c r="BN72" s="921">
        <f>+BN71</f>
        <v>0</v>
      </c>
      <c r="BO72" s="554">
        <f t="shared" si="144"/>
        <v>0</v>
      </c>
      <c r="BP72" s="554">
        <f t="shared" si="144"/>
        <v>0</v>
      </c>
      <c r="BQ72" s="921">
        <f t="shared" si="144"/>
        <v>0</v>
      </c>
      <c r="BR72" s="921">
        <f t="shared" si="144"/>
        <v>0</v>
      </c>
      <c r="BS72" s="554">
        <f t="shared" si="144"/>
        <v>0</v>
      </c>
      <c r="BT72" s="921">
        <f>+BT71</f>
        <v>0</v>
      </c>
      <c r="BU72" s="921">
        <f>+BU71</f>
        <v>0</v>
      </c>
      <c r="BV72" s="554">
        <f t="shared" si="144"/>
        <v>0</v>
      </c>
      <c r="BW72" s="554">
        <f t="shared" si="144"/>
        <v>0</v>
      </c>
      <c r="BX72" s="921">
        <f t="shared" si="144"/>
        <v>0</v>
      </c>
      <c r="BY72" s="921">
        <f t="shared" si="144"/>
        <v>0</v>
      </c>
      <c r="BZ72" s="554">
        <f t="shared" si="144"/>
        <v>0</v>
      </c>
      <c r="CA72" s="921"/>
      <c r="CB72" s="921"/>
      <c r="CC72" s="554">
        <f t="shared" si="144"/>
        <v>0</v>
      </c>
      <c r="CD72" s="921"/>
      <c r="CE72" s="921"/>
      <c r="CF72" s="554">
        <f t="shared" si="144"/>
        <v>0</v>
      </c>
      <c r="CG72" s="921"/>
      <c r="CH72" s="921"/>
      <c r="CI72" s="554">
        <f t="shared" si="144"/>
        <v>0</v>
      </c>
      <c r="CJ72" s="921">
        <f>+CJ71</f>
        <v>0</v>
      </c>
      <c r="CK72" s="921">
        <f>+CK71</f>
        <v>0</v>
      </c>
      <c r="CL72" s="554">
        <f t="shared" si="144"/>
        <v>0</v>
      </c>
      <c r="CM72" s="554">
        <f t="shared" si="144"/>
        <v>0</v>
      </c>
      <c r="CN72" s="921">
        <f>+CN71</f>
        <v>0</v>
      </c>
      <c r="CO72" s="921">
        <f>+CO71</f>
        <v>0</v>
      </c>
      <c r="CP72" s="554">
        <f t="shared" si="144"/>
        <v>0</v>
      </c>
      <c r="CQ72" s="921">
        <f>+CQ71</f>
        <v>0</v>
      </c>
      <c r="CR72" s="921">
        <f>+CR71</f>
        <v>0</v>
      </c>
      <c r="CS72" s="554">
        <f t="shared" si="144"/>
        <v>0</v>
      </c>
      <c r="CT72" s="921">
        <f>+CT71</f>
        <v>0</v>
      </c>
      <c r="CU72" s="921">
        <f>+CU71</f>
        <v>0</v>
      </c>
      <c r="CV72" s="554">
        <f t="shared" si="144"/>
        <v>0</v>
      </c>
      <c r="CW72" s="554">
        <f t="shared" si="144"/>
        <v>0</v>
      </c>
      <c r="CX72" s="921">
        <f t="shared" ref="CX72:DG72" si="147">+CX71</f>
        <v>0</v>
      </c>
      <c r="CY72" s="921">
        <f t="shared" si="147"/>
        <v>0</v>
      </c>
      <c r="CZ72" s="921">
        <f t="shared" si="147"/>
        <v>0</v>
      </c>
      <c r="DA72" s="554">
        <f t="shared" si="147"/>
        <v>0</v>
      </c>
      <c r="DB72" s="554">
        <f t="shared" ref="DB72:DD72" si="148">+DB71</f>
        <v>0</v>
      </c>
      <c r="DC72" s="554">
        <f t="shared" si="148"/>
        <v>0</v>
      </c>
      <c r="DD72" s="554">
        <f t="shared" si="148"/>
        <v>0</v>
      </c>
      <c r="DE72" s="554">
        <f t="shared" si="147"/>
        <v>0</v>
      </c>
      <c r="DF72" s="554">
        <f t="shared" si="147"/>
        <v>0</v>
      </c>
      <c r="DG72" s="554">
        <f t="shared" si="147"/>
        <v>0</v>
      </c>
      <c r="DH72" s="554">
        <f t="shared" si="144"/>
        <v>0</v>
      </c>
      <c r="DI72" s="921">
        <f t="shared" si="144"/>
        <v>0</v>
      </c>
      <c r="DJ72" s="921">
        <f t="shared" si="144"/>
        <v>0</v>
      </c>
      <c r="DK72" s="554">
        <f t="shared" si="144"/>
        <v>0</v>
      </c>
      <c r="DL72" s="554">
        <f t="shared" si="144"/>
        <v>0</v>
      </c>
      <c r="DM72" s="924">
        <f t="shared" si="144"/>
        <v>0</v>
      </c>
      <c r="DN72" s="527">
        <f t="shared" si="36"/>
        <v>19016744</v>
      </c>
      <c r="DO72" s="912">
        <f t="shared" si="56"/>
        <v>0</v>
      </c>
      <c r="DP72" s="913"/>
      <c r="DQ72" s="925">
        <f>+DQ71</f>
        <v>0</v>
      </c>
      <c r="DS72" s="762"/>
    </row>
    <row r="73" spans="1:123" ht="16.5" thickBot="1" x14ac:dyDescent="0.3">
      <c r="A73" s="964">
        <v>8115</v>
      </c>
      <c r="B73" s="972" t="s">
        <v>148</v>
      </c>
      <c r="C73" s="949">
        <v>0</v>
      </c>
      <c r="D73" s="949">
        <v>0</v>
      </c>
      <c r="E73" s="949">
        <v>0</v>
      </c>
      <c r="F73" s="949">
        <v>0</v>
      </c>
      <c r="G73" s="949">
        <v>0</v>
      </c>
      <c r="H73" s="949">
        <f>SUM(I73:O73)+SUM(S73:AA73)+AD73+AG73+SUM(AJ73:AM73)+AP73+AS73+AV73+AY73+BB73+BE73+BH73+BK73+BL73+BO73+BP73+BS73+SUM(BV73:BW73)+CF73+CI73+CL73+CM73+CP73+CS73+CV73+CW73+SUM(DA73:DM73)+BZ73+CC73</f>
        <v>0</v>
      </c>
      <c r="I73" s="963"/>
      <c r="J73" s="957"/>
      <c r="K73" s="957"/>
      <c r="L73" s="957"/>
      <c r="M73" s="957"/>
      <c r="N73" s="957"/>
      <c r="O73" s="957"/>
      <c r="P73" s="958"/>
      <c r="Q73" s="959"/>
      <c r="R73" s="957"/>
      <c r="S73" s="960"/>
      <c r="T73" s="957"/>
      <c r="U73" s="957"/>
      <c r="V73" s="957"/>
      <c r="W73" s="957"/>
      <c r="X73" s="957"/>
      <c r="Y73" s="957"/>
      <c r="Z73" s="957"/>
      <c r="AA73" s="957">
        <f>+AB73+AC73</f>
        <v>0</v>
      </c>
      <c r="AB73" s="958"/>
      <c r="AC73" s="958"/>
      <c r="AD73" s="957"/>
      <c r="AE73" s="958"/>
      <c r="AF73" s="958"/>
      <c r="AG73" s="957"/>
      <c r="AH73" s="958"/>
      <c r="AI73" s="958"/>
      <c r="AJ73" s="957"/>
      <c r="AK73" s="957"/>
      <c r="AL73" s="957"/>
      <c r="AM73" s="957"/>
      <c r="AN73" s="958"/>
      <c r="AO73" s="958"/>
      <c r="AP73" s="957"/>
      <c r="AQ73" s="958"/>
      <c r="AR73" s="958"/>
      <c r="AS73" s="957"/>
      <c r="AT73" s="958"/>
      <c r="AU73" s="958"/>
      <c r="AV73" s="957"/>
      <c r="AW73" s="958"/>
      <c r="AX73" s="958"/>
      <c r="AY73" s="957"/>
      <c r="AZ73" s="958"/>
      <c r="BA73" s="958"/>
      <c r="BB73" s="957"/>
      <c r="BC73" s="958"/>
      <c r="BD73" s="958"/>
      <c r="BE73" s="957"/>
      <c r="BF73" s="958"/>
      <c r="BG73" s="958"/>
      <c r="BH73" s="957"/>
      <c r="BI73" s="958"/>
      <c r="BJ73" s="958"/>
      <c r="BK73" s="957"/>
      <c r="BL73" s="957"/>
      <c r="BM73" s="958"/>
      <c r="BN73" s="958"/>
      <c r="BO73" s="957"/>
      <c r="BP73" s="957"/>
      <c r="BQ73" s="958"/>
      <c r="BR73" s="958"/>
      <c r="BS73" s="957"/>
      <c r="BT73" s="958"/>
      <c r="BU73" s="958"/>
      <c r="BV73" s="957"/>
      <c r="BW73" s="957"/>
      <c r="BX73" s="958"/>
      <c r="BY73" s="958"/>
      <c r="BZ73" s="957"/>
      <c r="CA73" s="958"/>
      <c r="CB73" s="958"/>
      <c r="CC73" s="957"/>
      <c r="CD73" s="958"/>
      <c r="CE73" s="958"/>
      <c r="CF73" s="957"/>
      <c r="CG73" s="958"/>
      <c r="CH73" s="958"/>
      <c r="CI73" s="957"/>
      <c r="CJ73" s="958"/>
      <c r="CK73" s="958"/>
      <c r="CL73" s="957"/>
      <c r="CM73" s="957"/>
      <c r="CN73" s="958"/>
      <c r="CO73" s="958"/>
      <c r="CP73" s="957"/>
      <c r="CQ73" s="958"/>
      <c r="CR73" s="958"/>
      <c r="CS73" s="957"/>
      <c r="CT73" s="958"/>
      <c r="CU73" s="958"/>
      <c r="CV73" s="957"/>
      <c r="CW73" s="957"/>
      <c r="CX73" s="958"/>
      <c r="CY73" s="958"/>
      <c r="CZ73" s="958"/>
      <c r="DA73" s="957"/>
      <c r="DB73" s="957"/>
      <c r="DC73" s="957"/>
      <c r="DD73" s="957"/>
      <c r="DE73" s="957"/>
      <c r="DF73" s="957"/>
      <c r="DG73" s="957"/>
      <c r="DH73" s="957"/>
      <c r="DI73" s="958"/>
      <c r="DJ73" s="958"/>
      <c r="DK73" s="957"/>
      <c r="DL73" s="957"/>
      <c r="DM73" s="961"/>
      <c r="DN73" s="527">
        <f t="shared" si="36"/>
        <v>0</v>
      </c>
      <c r="DO73" s="912">
        <f t="shared" si="56"/>
        <v>0</v>
      </c>
      <c r="DP73" s="913"/>
      <c r="DQ73" s="949"/>
      <c r="DS73" s="762"/>
    </row>
    <row r="74" spans="1:123" s="616" customFormat="1" ht="19.5" customHeight="1" thickBot="1" x14ac:dyDescent="0.35">
      <c r="A74" s="2208" t="s">
        <v>149</v>
      </c>
      <c r="B74" s="2209"/>
      <c r="C74" s="852">
        <v>249997888.73760003</v>
      </c>
      <c r="D74" s="852">
        <f>+D55+D69+D72</f>
        <v>240134662.25999999</v>
      </c>
      <c r="E74" s="852">
        <v>169480455.24197242</v>
      </c>
      <c r="F74" s="852">
        <v>174477959.46000001</v>
      </c>
      <c r="G74" s="852">
        <v>183133037</v>
      </c>
      <c r="H74" s="852">
        <f>+H55+H69+H72</f>
        <v>158141178</v>
      </c>
      <c r="I74" s="602">
        <f>+I55+I69+I72</f>
        <v>2138522.1749999998</v>
      </c>
      <c r="J74" s="600">
        <f>+J55+J69+J72</f>
        <v>19016744</v>
      </c>
      <c r="K74" s="600">
        <f>+K55+K69+K72</f>
        <v>51927.298500000004</v>
      </c>
      <c r="L74" s="600">
        <f t="shared" ref="L74:AQ74" si="149">+L55+L69+L72</f>
        <v>4210529.4465000108</v>
      </c>
      <c r="M74" s="600">
        <f t="shared" si="149"/>
        <v>5580318</v>
      </c>
      <c r="N74" s="600">
        <f t="shared" si="149"/>
        <v>0</v>
      </c>
      <c r="O74" s="600">
        <f t="shared" si="149"/>
        <v>30072627.600000001</v>
      </c>
      <c r="P74" s="973">
        <f t="shared" si="149"/>
        <v>30002627.600000001</v>
      </c>
      <c r="Q74" s="974">
        <f t="shared" si="149"/>
        <v>70000</v>
      </c>
      <c r="R74" s="600">
        <f t="shared" si="149"/>
        <v>2150720</v>
      </c>
      <c r="S74" s="975">
        <f t="shared" si="149"/>
        <v>19011210</v>
      </c>
      <c r="T74" s="600">
        <f t="shared" si="149"/>
        <v>2267880</v>
      </c>
      <c r="U74" s="600">
        <f t="shared" si="149"/>
        <v>200000</v>
      </c>
      <c r="V74" s="600">
        <f t="shared" si="149"/>
        <v>5670700</v>
      </c>
      <c r="W74" s="600">
        <f t="shared" si="149"/>
        <v>147260.79999999999</v>
      </c>
      <c r="X74" s="600">
        <f t="shared" si="149"/>
        <v>2476134</v>
      </c>
      <c r="Y74" s="600">
        <f t="shared" si="149"/>
        <v>640000</v>
      </c>
      <c r="Z74" s="600">
        <f t="shared" si="149"/>
        <v>1015000</v>
      </c>
      <c r="AA74" s="600">
        <f t="shared" si="149"/>
        <v>1759240</v>
      </c>
      <c r="AB74" s="973">
        <f t="shared" si="149"/>
        <v>1579240</v>
      </c>
      <c r="AC74" s="973">
        <f t="shared" si="149"/>
        <v>180000</v>
      </c>
      <c r="AD74" s="600">
        <f t="shared" si="149"/>
        <v>8520000</v>
      </c>
      <c r="AE74" s="973">
        <f t="shared" si="149"/>
        <v>8520000</v>
      </c>
      <c r="AF74" s="973">
        <f t="shared" si="149"/>
        <v>0</v>
      </c>
      <c r="AG74" s="600">
        <f t="shared" si="149"/>
        <v>1439000</v>
      </c>
      <c r="AH74" s="973">
        <f t="shared" si="149"/>
        <v>1439000</v>
      </c>
      <c r="AI74" s="973">
        <f t="shared" si="149"/>
        <v>0</v>
      </c>
      <c r="AJ74" s="600">
        <f t="shared" si="149"/>
        <v>1723978</v>
      </c>
      <c r="AK74" s="600">
        <f t="shared" si="149"/>
        <v>210000</v>
      </c>
      <c r="AL74" s="600">
        <f t="shared" si="149"/>
        <v>31000</v>
      </c>
      <c r="AM74" s="600">
        <f t="shared" si="149"/>
        <v>220000</v>
      </c>
      <c r="AN74" s="973">
        <f t="shared" si="149"/>
        <v>200000</v>
      </c>
      <c r="AO74" s="973">
        <f t="shared" si="149"/>
        <v>20000</v>
      </c>
      <c r="AP74" s="600">
        <f t="shared" si="149"/>
        <v>2465156</v>
      </c>
      <c r="AQ74" s="973">
        <f t="shared" si="149"/>
        <v>2315156</v>
      </c>
      <c r="AR74" s="973">
        <f t="shared" ref="AR74:BZ74" si="150">+AR55+AR69+AR72</f>
        <v>150000</v>
      </c>
      <c r="AS74" s="600">
        <f t="shared" si="150"/>
        <v>11906000</v>
      </c>
      <c r="AT74" s="973">
        <f t="shared" si="150"/>
        <v>11906000</v>
      </c>
      <c r="AU74" s="973">
        <f t="shared" si="150"/>
        <v>0</v>
      </c>
      <c r="AV74" s="600">
        <f t="shared" si="150"/>
        <v>456000</v>
      </c>
      <c r="AW74" s="973">
        <f t="shared" si="150"/>
        <v>456000</v>
      </c>
      <c r="AX74" s="973">
        <f t="shared" si="150"/>
        <v>0</v>
      </c>
      <c r="AY74" s="600">
        <f t="shared" si="150"/>
        <v>730000</v>
      </c>
      <c r="AZ74" s="973">
        <f t="shared" si="150"/>
        <v>730000</v>
      </c>
      <c r="BA74" s="973">
        <f t="shared" si="150"/>
        <v>0</v>
      </c>
      <c r="BB74" s="600">
        <f t="shared" si="150"/>
        <v>80000</v>
      </c>
      <c r="BC74" s="973">
        <f t="shared" si="150"/>
        <v>60000</v>
      </c>
      <c r="BD74" s="973">
        <f t="shared" si="150"/>
        <v>20000</v>
      </c>
      <c r="BE74" s="600">
        <f t="shared" si="150"/>
        <v>3461000</v>
      </c>
      <c r="BF74" s="973">
        <f t="shared" si="150"/>
        <v>3441000</v>
      </c>
      <c r="BG74" s="973">
        <f t="shared" si="150"/>
        <v>20000</v>
      </c>
      <c r="BH74" s="600">
        <f t="shared" si="150"/>
        <v>0</v>
      </c>
      <c r="BI74" s="973">
        <f t="shared" si="150"/>
        <v>0</v>
      </c>
      <c r="BJ74" s="973">
        <f t="shared" si="150"/>
        <v>0</v>
      </c>
      <c r="BK74" s="600">
        <f t="shared" si="150"/>
        <v>265000</v>
      </c>
      <c r="BL74" s="600">
        <f t="shared" si="150"/>
        <v>230000</v>
      </c>
      <c r="BM74" s="973">
        <f t="shared" si="150"/>
        <v>210000</v>
      </c>
      <c r="BN74" s="973">
        <f t="shared" si="150"/>
        <v>20000</v>
      </c>
      <c r="BO74" s="600">
        <f t="shared" si="150"/>
        <v>600000</v>
      </c>
      <c r="BP74" s="600">
        <f t="shared" si="150"/>
        <v>2414100</v>
      </c>
      <c r="BQ74" s="973">
        <f t="shared" si="150"/>
        <v>2164100</v>
      </c>
      <c r="BR74" s="973">
        <f t="shared" si="150"/>
        <v>250000</v>
      </c>
      <c r="BS74" s="600">
        <f t="shared" si="150"/>
        <v>6526509</v>
      </c>
      <c r="BT74" s="973">
        <f t="shared" si="150"/>
        <v>6426509</v>
      </c>
      <c r="BU74" s="973">
        <f t="shared" si="150"/>
        <v>100000</v>
      </c>
      <c r="BV74" s="600">
        <f t="shared" si="150"/>
        <v>2030000</v>
      </c>
      <c r="BW74" s="600">
        <f t="shared" si="150"/>
        <v>1105000</v>
      </c>
      <c r="BX74" s="973">
        <f t="shared" si="150"/>
        <v>1105000</v>
      </c>
      <c r="BY74" s="973">
        <f t="shared" si="150"/>
        <v>0</v>
      </c>
      <c r="BZ74" s="600">
        <f t="shared" si="150"/>
        <v>1000000</v>
      </c>
      <c r="CA74" s="973"/>
      <c r="CB74" s="973"/>
      <c r="CC74" s="600">
        <f>+CC55+CC69+CC72</f>
        <v>1655000</v>
      </c>
      <c r="CD74" s="973"/>
      <c r="CE74" s="973"/>
      <c r="CF74" s="600">
        <f>+CF55+CF69+CF72</f>
        <v>1000000</v>
      </c>
      <c r="CG74" s="973"/>
      <c r="CH74" s="973"/>
      <c r="CI74" s="600">
        <f t="shared" ref="CI74:DM74" si="151">+CI55+CI69+CI72</f>
        <v>150000</v>
      </c>
      <c r="CJ74" s="973">
        <f t="shared" si="151"/>
        <v>150000</v>
      </c>
      <c r="CK74" s="973">
        <f t="shared" si="151"/>
        <v>0</v>
      </c>
      <c r="CL74" s="600">
        <f t="shared" si="151"/>
        <v>100000</v>
      </c>
      <c r="CM74" s="600">
        <f t="shared" si="151"/>
        <v>4950000</v>
      </c>
      <c r="CN74" s="973">
        <f t="shared" si="151"/>
        <v>0</v>
      </c>
      <c r="CO74" s="973">
        <f t="shared" si="151"/>
        <v>4950000</v>
      </c>
      <c r="CP74" s="600">
        <f t="shared" si="151"/>
        <v>754500</v>
      </c>
      <c r="CQ74" s="973">
        <f t="shared" si="151"/>
        <v>4500</v>
      </c>
      <c r="CR74" s="973">
        <f t="shared" si="151"/>
        <v>750000</v>
      </c>
      <c r="CS74" s="600">
        <f t="shared" si="151"/>
        <v>70000</v>
      </c>
      <c r="CT74" s="973">
        <f t="shared" si="151"/>
        <v>0</v>
      </c>
      <c r="CU74" s="973">
        <f t="shared" si="151"/>
        <v>70000</v>
      </c>
      <c r="CV74" s="600">
        <f t="shared" si="151"/>
        <v>2917608.68</v>
      </c>
      <c r="CW74" s="600">
        <f t="shared" si="151"/>
        <v>3145532</v>
      </c>
      <c r="CX74" s="973">
        <f t="shared" si="151"/>
        <v>3145532</v>
      </c>
      <c r="CY74" s="973">
        <f t="shared" si="151"/>
        <v>0</v>
      </c>
      <c r="CZ74" s="973">
        <f t="shared" si="151"/>
        <v>0</v>
      </c>
      <c r="DA74" s="600">
        <f t="shared" si="151"/>
        <v>382001</v>
      </c>
      <c r="DB74" s="600">
        <f t="shared" si="151"/>
        <v>0</v>
      </c>
      <c r="DC74" s="600">
        <f t="shared" si="151"/>
        <v>0</v>
      </c>
      <c r="DD74" s="600">
        <f t="shared" si="151"/>
        <v>0</v>
      </c>
      <c r="DE74" s="600">
        <f t="shared" si="151"/>
        <v>5000</v>
      </c>
      <c r="DF74" s="600">
        <f t="shared" si="151"/>
        <v>0</v>
      </c>
      <c r="DG74" s="600">
        <f t="shared" si="151"/>
        <v>0</v>
      </c>
      <c r="DH74" s="600">
        <f t="shared" si="151"/>
        <v>1129980</v>
      </c>
      <c r="DI74" s="973">
        <f t="shared" ref="DI74:DJ74" si="152">+DI55+DI69+DI72</f>
        <v>1129980</v>
      </c>
      <c r="DJ74" s="973">
        <f t="shared" si="152"/>
        <v>0</v>
      </c>
      <c r="DK74" s="600">
        <f t="shared" si="151"/>
        <v>60000</v>
      </c>
      <c r="DL74" s="600">
        <f t="shared" si="151"/>
        <v>0</v>
      </c>
      <c r="DM74" s="976">
        <f t="shared" si="151"/>
        <v>0</v>
      </c>
      <c r="DN74" s="527"/>
      <c r="DO74" s="912"/>
      <c r="DP74" s="913"/>
      <c r="DQ74" s="977">
        <f>+DQ55+DQ69+DQ72</f>
        <v>6600000</v>
      </c>
      <c r="DS74" s="762"/>
    </row>
    <row r="75" spans="1:123" s="616" customFormat="1" ht="20.25" customHeight="1" thickBot="1" x14ac:dyDescent="0.35">
      <c r="A75" s="2208" t="s">
        <v>159</v>
      </c>
      <c r="B75" s="2210"/>
      <c r="C75" s="978">
        <v>0.26239997148513794</v>
      </c>
      <c r="D75" s="978">
        <v>0</v>
      </c>
      <c r="E75" s="978">
        <v>0</v>
      </c>
      <c r="F75" s="978">
        <v>0</v>
      </c>
      <c r="G75" s="978">
        <v>0</v>
      </c>
      <c r="H75" s="978">
        <f>+'Příjmy kapitol celkem'!M73-'Výdaje kapitol celkem'!H74</f>
        <v>0</v>
      </c>
      <c r="I75" s="979"/>
      <c r="J75" s="984"/>
      <c r="K75" s="979"/>
      <c r="L75" s="980">
        <f>'Příjmy kapitol celkem'!M73-H55-SUM(H56:H66)-H68-H71</f>
        <v>-139622.55349998921</v>
      </c>
      <c r="M75" s="979"/>
      <c r="N75" s="979"/>
      <c r="O75" s="979"/>
      <c r="P75" s="981"/>
      <c r="Q75" s="980"/>
      <c r="R75" s="979"/>
      <c r="S75" s="981">
        <f>+S66+S58+S44+S35+S34+S22+S16</f>
        <v>25611210</v>
      </c>
      <c r="T75" s="979"/>
      <c r="U75" s="979"/>
      <c r="V75" s="979"/>
      <c r="W75" s="979"/>
      <c r="X75" s="979"/>
      <c r="Y75" s="979"/>
      <c r="Z75" s="979"/>
      <c r="AA75" s="979"/>
      <c r="AB75" s="981"/>
      <c r="AC75" s="981"/>
      <c r="AD75" s="979"/>
      <c r="AE75" s="981"/>
      <c r="AF75" s="981"/>
      <c r="AG75" s="979"/>
      <c r="AH75" s="981"/>
      <c r="AI75" s="981"/>
      <c r="AJ75" s="979"/>
      <c r="AK75" s="979"/>
      <c r="AL75" s="979"/>
      <c r="AM75" s="979"/>
      <c r="AN75" s="981"/>
      <c r="AO75" s="981"/>
      <c r="AP75" s="979"/>
      <c r="AQ75" s="981"/>
      <c r="AR75" s="981"/>
      <c r="AS75" s="979"/>
      <c r="AT75" s="981"/>
      <c r="AU75" s="981"/>
      <c r="AV75" s="979"/>
      <c r="AW75" s="981"/>
      <c r="AX75" s="981"/>
      <c r="AY75" s="979"/>
      <c r="AZ75" s="981"/>
      <c r="BA75" s="981"/>
      <c r="BB75" s="979"/>
      <c r="BC75" s="981"/>
      <c r="BD75" s="981"/>
      <c r="BE75" s="979"/>
      <c r="BF75" s="981"/>
      <c r="BG75" s="981"/>
      <c r="BH75" s="979"/>
      <c r="BI75" s="981"/>
      <c r="BJ75" s="981"/>
      <c r="BK75" s="979"/>
      <c r="BL75" s="979"/>
      <c r="BM75" s="981"/>
      <c r="BN75" s="981"/>
      <c r="BO75" s="979"/>
      <c r="BP75" s="979"/>
      <c r="BQ75" s="981"/>
      <c r="BR75" s="981"/>
      <c r="BS75" s="979"/>
      <c r="BT75" s="981"/>
      <c r="BU75" s="981"/>
      <c r="BV75" s="979"/>
      <c r="BW75" s="979"/>
      <c r="BX75" s="981"/>
      <c r="BY75" s="981"/>
      <c r="BZ75" s="979"/>
      <c r="CA75" s="981"/>
      <c r="CB75" s="981"/>
      <c r="CC75" s="979"/>
      <c r="CD75" s="981"/>
      <c r="CE75" s="981"/>
      <c r="CF75" s="979"/>
      <c r="CG75" s="981"/>
      <c r="CH75" s="981"/>
      <c r="CI75" s="979"/>
      <c r="CJ75" s="981"/>
      <c r="CK75" s="981"/>
      <c r="CL75" s="979"/>
      <c r="CM75" s="979"/>
      <c r="CN75" s="981"/>
      <c r="CO75" s="981"/>
      <c r="CP75" s="979"/>
      <c r="CQ75" s="981"/>
      <c r="CR75" s="981"/>
      <c r="CS75" s="979"/>
      <c r="CT75" s="981"/>
      <c r="CU75" s="981"/>
      <c r="CV75" s="979"/>
      <c r="CW75" s="979"/>
      <c r="CX75" s="981"/>
      <c r="CY75" s="981"/>
      <c r="CZ75" s="981"/>
      <c r="DA75" s="979"/>
      <c r="DB75" s="979"/>
      <c r="DC75" s="979"/>
      <c r="DD75" s="979"/>
      <c r="DE75" s="979"/>
      <c r="DF75" s="979"/>
      <c r="DG75" s="979"/>
      <c r="DH75" s="979"/>
      <c r="DI75" s="981"/>
      <c r="DJ75" s="981"/>
      <c r="DK75" s="979"/>
      <c r="DL75" s="979"/>
      <c r="DM75" s="979"/>
      <c r="DN75" s="724"/>
      <c r="DO75" s="912"/>
      <c r="DP75" s="913"/>
      <c r="DQ75" s="982"/>
    </row>
    <row r="76" spans="1:123" ht="26.25" customHeight="1" x14ac:dyDescent="0.25">
      <c r="A76" s="983"/>
      <c r="B76" s="625"/>
      <c r="C76" s="625"/>
      <c r="D76" s="625"/>
      <c r="E76" s="625"/>
      <c r="F76" s="625"/>
      <c r="G76" s="625"/>
      <c r="H76" s="784"/>
      <c r="I76" s="984"/>
      <c r="J76" s="984"/>
      <c r="K76" s="984"/>
      <c r="L76" s="984"/>
      <c r="M76" s="984"/>
      <c r="N76" s="984"/>
      <c r="O76" s="984"/>
      <c r="P76" s="985"/>
      <c r="Q76" s="986" t="s">
        <v>762</v>
      </c>
      <c r="R76" s="984"/>
      <c r="S76" s="986">
        <f>+S75/12</f>
        <v>2134267.5</v>
      </c>
      <c r="T76" s="984"/>
      <c r="U76" s="984"/>
      <c r="V76" s="984"/>
      <c r="W76" s="984"/>
      <c r="X76" s="984"/>
      <c r="Y76" s="984"/>
      <c r="Z76" s="984"/>
      <c r="AA76" s="984"/>
      <c r="AB76" s="985"/>
      <c r="AC76" s="985"/>
      <c r="AD76" s="984"/>
      <c r="AE76" s="985"/>
      <c r="AF76" s="985"/>
      <c r="AG76" s="984"/>
      <c r="AH76" s="985"/>
      <c r="AI76" s="985"/>
      <c r="AJ76" s="984"/>
      <c r="AK76" s="984"/>
      <c r="AL76" s="984"/>
      <c r="AM76" s="984"/>
      <c r="AN76" s="985"/>
      <c r="AO76" s="985"/>
      <c r="AP76" s="984"/>
      <c r="AQ76" s="985"/>
      <c r="AR76" s="985"/>
      <c r="AS76" s="984"/>
      <c r="AT76" s="985"/>
      <c r="AU76" s="985"/>
      <c r="AV76" s="984"/>
      <c r="AW76" s="985"/>
      <c r="AX76" s="985"/>
      <c r="AY76" s="984"/>
      <c r="AZ76" s="985"/>
      <c r="BA76" s="985"/>
      <c r="BB76" s="984"/>
      <c r="BC76" s="985"/>
      <c r="BD76" s="985"/>
      <c r="BE76" s="984"/>
      <c r="BF76" s="985"/>
      <c r="BG76" s="985"/>
      <c r="BH76" s="984"/>
      <c r="BI76" s="985"/>
      <c r="BJ76" s="985"/>
      <c r="BK76" s="984"/>
      <c r="BL76" s="984"/>
      <c r="BM76" s="985"/>
      <c r="BN76" s="985"/>
      <c r="BO76" s="984"/>
      <c r="BP76" s="984"/>
      <c r="BQ76" s="985"/>
      <c r="BR76" s="985"/>
      <c r="BS76" s="984"/>
      <c r="BT76" s="985"/>
      <c r="BU76" s="985"/>
      <c r="BV76" s="984"/>
      <c r="BW76" s="984"/>
      <c r="BX76" s="985"/>
      <c r="BY76" s="985"/>
      <c r="BZ76" s="984"/>
      <c r="CA76" s="985"/>
      <c r="CB76" s="985"/>
      <c r="CC76" s="984"/>
      <c r="CD76" s="985"/>
      <c r="CE76" s="985"/>
      <c r="CF76" s="984"/>
      <c r="CG76" s="985"/>
      <c r="CH76" s="985"/>
      <c r="CI76" s="984"/>
      <c r="CJ76" s="985"/>
      <c r="CK76" s="985"/>
      <c r="CL76" s="984"/>
      <c r="CM76" s="984"/>
      <c r="CN76" s="985"/>
      <c r="CO76" s="985"/>
      <c r="CP76" s="984"/>
      <c r="CQ76" s="985"/>
      <c r="CR76" s="985"/>
      <c r="CS76" s="984"/>
      <c r="CT76" s="985"/>
      <c r="CU76" s="985"/>
      <c r="CV76" s="984"/>
      <c r="CW76" s="984"/>
      <c r="CX76" s="985"/>
      <c r="CY76" s="985"/>
      <c r="CZ76" s="985"/>
      <c r="DA76" s="984"/>
      <c r="DB76" s="984"/>
      <c r="DC76" s="984"/>
      <c r="DD76" s="984"/>
      <c r="DE76" s="984"/>
      <c r="DF76" s="984"/>
      <c r="DG76" s="984"/>
      <c r="DH76" s="984"/>
      <c r="DI76" s="985"/>
      <c r="DJ76" s="985"/>
      <c r="DK76" s="984"/>
      <c r="DL76" s="984"/>
      <c r="DM76" s="984"/>
      <c r="DN76" s="446"/>
      <c r="DO76" s="872"/>
      <c r="DP76" s="873"/>
      <c r="DQ76" s="860"/>
    </row>
    <row r="77" spans="1:123" ht="26.25" customHeight="1" x14ac:dyDescent="0.25">
      <c r="A77" s="752" t="s">
        <v>650</v>
      </c>
      <c r="B77" s="625"/>
      <c r="C77" s="625"/>
      <c r="D77" s="625"/>
      <c r="E77" s="625"/>
      <c r="F77" s="625"/>
      <c r="G77" s="625"/>
      <c r="H77" s="784"/>
      <c r="Q77" s="767" t="s">
        <v>364</v>
      </c>
      <c r="S77" s="763"/>
    </row>
    <row r="78" spans="1:123" hidden="1" x14ac:dyDescent="0.25">
      <c r="B78" s="991" t="s">
        <v>791</v>
      </c>
      <c r="C78" s="991"/>
      <c r="D78" s="991">
        <v>41250757.805200003</v>
      </c>
      <c r="E78" s="991">
        <v>24177994.475400001</v>
      </c>
      <c r="F78" s="991">
        <v>24177994.475400001</v>
      </c>
      <c r="G78" s="991">
        <v>24838834.475400001</v>
      </c>
      <c r="H78" s="855">
        <f>SUM(H79:H80)</f>
        <v>26610287.824999999</v>
      </c>
      <c r="Q78" s="767"/>
      <c r="S78" s="763"/>
    </row>
    <row r="79" spans="1:123" hidden="1" x14ac:dyDescent="0.25">
      <c r="B79" s="992" t="s">
        <v>146</v>
      </c>
      <c r="C79" s="992"/>
      <c r="D79" s="992">
        <v>39123370</v>
      </c>
      <c r="E79" s="992">
        <v>21694796</v>
      </c>
      <c r="F79" s="992">
        <v>21694796</v>
      </c>
      <c r="G79" s="992">
        <v>22198136</v>
      </c>
      <c r="H79" s="762">
        <f>+I79+J79</f>
        <v>24159596</v>
      </c>
      <c r="J79" s="762">
        <f>+J89+J71</f>
        <v>24159596</v>
      </c>
      <c r="Q79" s="767"/>
      <c r="S79" s="763"/>
    </row>
    <row r="80" spans="1:123" hidden="1" x14ac:dyDescent="0.25">
      <c r="B80" s="992" t="s">
        <v>7</v>
      </c>
      <c r="C80" s="992"/>
      <c r="D80" s="992">
        <v>2127387.8051999998</v>
      </c>
      <c r="E80" s="992">
        <v>2483198.4753999999</v>
      </c>
      <c r="F80" s="992">
        <v>2483198.4753999999</v>
      </c>
      <c r="G80" s="992">
        <v>2640698.4753999999</v>
      </c>
      <c r="H80" s="762">
        <f>+I80+J80</f>
        <v>2450691.8249999997</v>
      </c>
      <c r="I80" s="762">
        <f>+I89+I53</f>
        <v>2450691.8249999997</v>
      </c>
      <c r="Q80" s="767"/>
      <c r="S80" s="763"/>
    </row>
    <row r="81" spans="1:121" hidden="1" x14ac:dyDescent="0.25">
      <c r="Q81" s="767"/>
      <c r="S81" s="763"/>
    </row>
    <row r="82" spans="1:121" hidden="1" x14ac:dyDescent="0.25">
      <c r="B82" s="991" t="s">
        <v>792</v>
      </c>
      <c r="C82" s="991"/>
      <c r="D82" s="991" t="e">
        <v>#REF!</v>
      </c>
      <c r="E82" s="991" t="e">
        <v>#REF!</v>
      </c>
      <c r="F82" s="991" t="e">
        <v>#REF!</v>
      </c>
      <c r="G82" s="991" t="e">
        <v>#REF!</v>
      </c>
      <c r="H82" s="855" t="e">
        <f>SUM(H83:H85)</f>
        <v>#REF!</v>
      </c>
      <c r="Q82" s="767"/>
      <c r="S82" s="763"/>
    </row>
    <row r="83" spans="1:121" hidden="1" x14ac:dyDescent="0.25">
      <c r="D83" s="759" t="e">
        <v>#REF!</v>
      </c>
      <c r="E83" s="759" t="e">
        <v>#REF!</v>
      </c>
      <c r="F83" s="759" t="e">
        <v>#REF!</v>
      </c>
      <c r="G83" s="759" t="e">
        <v>#REF!</v>
      </c>
      <c r="H83" s="762" t="e">
        <v>#REF!</v>
      </c>
      <c r="Q83" s="767"/>
      <c r="S83" s="763"/>
    </row>
    <row r="84" spans="1:121" hidden="1" x14ac:dyDescent="0.25">
      <c r="D84" s="759" t="e">
        <v>#REF!</v>
      </c>
      <c r="E84" s="759" t="e">
        <v>#REF!</v>
      </c>
      <c r="F84" s="759" t="e">
        <v>#REF!</v>
      </c>
      <c r="G84" s="759" t="e">
        <v>#REF!</v>
      </c>
      <c r="H84" s="762" t="e">
        <v>#REF!</v>
      </c>
      <c r="Q84" s="767"/>
      <c r="S84" s="763"/>
    </row>
    <row r="85" spans="1:121" hidden="1" x14ac:dyDescent="0.25">
      <c r="D85" s="759" t="e">
        <v>#REF!</v>
      </c>
      <c r="E85" s="759" t="e">
        <v>#REF!</v>
      </c>
      <c r="F85" s="759" t="e">
        <v>#REF!</v>
      </c>
      <c r="G85" s="759" t="e">
        <v>#REF!</v>
      </c>
      <c r="H85" s="762" t="e">
        <f>'Souhrn příjmů a výdajů 2021'!#REF!</f>
        <v>#REF!</v>
      </c>
      <c r="Q85" s="767"/>
      <c r="S85" s="763"/>
    </row>
    <row r="86" spans="1:121" hidden="1" x14ac:dyDescent="0.25">
      <c r="Q86" s="767"/>
      <c r="S86" s="763"/>
    </row>
    <row r="87" spans="1:121" s="768" customFormat="1" hidden="1" x14ac:dyDescent="0.25">
      <c r="A87" s="993"/>
      <c r="B87" s="768" t="s">
        <v>793</v>
      </c>
      <c r="D87" s="768" t="e">
        <v>#REF!</v>
      </c>
      <c r="E87" s="768" t="e">
        <v>#REF!</v>
      </c>
      <c r="F87" s="768" t="e">
        <v>#REF!</v>
      </c>
      <c r="G87" s="768" t="e">
        <v>#REF!</v>
      </c>
      <c r="H87" s="994" t="e">
        <f>+H78/H82</f>
        <v>#REF!</v>
      </c>
      <c r="I87" s="763"/>
      <c r="J87" s="763"/>
      <c r="K87" s="763"/>
      <c r="L87" s="763"/>
      <c r="M87" s="763"/>
      <c r="N87" s="763"/>
      <c r="O87" s="763"/>
      <c r="P87" s="763"/>
      <c r="Q87" s="767"/>
      <c r="R87" s="763"/>
      <c r="S87" s="763"/>
      <c r="T87" s="763"/>
      <c r="U87" s="763"/>
      <c r="V87" s="763"/>
      <c r="W87" s="763"/>
      <c r="X87" s="763"/>
      <c r="Y87" s="763"/>
      <c r="Z87" s="763"/>
      <c r="AA87" s="763"/>
      <c r="AB87" s="763"/>
      <c r="AC87" s="763"/>
      <c r="AD87" s="763"/>
      <c r="AE87" s="763"/>
      <c r="AF87" s="763"/>
      <c r="AG87" s="763"/>
      <c r="AH87" s="763"/>
      <c r="AI87" s="763"/>
      <c r="AJ87" s="763"/>
      <c r="AK87" s="763"/>
      <c r="AL87" s="763"/>
      <c r="AM87" s="763"/>
      <c r="AN87" s="763"/>
      <c r="AO87" s="763"/>
      <c r="AP87" s="763"/>
      <c r="AQ87" s="763"/>
      <c r="AR87" s="763"/>
      <c r="AS87" s="763"/>
      <c r="AT87" s="763"/>
      <c r="AU87" s="763"/>
      <c r="AV87" s="763"/>
      <c r="AW87" s="763"/>
      <c r="AX87" s="763"/>
      <c r="AY87" s="763"/>
      <c r="AZ87" s="763"/>
      <c r="BA87" s="763"/>
      <c r="BB87" s="763"/>
      <c r="BC87" s="763"/>
      <c r="BD87" s="763"/>
      <c r="BE87" s="763"/>
      <c r="BF87" s="763"/>
      <c r="BG87" s="763"/>
      <c r="BH87" s="763"/>
      <c r="BI87" s="763"/>
      <c r="BJ87" s="763"/>
      <c r="BK87" s="763"/>
      <c r="BL87" s="763"/>
      <c r="BM87" s="763"/>
      <c r="BN87" s="763"/>
      <c r="BO87" s="763"/>
      <c r="BP87" s="763"/>
      <c r="BQ87" s="763"/>
      <c r="BR87" s="763"/>
      <c r="BS87" s="763"/>
      <c r="BT87" s="763"/>
      <c r="BU87" s="763"/>
      <c r="BV87" s="763"/>
      <c r="BW87" s="763"/>
      <c r="BX87" s="763"/>
      <c r="BY87" s="763"/>
      <c r="BZ87" s="763"/>
      <c r="CA87" s="763"/>
      <c r="CB87" s="763"/>
      <c r="CC87" s="763"/>
      <c r="CD87" s="763"/>
      <c r="CE87" s="763"/>
      <c r="CF87" s="763"/>
      <c r="CG87" s="763"/>
      <c r="CH87" s="763"/>
      <c r="CI87" s="763"/>
      <c r="CJ87" s="763"/>
      <c r="CK87" s="763"/>
      <c r="CL87" s="763"/>
      <c r="CM87" s="763"/>
      <c r="CN87" s="763"/>
      <c r="CO87" s="763"/>
      <c r="CP87" s="763"/>
      <c r="CQ87" s="763"/>
      <c r="CR87" s="763"/>
      <c r="CS87" s="763"/>
      <c r="CT87" s="763"/>
      <c r="CU87" s="763"/>
      <c r="CV87" s="763"/>
      <c r="CW87" s="763"/>
      <c r="CX87" s="763"/>
      <c r="CY87" s="763"/>
      <c r="CZ87" s="763"/>
      <c r="DA87" s="763"/>
      <c r="DB87" s="763"/>
      <c r="DC87" s="763"/>
      <c r="DD87" s="763"/>
      <c r="DE87" s="763"/>
      <c r="DF87" s="763"/>
      <c r="DG87" s="763"/>
      <c r="DH87" s="763"/>
      <c r="DI87" s="763"/>
      <c r="DJ87" s="763"/>
      <c r="DK87" s="763"/>
      <c r="DL87" s="763"/>
      <c r="DM87" s="763"/>
      <c r="DO87" s="769"/>
      <c r="DP87" s="789"/>
      <c r="DQ87" s="763"/>
    </row>
    <row r="88" spans="1:121" hidden="1" x14ac:dyDescent="0.25">
      <c r="Q88" s="767"/>
      <c r="S88" s="763"/>
    </row>
    <row r="89" spans="1:121" hidden="1" x14ac:dyDescent="0.25">
      <c r="I89" s="769">
        <f>7843393/20</f>
        <v>392169.65</v>
      </c>
      <c r="J89" s="769">
        <f>428571*12</f>
        <v>5142852</v>
      </c>
      <c r="K89" s="769"/>
      <c r="L89" s="763" t="s">
        <v>583</v>
      </c>
      <c r="Q89" s="767"/>
      <c r="S89" s="763"/>
    </row>
    <row r="90" spans="1:121" hidden="1" x14ac:dyDescent="0.25">
      <c r="Q90" s="767"/>
      <c r="S90" s="763"/>
    </row>
    <row r="91" spans="1:121" x14ac:dyDescent="0.25">
      <c r="Q91" s="767" t="s">
        <v>844</v>
      </c>
      <c r="S91" s="763"/>
    </row>
    <row r="92" spans="1:121" x14ac:dyDescent="0.25">
      <c r="S92" s="987"/>
    </row>
  </sheetData>
  <sheetProtection algorithmName="SHA-512" hashValue="k3rK2rh1rU4G68nheB+v9aPZ+89Nd6/WNHYsPmA0aPanW4A6jv3gr4RwPGHxwrni+ykdCNE3vFmm6qPOaw0UQQ==" saltValue="XNDef43yDXYzSThN2imsKg==" spinCount="100000" sheet="1" objects="1" scenarios="1"/>
  <mergeCells count="2">
    <mergeCell ref="A74:B74"/>
    <mergeCell ref="A75:B75"/>
  </mergeCells>
  <phoneticPr fontId="3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1" fitToWidth="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47"/>
  <sheetViews>
    <sheetView topLeftCell="B1" zoomScale="90" zoomScaleNormal="90" workbookViewId="0">
      <pane xSplit="2" ySplit="6" topLeftCell="D28" activePane="bottomRight" state="frozen"/>
      <selection activeCell="B1" sqref="B1"/>
      <selection pane="topRight" activeCell="D1" sqref="D1"/>
      <selection pane="bottomLeft" activeCell="B7" sqref="B7"/>
      <selection pane="bottomRight" activeCell="K14" sqref="K14"/>
    </sheetView>
  </sheetViews>
  <sheetFormatPr defaultColWidth="9.140625" defaultRowHeight="13.5" outlineLevelRow="1" outlineLevelCol="1" x14ac:dyDescent="0.25"/>
  <cols>
    <col min="1" max="1" width="7.7109375" style="606" customWidth="1"/>
    <col min="2" max="2" width="59.42578125" style="448" customWidth="1"/>
    <col min="3" max="3" width="14.140625" style="481" customWidth="1"/>
    <col min="4" max="4" width="12" style="448" customWidth="1"/>
    <col min="5" max="5" width="13.85546875" style="448" bestFit="1" customWidth="1"/>
    <col min="6" max="6" width="11.28515625" style="448" customWidth="1" outlineLevel="1"/>
    <col min="7" max="7" width="10.140625" style="448" customWidth="1" outlineLevel="1"/>
    <col min="8" max="8" width="12.42578125" style="448" customWidth="1" outlineLevel="1"/>
    <col min="9" max="9" width="13.7109375" style="448" hidden="1" customWidth="1" outlineLevel="1"/>
    <col min="10" max="10" width="13.7109375" style="448" customWidth="1" outlineLevel="1"/>
    <col min="11" max="11" width="12.42578125" style="448" customWidth="1" outlineLevel="1"/>
    <col min="12" max="12" width="12.85546875" style="448" bestFit="1" customWidth="1"/>
    <col min="13" max="16" width="12.42578125" style="448" customWidth="1" outlineLevel="1"/>
    <col min="17" max="17" width="12.85546875" style="607" bestFit="1" customWidth="1"/>
    <col min="18" max="18" width="10.7109375" style="448" bestFit="1" customWidth="1"/>
    <col min="19" max="16384" width="9.140625" style="448"/>
  </cols>
  <sheetData>
    <row r="1" spans="1:18" x14ac:dyDescent="0.25">
      <c r="A1" s="2175" t="s">
        <v>1953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7"/>
    </row>
    <row r="2" spans="1:18" x14ac:dyDescent="0.25">
      <c r="A2" s="526" t="s">
        <v>392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7"/>
    </row>
    <row r="3" spans="1:18" ht="14.25" thickBot="1" x14ac:dyDescent="0.3">
      <c r="A3" s="446"/>
      <c r="B3" s="446"/>
      <c r="C3" s="450"/>
      <c r="D3" s="450"/>
      <c r="E3" s="450"/>
      <c r="F3" s="450"/>
      <c r="G3" s="450"/>
      <c r="H3" s="451"/>
      <c r="I3" s="451">
        <v>2021</v>
      </c>
      <c r="J3" s="451"/>
      <c r="K3" s="451"/>
      <c r="L3" s="451"/>
      <c r="M3" s="451"/>
      <c r="N3" s="451"/>
      <c r="O3" s="451"/>
      <c r="P3" s="451"/>
      <c r="Q3" s="447"/>
    </row>
    <row r="4" spans="1:18" ht="40.5" customHeight="1" thickBot="1" x14ac:dyDescent="0.3">
      <c r="A4" s="452" t="s">
        <v>559</v>
      </c>
      <c r="B4" s="453" t="s">
        <v>0</v>
      </c>
      <c r="C4" s="454" t="s">
        <v>1954</v>
      </c>
      <c r="D4" s="455" t="s">
        <v>414</v>
      </c>
      <c r="E4" s="456" t="s">
        <v>406</v>
      </c>
      <c r="F4" s="457" t="s">
        <v>183</v>
      </c>
      <c r="G4" s="457" t="s">
        <v>175</v>
      </c>
      <c r="H4" s="458" t="s">
        <v>688</v>
      </c>
      <c r="I4" s="459" t="s">
        <v>1617</v>
      </c>
      <c r="J4" s="458" t="s">
        <v>560</v>
      </c>
      <c r="K4" s="460" t="s">
        <v>689</v>
      </c>
      <c r="L4" s="456" t="s">
        <v>390</v>
      </c>
      <c r="M4" s="457" t="s">
        <v>1618</v>
      </c>
      <c r="N4" s="459" t="s">
        <v>185</v>
      </c>
      <c r="O4" s="461" t="s">
        <v>186</v>
      </c>
      <c r="P4" s="460" t="s">
        <v>867</v>
      </c>
      <c r="Q4" s="447"/>
    </row>
    <row r="5" spans="1:18" s="472" customFormat="1" x14ac:dyDescent="0.25">
      <c r="A5" s="462"/>
      <c r="B5" s="463" t="s">
        <v>684</v>
      </c>
      <c r="C5" s="464">
        <f>+C6+C7+C15</f>
        <v>28111008.68</v>
      </c>
      <c r="D5" s="465">
        <f>+D6+D7+D15</f>
        <v>2021639.25</v>
      </c>
      <c r="E5" s="466">
        <f>+E6+E7+E15</f>
        <v>25996681.899999999</v>
      </c>
      <c r="F5" s="467">
        <f>+F6+F7+F15</f>
        <v>1227636.6000000001</v>
      </c>
      <c r="G5" s="467">
        <f t="shared" ref="G5:P5" si="0">+G6+G7+G15</f>
        <v>531457.6</v>
      </c>
      <c r="H5" s="468">
        <f t="shared" si="0"/>
        <v>10925863.9</v>
      </c>
      <c r="I5" s="468">
        <f t="shared" si="0"/>
        <v>0</v>
      </c>
      <c r="J5" s="468">
        <f>+J6+J7+J15</f>
        <v>1410524</v>
      </c>
      <c r="K5" s="469">
        <f t="shared" si="0"/>
        <v>11901199.800000001</v>
      </c>
      <c r="L5" s="466">
        <f t="shared" si="0"/>
        <v>92687.53</v>
      </c>
      <c r="M5" s="470">
        <f t="shared" si="0"/>
        <v>36779.129999999997</v>
      </c>
      <c r="N5" s="468">
        <f t="shared" si="0"/>
        <v>26598</v>
      </c>
      <c r="O5" s="470">
        <f t="shared" si="0"/>
        <v>24156</v>
      </c>
      <c r="P5" s="469">
        <f t="shared" si="0"/>
        <v>5154.3999999999996</v>
      </c>
      <c r="Q5" s="719">
        <v>16800000</v>
      </c>
    </row>
    <row r="6" spans="1:18" x14ac:dyDescent="0.25">
      <c r="A6" s="2217" t="s">
        <v>612</v>
      </c>
      <c r="B6" s="473" t="s">
        <v>685</v>
      </c>
      <c r="C6" s="474">
        <f>+E6+L6+D6</f>
        <v>16000000</v>
      </c>
      <c r="D6" s="475">
        <f>+'Výdaje kapitol celkem'!S44-TSÚ!E6</f>
        <v>1946988</v>
      </c>
      <c r="E6" s="476">
        <f>SUM(F6:K6)</f>
        <v>14053012</v>
      </c>
      <c r="F6" s="477">
        <f>750000+200000</f>
        <v>950000</v>
      </c>
      <c r="G6" s="477">
        <v>500000</v>
      </c>
      <c r="H6" s="478">
        <f>1750000+500000</f>
        <v>2250000</v>
      </c>
      <c r="I6" s="478"/>
      <c r="J6" s="478">
        <f>1300000-700000</f>
        <v>600000</v>
      </c>
      <c r="K6" s="479">
        <f>7301500+600000-368539+700000+1520051</f>
        <v>9753012</v>
      </c>
      <c r="L6" s="476">
        <f t="shared" ref="L6:L46" si="1">SUM(M6:P6)</f>
        <v>0</v>
      </c>
      <c r="M6" s="480">
        <v>0</v>
      </c>
      <c r="N6" s="478">
        <v>0</v>
      </c>
      <c r="O6" s="480">
        <v>0</v>
      </c>
      <c r="P6" s="479">
        <v>0</v>
      </c>
      <c r="Q6" s="517" t="s">
        <v>2042</v>
      </c>
      <c r="R6" s="481"/>
    </row>
    <row r="7" spans="1:18" ht="13.5" customHeight="1" x14ac:dyDescent="0.25">
      <c r="A7" s="2218"/>
      <c r="B7" s="482" t="s">
        <v>305</v>
      </c>
      <c r="C7" s="474">
        <f>SUM(C8:C14)</f>
        <v>4969000</v>
      </c>
      <c r="D7" s="475">
        <f t="shared" ref="D7:O7" si="2">SUM(D8:D14)</f>
        <v>0</v>
      </c>
      <c r="E7" s="476">
        <f>SUM(E8:E14)</f>
        <v>4969000</v>
      </c>
      <c r="F7" s="477">
        <f t="shared" si="2"/>
        <v>0</v>
      </c>
      <c r="G7" s="477">
        <f t="shared" si="2"/>
        <v>0</v>
      </c>
      <c r="H7" s="478">
        <f t="shared" si="2"/>
        <v>2800000</v>
      </c>
      <c r="I7" s="478">
        <f t="shared" ref="I7:J7" si="3">SUM(I8:I14)</f>
        <v>0</v>
      </c>
      <c r="J7" s="478">
        <f t="shared" si="3"/>
        <v>770000</v>
      </c>
      <c r="K7" s="479">
        <f t="shared" si="2"/>
        <v>1399000</v>
      </c>
      <c r="L7" s="476">
        <f t="shared" si="1"/>
        <v>0</v>
      </c>
      <c r="M7" s="480">
        <f t="shared" ref="M7" si="4">SUM(M8:M14)</f>
        <v>0</v>
      </c>
      <c r="N7" s="478">
        <f t="shared" si="2"/>
        <v>0</v>
      </c>
      <c r="O7" s="480">
        <f t="shared" si="2"/>
        <v>0</v>
      </c>
      <c r="P7" s="479">
        <f t="shared" ref="P7" si="5">SUM(P8:P14)</f>
        <v>0</v>
      </c>
      <c r="Q7" s="447"/>
    </row>
    <row r="8" spans="1:18" outlineLevel="1" x14ac:dyDescent="0.25">
      <c r="A8" s="2218"/>
      <c r="B8" s="483" t="s">
        <v>1613</v>
      </c>
      <c r="C8" s="484">
        <f t="shared" ref="C8:C14" si="6">+E8+L8+D8</f>
        <v>770000</v>
      </c>
      <c r="D8" s="485">
        <v>0</v>
      </c>
      <c r="E8" s="486">
        <f t="shared" ref="E8:E46" si="7">SUM(F8:K8)</f>
        <v>770000</v>
      </c>
      <c r="F8" s="487"/>
      <c r="G8" s="487"/>
      <c r="H8" s="488"/>
      <c r="I8" s="489"/>
      <c r="J8" s="488">
        <v>770000</v>
      </c>
      <c r="K8" s="491"/>
      <c r="L8" s="486">
        <f t="shared" si="1"/>
        <v>0</v>
      </c>
      <c r="M8" s="489"/>
      <c r="N8" s="488">
        <v>0</v>
      </c>
      <c r="O8" s="489">
        <v>0</v>
      </c>
      <c r="P8" s="491">
        <v>0</v>
      </c>
      <c r="Q8" s="447"/>
    </row>
    <row r="9" spans="1:18" outlineLevel="1" x14ac:dyDescent="0.25">
      <c r="A9" s="2218"/>
      <c r="B9" s="483" t="s">
        <v>318</v>
      </c>
      <c r="C9" s="484">
        <f t="shared" si="6"/>
        <v>950000</v>
      </c>
      <c r="D9" s="485">
        <v>0</v>
      </c>
      <c r="E9" s="486">
        <f t="shared" si="7"/>
        <v>950000</v>
      </c>
      <c r="F9" s="487"/>
      <c r="G9" s="487"/>
      <c r="H9" s="488">
        <v>950000</v>
      </c>
      <c r="I9" s="489"/>
      <c r="J9" s="488"/>
      <c r="K9" s="491"/>
      <c r="L9" s="486">
        <f t="shared" si="1"/>
        <v>0</v>
      </c>
      <c r="M9" s="489"/>
      <c r="N9" s="488">
        <v>0</v>
      </c>
      <c r="O9" s="489">
        <v>0</v>
      </c>
      <c r="P9" s="491">
        <v>0</v>
      </c>
      <c r="Q9" s="447"/>
    </row>
    <row r="10" spans="1:18" outlineLevel="1" x14ac:dyDescent="0.25">
      <c r="A10" s="2218"/>
      <c r="B10" s="483" t="s">
        <v>2043</v>
      </c>
      <c r="C10" s="1783">
        <f t="shared" si="6"/>
        <v>1850000</v>
      </c>
      <c r="D10" s="485"/>
      <c r="E10" s="486">
        <f t="shared" si="7"/>
        <v>1850000</v>
      </c>
      <c r="F10" s="487"/>
      <c r="G10" s="487"/>
      <c r="H10" s="490">
        <v>1850000</v>
      </c>
      <c r="I10" s="489"/>
      <c r="J10" s="488"/>
      <c r="K10" s="491"/>
      <c r="L10" s="486">
        <f t="shared" si="1"/>
        <v>0</v>
      </c>
      <c r="M10" s="489"/>
      <c r="N10" s="488">
        <v>0</v>
      </c>
      <c r="O10" s="489">
        <v>0</v>
      </c>
      <c r="P10" s="491">
        <v>0</v>
      </c>
      <c r="Q10" s="447" t="s">
        <v>1695</v>
      </c>
    </row>
    <row r="11" spans="1:18" outlineLevel="1" x14ac:dyDescent="0.25">
      <c r="A11" s="2218"/>
      <c r="B11" s="483" t="s">
        <v>1388</v>
      </c>
      <c r="C11" s="484">
        <f t="shared" si="6"/>
        <v>420000</v>
      </c>
      <c r="D11" s="485">
        <v>0</v>
      </c>
      <c r="E11" s="486">
        <f t="shared" si="7"/>
        <v>420000</v>
      </c>
      <c r="F11" s="487"/>
      <c r="G11" s="487"/>
      <c r="H11" s="488"/>
      <c r="I11" s="489"/>
      <c r="J11" s="488"/>
      <c r="K11" s="491">
        <f>[5]TSÚ!$D$14</f>
        <v>420000</v>
      </c>
      <c r="L11" s="486">
        <f t="shared" si="1"/>
        <v>0</v>
      </c>
      <c r="M11" s="489"/>
      <c r="N11" s="488">
        <v>0</v>
      </c>
      <c r="O11" s="489">
        <v>0</v>
      </c>
      <c r="P11" s="491">
        <v>0</v>
      </c>
      <c r="Q11" s="447"/>
    </row>
    <row r="12" spans="1:18" outlineLevel="1" x14ac:dyDescent="0.25">
      <c r="A12" s="2218"/>
      <c r="B12" s="483" t="s">
        <v>1615</v>
      </c>
      <c r="C12" s="484">
        <f t="shared" si="6"/>
        <v>0</v>
      </c>
      <c r="D12" s="485">
        <v>0</v>
      </c>
      <c r="E12" s="486">
        <f t="shared" si="7"/>
        <v>0</v>
      </c>
      <c r="F12" s="487"/>
      <c r="G12" s="487"/>
      <c r="H12" s="488"/>
      <c r="I12" s="489"/>
      <c r="J12" s="488"/>
      <c r="K12" s="491"/>
      <c r="L12" s="486">
        <f t="shared" si="1"/>
        <v>0</v>
      </c>
      <c r="M12" s="489"/>
      <c r="N12" s="488"/>
      <c r="O12" s="489">
        <v>0</v>
      </c>
      <c r="P12" s="491">
        <v>0</v>
      </c>
      <c r="Q12" s="447"/>
    </row>
    <row r="13" spans="1:18" outlineLevel="1" x14ac:dyDescent="0.25">
      <c r="A13" s="2218"/>
      <c r="B13" s="483" t="s">
        <v>1389</v>
      </c>
      <c r="C13" s="484">
        <f t="shared" si="6"/>
        <v>804000</v>
      </c>
      <c r="D13" s="485"/>
      <c r="E13" s="486">
        <f t="shared" si="7"/>
        <v>804000</v>
      </c>
      <c r="F13" s="487"/>
      <c r="G13" s="487"/>
      <c r="H13" s="488"/>
      <c r="I13" s="489"/>
      <c r="J13" s="488"/>
      <c r="K13" s="491">
        <f>[5]TSÚ!$D$16</f>
        <v>804000</v>
      </c>
      <c r="L13" s="486">
        <f t="shared" si="1"/>
        <v>0</v>
      </c>
      <c r="M13" s="489"/>
      <c r="N13" s="488"/>
      <c r="O13" s="489"/>
      <c r="P13" s="491"/>
      <c r="Q13" s="447"/>
    </row>
    <row r="14" spans="1:18" outlineLevel="1" x14ac:dyDescent="0.25">
      <c r="A14" s="2218"/>
      <c r="B14" s="483" t="s">
        <v>1627</v>
      </c>
      <c r="C14" s="1783">
        <f t="shared" si="6"/>
        <v>175000</v>
      </c>
      <c r="D14" s="485">
        <v>0</v>
      </c>
      <c r="E14" s="486">
        <f t="shared" si="7"/>
        <v>175000</v>
      </c>
      <c r="F14" s="487"/>
      <c r="G14" s="487"/>
      <c r="H14" s="492"/>
      <c r="I14" s="493"/>
      <c r="J14" s="492"/>
      <c r="K14" s="1787">
        <v>175000</v>
      </c>
      <c r="L14" s="486">
        <f t="shared" si="1"/>
        <v>0</v>
      </c>
      <c r="M14" s="489"/>
      <c r="N14" s="488">
        <v>0</v>
      </c>
      <c r="O14" s="489"/>
      <c r="P14" s="491">
        <v>0</v>
      </c>
      <c r="Q14" s="447"/>
    </row>
    <row r="15" spans="1:18" s="472" customFormat="1" x14ac:dyDescent="0.25">
      <c r="A15" s="2218"/>
      <c r="B15" s="494" t="s">
        <v>609</v>
      </c>
      <c r="C15" s="495">
        <f>SUM(C16:C28)</f>
        <v>7142008.6799999997</v>
      </c>
      <c r="D15" s="475">
        <f>SUM(D16:D28)</f>
        <v>74651.25</v>
      </c>
      <c r="E15" s="476">
        <f>SUM(E16:E28)</f>
        <v>6974669.9000000004</v>
      </c>
      <c r="F15" s="477">
        <f t="shared" ref="F15:K15" si="8">SUM(F16:F28)</f>
        <v>277636.59999999998</v>
      </c>
      <c r="G15" s="477">
        <f t="shared" si="8"/>
        <v>31457.599999999999</v>
      </c>
      <c r="H15" s="478">
        <f t="shared" si="8"/>
        <v>5875863.9000000004</v>
      </c>
      <c r="I15" s="478">
        <f t="shared" si="8"/>
        <v>0</v>
      </c>
      <c r="J15" s="478">
        <f t="shared" si="8"/>
        <v>40524</v>
      </c>
      <c r="K15" s="479">
        <f t="shared" si="8"/>
        <v>749187.8</v>
      </c>
      <c r="L15" s="476">
        <f t="shared" si="1"/>
        <v>92687.53</v>
      </c>
      <c r="M15" s="480">
        <f>SUM(M16:M28)</f>
        <v>36779.129999999997</v>
      </c>
      <c r="N15" s="478">
        <f>SUM(N16:N28)</f>
        <v>26598</v>
      </c>
      <c r="O15" s="480">
        <f>SUM(O16:O28)</f>
        <v>24156</v>
      </c>
      <c r="P15" s="479">
        <f>SUM(P16:P28)</f>
        <v>5154.3999999999996</v>
      </c>
      <c r="Q15" s="496"/>
    </row>
    <row r="16" spans="1:18" ht="12.75" customHeight="1" outlineLevel="1" x14ac:dyDescent="0.25">
      <c r="A16" s="2218"/>
      <c r="B16" s="483" t="s">
        <v>610</v>
      </c>
      <c r="C16" s="484">
        <f t="shared" ref="C16:C28" si="9">+E16+L16+D16</f>
        <v>90000</v>
      </c>
      <c r="D16" s="485">
        <v>0</v>
      </c>
      <c r="E16" s="486">
        <f t="shared" si="7"/>
        <v>90000</v>
      </c>
      <c r="F16" s="487"/>
      <c r="G16" s="487">
        <f>+'Výdaje kapitol celkem'!AO22</f>
        <v>20000</v>
      </c>
      <c r="H16" s="488"/>
      <c r="I16" s="489"/>
      <c r="J16" s="488"/>
      <c r="K16" s="491">
        <f>+'Výdaje kapitol celkem'!Q22</f>
        <v>70000</v>
      </c>
      <c r="L16" s="486">
        <f t="shared" si="1"/>
        <v>0</v>
      </c>
      <c r="M16" s="489"/>
      <c r="N16" s="488">
        <v>0</v>
      </c>
      <c r="O16" s="489">
        <v>0</v>
      </c>
      <c r="P16" s="491">
        <v>0</v>
      </c>
      <c r="Q16" s="447"/>
    </row>
    <row r="17" spans="1:17" outlineLevel="1" x14ac:dyDescent="0.25">
      <c r="A17" s="2218"/>
      <c r="B17" s="483" t="s">
        <v>1619</v>
      </c>
      <c r="C17" s="484">
        <f t="shared" si="9"/>
        <v>180000</v>
      </c>
      <c r="D17" s="485">
        <v>0</v>
      </c>
      <c r="E17" s="486">
        <f t="shared" si="7"/>
        <v>180000</v>
      </c>
      <c r="F17" s="487"/>
      <c r="G17" s="487"/>
      <c r="H17" s="497"/>
      <c r="I17" s="498"/>
      <c r="J17" s="497"/>
      <c r="K17" s="499">
        <f>+'Výdaje kapitol celkem'!AC35</f>
        <v>180000</v>
      </c>
      <c r="L17" s="486">
        <f t="shared" si="1"/>
        <v>0</v>
      </c>
      <c r="M17" s="489"/>
      <c r="N17" s="488">
        <v>0</v>
      </c>
      <c r="O17" s="489">
        <v>0</v>
      </c>
      <c r="P17" s="491">
        <v>0</v>
      </c>
      <c r="Q17" s="447"/>
    </row>
    <row r="18" spans="1:17" outlineLevel="1" x14ac:dyDescent="0.25">
      <c r="A18" s="2218"/>
      <c r="B18" s="483" t="s">
        <v>1620</v>
      </c>
      <c r="C18" s="484">
        <f t="shared" si="9"/>
        <v>0</v>
      </c>
      <c r="D18" s="485"/>
      <c r="E18" s="486">
        <f t="shared" si="7"/>
        <v>0</v>
      </c>
      <c r="F18" s="487"/>
      <c r="G18" s="487"/>
      <c r="H18" s="488"/>
      <c r="I18" s="489"/>
      <c r="J18" s="488"/>
      <c r="K18" s="491">
        <f>'Výdaje kapitol celkem'!AI35</f>
        <v>0</v>
      </c>
      <c r="L18" s="486">
        <f t="shared" si="1"/>
        <v>0</v>
      </c>
      <c r="M18" s="489"/>
      <c r="N18" s="488"/>
      <c r="O18" s="489"/>
      <c r="P18" s="491"/>
      <c r="Q18" s="447"/>
    </row>
    <row r="19" spans="1:17" outlineLevel="1" x14ac:dyDescent="0.25">
      <c r="A19" s="2218"/>
      <c r="B19" s="483" t="s">
        <v>1621</v>
      </c>
      <c r="C19" s="484">
        <f t="shared" si="9"/>
        <v>150000</v>
      </c>
      <c r="D19" s="485"/>
      <c r="E19" s="486">
        <f t="shared" si="7"/>
        <v>150000</v>
      </c>
      <c r="F19" s="487"/>
      <c r="G19" s="487"/>
      <c r="H19" s="488"/>
      <c r="I19" s="489"/>
      <c r="J19" s="488"/>
      <c r="K19" s="491">
        <f>+'Výdaje kapitol celkem'!AR35</f>
        <v>150000</v>
      </c>
      <c r="L19" s="486">
        <f t="shared" si="1"/>
        <v>0</v>
      </c>
      <c r="M19" s="489"/>
      <c r="N19" s="488"/>
      <c r="O19" s="489"/>
      <c r="P19" s="491"/>
      <c r="Q19" s="447"/>
    </row>
    <row r="20" spans="1:17" outlineLevel="1" x14ac:dyDescent="0.25">
      <c r="A20" s="2218"/>
      <c r="B20" s="483" t="s">
        <v>1622</v>
      </c>
      <c r="C20" s="484">
        <f t="shared" si="9"/>
        <v>20000</v>
      </c>
      <c r="D20" s="485"/>
      <c r="E20" s="486">
        <f t="shared" si="7"/>
        <v>20000</v>
      </c>
      <c r="F20" s="487"/>
      <c r="G20" s="487"/>
      <c r="H20" s="488"/>
      <c r="I20" s="489"/>
      <c r="J20" s="488"/>
      <c r="K20" s="491">
        <f>'Výdaje kapitol celkem'!BD35</f>
        <v>20000</v>
      </c>
      <c r="L20" s="486">
        <f t="shared" si="1"/>
        <v>0</v>
      </c>
      <c r="M20" s="489"/>
      <c r="N20" s="488"/>
      <c r="O20" s="489"/>
      <c r="P20" s="491"/>
      <c r="Q20" s="447"/>
    </row>
    <row r="21" spans="1:17" outlineLevel="1" x14ac:dyDescent="0.25">
      <c r="A21" s="2218"/>
      <c r="B21" s="483" t="s">
        <v>1624</v>
      </c>
      <c r="C21" s="484">
        <f t="shared" si="9"/>
        <v>40000</v>
      </c>
      <c r="D21" s="485"/>
      <c r="E21" s="486">
        <f t="shared" si="7"/>
        <v>40000</v>
      </c>
      <c r="F21" s="487"/>
      <c r="G21" s="487"/>
      <c r="H21" s="488"/>
      <c r="I21" s="489"/>
      <c r="J21" s="488"/>
      <c r="K21" s="491">
        <f>'Výdaje kapitol celkem'!BG35+'Výdaje kapitol celkem'!BN35</f>
        <v>40000</v>
      </c>
      <c r="L21" s="486">
        <f t="shared" si="1"/>
        <v>0</v>
      </c>
      <c r="M21" s="489"/>
      <c r="N21" s="488"/>
      <c r="O21" s="489"/>
      <c r="P21" s="491"/>
      <c r="Q21" s="447"/>
    </row>
    <row r="22" spans="1:17" outlineLevel="1" x14ac:dyDescent="0.25">
      <c r="A22" s="2218"/>
      <c r="B22" s="483" t="s">
        <v>1623</v>
      </c>
      <c r="C22" s="484">
        <f t="shared" si="9"/>
        <v>0</v>
      </c>
      <c r="D22" s="485"/>
      <c r="E22" s="486">
        <f t="shared" si="7"/>
        <v>0</v>
      </c>
      <c r="F22" s="487"/>
      <c r="G22" s="487"/>
      <c r="H22" s="488"/>
      <c r="I22" s="489"/>
      <c r="J22" s="488"/>
      <c r="K22" s="491">
        <f>'Výdaje kapitol celkem'!BJ35</f>
        <v>0</v>
      </c>
      <c r="L22" s="486">
        <f t="shared" si="1"/>
        <v>0</v>
      </c>
      <c r="M22" s="489"/>
      <c r="N22" s="488"/>
      <c r="O22" s="489"/>
      <c r="P22" s="491"/>
      <c r="Q22" s="447"/>
    </row>
    <row r="23" spans="1:17" outlineLevel="1" x14ac:dyDescent="0.25">
      <c r="A23" s="2218"/>
      <c r="B23" s="483" t="s">
        <v>183</v>
      </c>
      <c r="C23" s="484">
        <f t="shared" si="9"/>
        <v>250000</v>
      </c>
      <c r="D23" s="485"/>
      <c r="E23" s="486">
        <f t="shared" si="7"/>
        <v>250000</v>
      </c>
      <c r="F23" s="487">
        <f>'Výdaje kapitol celkem'!BR35</f>
        <v>250000</v>
      </c>
      <c r="G23" s="487"/>
      <c r="H23" s="488"/>
      <c r="I23" s="489"/>
      <c r="J23" s="488"/>
      <c r="K23" s="491"/>
      <c r="L23" s="486">
        <f t="shared" si="1"/>
        <v>0</v>
      </c>
      <c r="M23" s="489"/>
      <c r="N23" s="488"/>
      <c r="O23" s="489"/>
      <c r="P23" s="491"/>
      <c r="Q23" s="447"/>
    </row>
    <row r="24" spans="1:17" outlineLevel="1" x14ac:dyDescent="0.25">
      <c r="A24" s="2218"/>
      <c r="B24" s="483" t="s">
        <v>405</v>
      </c>
      <c r="C24" s="484">
        <f t="shared" si="9"/>
        <v>100000</v>
      </c>
      <c r="D24" s="485"/>
      <c r="E24" s="486">
        <f t="shared" si="7"/>
        <v>100000</v>
      </c>
      <c r="F24" s="487"/>
      <c r="G24" s="487"/>
      <c r="H24" s="488"/>
      <c r="I24" s="489"/>
      <c r="J24" s="488"/>
      <c r="K24" s="491">
        <f>'Výdaje kapitol celkem'!BU35</f>
        <v>100000</v>
      </c>
      <c r="L24" s="486">
        <f t="shared" si="1"/>
        <v>0</v>
      </c>
      <c r="M24" s="489"/>
      <c r="N24" s="488"/>
      <c r="O24" s="489"/>
      <c r="P24" s="491"/>
      <c r="Q24" s="447"/>
    </row>
    <row r="25" spans="1:17" outlineLevel="1" x14ac:dyDescent="0.25">
      <c r="A25" s="2218"/>
      <c r="B25" s="483" t="s">
        <v>186</v>
      </c>
      <c r="C25" s="484">
        <f t="shared" si="9"/>
        <v>0</v>
      </c>
      <c r="D25" s="485"/>
      <c r="E25" s="486">
        <f t="shared" si="7"/>
        <v>0</v>
      </c>
      <c r="F25" s="487"/>
      <c r="G25" s="487"/>
      <c r="H25" s="488"/>
      <c r="I25" s="489">
        <f>'Výdaje kapitol celkem'!CE34+'Výdaje kapitol celkem'!CE35</f>
        <v>0</v>
      </c>
      <c r="J25" s="488"/>
      <c r="K25" s="491"/>
      <c r="L25" s="486">
        <f t="shared" si="1"/>
        <v>0</v>
      </c>
      <c r="M25" s="489"/>
      <c r="N25" s="488"/>
      <c r="O25" s="489"/>
      <c r="P25" s="491"/>
      <c r="Q25" s="447"/>
    </row>
    <row r="26" spans="1:17" outlineLevel="1" x14ac:dyDescent="0.25">
      <c r="A26" s="2218"/>
      <c r="B26" s="483" t="s">
        <v>848</v>
      </c>
      <c r="C26" s="484">
        <f t="shared" si="9"/>
        <v>5020000</v>
      </c>
      <c r="D26" s="485">
        <v>0</v>
      </c>
      <c r="E26" s="486">
        <f t="shared" si="7"/>
        <v>5020000</v>
      </c>
      <c r="F26" s="487"/>
      <c r="G26" s="487"/>
      <c r="H26" s="488">
        <f>'Výdaje kapitol celkem'!CO34+'Výdaje kapitol celkem'!CU34</f>
        <v>5020000</v>
      </c>
      <c r="I26" s="489"/>
      <c r="J26" s="488"/>
      <c r="K26" s="491"/>
      <c r="L26" s="486">
        <f t="shared" si="1"/>
        <v>0</v>
      </c>
      <c r="M26" s="489"/>
      <c r="N26" s="488">
        <v>0</v>
      </c>
      <c r="O26" s="489">
        <v>0</v>
      </c>
      <c r="P26" s="491">
        <v>0</v>
      </c>
      <c r="Q26" s="447"/>
    </row>
    <row r="27" spans="1:17" s="518" customFormat="1" outlineLevel="1" x14ac:dyDescent="0.25">
      <c r="A27" s="2218"/>
      <c r="B27" s="1782" t="s">
        <v>1698</v>
      </c>
      <c r="C27" s="1783">
        <f t="shared" si="9"/>
        <v>492008.68000000005</v>
      </c>
      <c r="D27" s="1784">
        <v>74651.25</v>
      </c>
      <c r="E27" s="1785">
        <f t="shared" si="7"/>
        <v>324669.90000000002</v>
      </c>
      <c r="F27" s="1786">
        <v>27636.6</v>
      </c>
      <c r="G27" s="1786">
        <v>11457.6</v>
      </c>
      <c r="H27" s="490">
        <v>55863.9</v>
      </c>
      <c r="I27" s="627">
        <v>0</v>
      </c>
      <c r="J27" s="490">
        <v>40524</v>
      </c>
      <c r="K27" s="1787">
        <v>189187.8</v>
      </c>
      <c r="L27" s="1785">
        <f t="shared" si="1"/>
        <v>92687.53</v>
      </c>
      <c r="M27" s="627">
        <v>36779.129999999997</v>
      </c>
      <c r="N27" s="490">
        <v>26598</v>
      </c>
      <c r="O27" s="627">
        <v>24156</v>
      </c>
      <c r="P27" s="1787">
        <v>5154.3999999999996</v>
      </c>
      <c r="Q27" s="517"/>
    </row>
    <row r="28" spans="1:17" outlineLevel="1" x14ac:dyDescent="0.25">
      <c r="A28" s="2218"/>
      <c r="B28" s="483" t="s">
        <v>608</v>
      </c>
      <c r="C28" s="484">
        <f t="shared" si="9"/>
        <v>800000</v>
      </c>
      <c r="D28" s="485">
        <v>0</v>
      </c>
      <c r="E28" s="486">
        <f t="shared" si="7"/>
        <v>800000</v>
      </c>
      <c r="F28" s="487"/>
      <c r="G28" s="487"/>
      <c r="H28" s="488">
        <v>800000</v>
      </c>
      <c r="I28" s="489"/>
      <c r="J28" s="488"/>
      <c r="K28" s="491"/>
      <c r="L28" s="486">
        <f t="shared" si="1"/>
        <v>0</v>
      </c>
      <c r="M28" s="489"/>
      <c r="N28" s="488">
        <v>0</v>
      </c>
      <c r="O28" s="489">
        <v>0</v>
      </c>
      <c r="P28" s="491">
        <v>0</v>
      </c>
      <c r="Q28" s="447"/>
    </row>
    <row r="29" spans="1:17" x14ac:dyDescent="0.25">
      <c r="A29" s="500"/>
      <c r="B29" s="501" t="s">
        <v>323</v>
      </c>
      <c r="C29" s="495">
        <f t="shared" ref="C29:P29" si="10">SUM(C30:C30)</f>
        <v>250000</v>
      </c>
      <c r="D29" s="475">
        <f t="shared" si="10"/>
        <v>0</v>
      </c>
      <c r="E29" s="476">
        <f t="shared" ref="E29:E38" si="11">SUM(F29:K29)</f>
        <v>250000</v>
      </c>
      <c r="F29" s="477">
        <f t="shared" si="10"/>
        <v>0</v>
      </c>
      <c r="G29" s="477">
        <f t="shared" si="10"/>
        <v>0</v>
      </c>
      <c r="H29" s="478">
        <f t="shared" si="10"/>
        <v>250000</v>
      </c>
      <c r="I29" s="478">
        <f t="shared" si="10"/>
        <v>0</v>
      </c>
      <c r="J29" s="478">
        <f t="shared" si="10"/>
        <v>0</v>
      </c>
      <c r="K29" s="479">
        <f t="shared" si="10"/>
        <v>0</v>
      </c>
      <c r="L29" s="486">
        <f t="shared" si="1"/>
        <v>0</v>
      </c>
      <c r="M29" s="480">
        <f t="shared" si="10"/>
        <v>0</v>
      </c>
      <c r="N29" s="478">
        <f t="shared" si="10"/>
        <v>0</v>
      </c>
      <c r="O29" s="480">
        <f t="shared" si="10"/>
        <v>0</v>
      </c>
      <c r="P29" s="479">
        <f t="shared" si="10"/>
        <v>0</v>
      </c>
      <c r="Q29" s="447"/>
    </row>
    <row r="30" spans="1:17" outlineLevel="1" x14ac:dyDescent="0.25">
      <c r="A30" s="502"/>
      <c r="B30" s="503" t="s">
        <v>849</v>
      </c>
      <c r="C30" s="504">
        <f>+E30+L30+D30</f>
        <v>250000</v>
      </c>
      <c r="D30" s="505">
        <v>0</v>
      </c>
      <c r="E30" s="506">
        <f t="shared" si="7"/>
        <v>250000</v>
      </c>
      <c r="F30" s="507">
        <v>0</v>
      </c>
      <c r="G30" s="507">
        <v>0</v>
      </c>
      <c r="H30" s="497">
        <v>250000</v>
      </c>
      <c r="I30" s="498"/>
      <c r="J30" s="497"/>
      <c r="K30" s="499">
        <v>0</v>
      </c>
      <c r="L30" s="506">
        <f t="shared" si="1"/>
        <v>0</v>
      </c>
      <c r="M30" s="498"/>
      <c r="N30" s="497">
        <v>0</v>
      </c>
      <c r="O30" s="498">
        <v>0</v>
      </c>
      <c r="P30" s="499">
        <v>0</v>
      </c>
      <c r="Q30" s="447"/>
    </row>
    <row r="31" spans="1:17" s="472" customFormat="1" x14ac:dyDescent="0.25">
      <c r="A31" s="500"/>
      <c r="B31" s="501" t="s">
        <v>304</v>
      </c>
      <c r="C31" s="495">
        <f>SUM(C32:C35)</f>
        <v>48950000</v>
      </c>
      <c r="D31" s="475">
        <f t="shared" ref="D31:P31" si="12">SUM(D32:D35)</f>
        <v>0</v>
      </c>
      <c r="E31" s="476">
        <f t="shared" si="12"/>
        <v>0</v>
      </c>
      <c r="F31" s="477">
        <f t="shared" si="12"/>
        <v>0</v>
      </c>
      <c r="G31" s="477">
        <f t="shared" si="12"/>
        <v>0</v>
      </c>
      <c r="H31" s="478">
        <f t="shared" si="12"/>
        <v>0</v>
      </c>
      <c r="I31" s="478">
        <f t="shared" si="12"/>
        <v>0</v>
      </c>
      <c r="J31" s="478">
        <f t="shared" si="12"/>
        <v>0</v>
      </c>
      <c r="K31" s="479">
        <f t="shared" si="12"/>
        <v>0</v>
      </c>
      <c r="L31" s="476">
        <f t="shared" si="12"/>
        <v>48950000</v>
      </c>
      <c r="M31" s="480">
        <f t="shared" si="12"/>
        <v>0</v>
      </c>
      <c r="N31" s="478">
        <f t="shared" si="12"/>
        <v>15850000</v>
      </c>
      <c r="O31" s="480">
        <f t="shared" si="12"/>
        <v>15100000</v>
      </c>
      <c r="P31" s="479">
        <f t="shared" si="12"/>
        <v>18000000</v>
      </c>
      <c r="Q31" s="496"/>
    </row>
    <row r="32" spans="1:17" outlineLevel="1" x14ac:dyDescent="0.25">
      <c r="A32" s="502"/>
      <c r="B32" s="503" t="s">
        <v>1625</v>
      </c>
      <c r="C32" s="504">
        <f t="shared" ref="C32:C37" si="13">+E32+L32+D32</f>
        <v>44300000</v>
      </c>
      <c r="D32" s="505">
        <v>0</v>
      </c>
      <c r="E32" s="506">
        <f t="shared" si="7"/>
        <v>0</v>
      </c>
      <c r="F32" s="507">
        <v>0</v>
      </c>
      <c r="G32" s="507">
        <v>0</v>
      </c>
      <c r="H32" s="497">
        <v>0</v>
      </c>
      <c r="I32" s="498"/>
      <c r="J32" s="497"/>
      <c r="K32" s="499">
        <v>0</v>
      </c>
      <c r="L32" s="506">
        <f t="shared" si="1"/>
        <v>44300000</v>
      </c>
      <c r="M32" s="498"/>
      <c r="N32" s="497">
        <v>13200000</v>
      </c>
      <c r="O32" s="498">
        <v>13100000</v>
      </c>
      <c r="P32" s="499">
        <v>18000000</v>
      </c>
      <c r="Q32" s="447"/>
    </row>
    <row r="33" spans="1:17" outlineLevel="1" x14ac:dyDescent="0.25">
      <c r="A33" s="502"/>
      <c r="B33" s="503" t="s">
        <v>1539</v>
      </c>
      <c r="C33" s="504">
        <f t="shared" si="13"/>
        <v>0</v>
      </c>
      <c r="D33" s="505"/>
      <c r="E33" s="506">
        <f t="shared" si="7"/>
        <v>0</v>
      </c>
      <c r="F33" s="507"/>
      <c r="G33" s="507"/>
      <c r="H33" s="497"/>
      <c r="I33" s="498"/>
      <c r="J33" s="497"/>
      <c r="K33" s="499"/>
      <c r="L33" s="506">
        <f t="shared" si="1"/>
        <v>0</v>
      </c>
      <c r="M33" s="498"/>
      <c r="N33" s="497"/>
      <c r="O33" s="498"/>
      <c r="P33" s="499"/>
      <c r="Q33" s="447"/>
    </row>
    <row r="34" spans="1:17" outlineLevel="1" x14ac:dyDescent="0.25">
      <c r="A34" s="502"/>
      <c r="B34" s="503" t="s">
        <v>1545</v>
      </c>
      <c r="C34" s="504">
        <f t="shared" si="13"/>
        <v>50000</v>
      </c>
      <c r="D34" s="505"/>
      <c r="E34" s="506">
        <f t="shared" si="7"/>
        <v>0</v>
      </c>
      <c r="F34" s="507"/>
      <c r="G34" s="507"/>
      <c r="H34" s="497"/>
      <c r="I34" s="498"/>
      <c r="J34" s="497"/>
      <c r="K34" s="499"/>
      <c r="L34" s="506">
        <f t="shared" si="1"/>
        <v>50000</v>
      </c>
      <c r="M34" s="498"/>
      <c r="N34" s="497">
        <f>List1!AO30</f>
        <v>50000</v>
      </c>
      <c r="O34" s="498"/>
      <c r="P34" s="499"/>
      <c r="Q34" s="447"/>
    </row>
    <row r="35" spans="1:17" s="518" customFormat="1" outlineLevel="1" x14ac:dyDescent="0.25">
      <c r="A35" s="508"/>
      <c r="B35" s="509" t="s">
        <v>850</v>
      </c>
      <c r="C35" s="510">
        <f t="shared" si="13"/>
        <v>4600000</v>
      </c>
      <c r="D35" s="511">
        <v>0</v>
      </c>
      <c r="E35" s="512">
        <f t="shared" si="7"/>
        <v>0</v>
      </c>
      <c r="F35" s="513">
        <v>0</v>
      </c>
      <c r="G35" s="513">
        <v>0</v>
      </c>
      <c r="H35" s="514">
        <v>0</v>
      </c>
      <c r="I35" s="515"/>
      <c r="J35" s="514"/>
      <c r="K35" s="516">
        <v>0</v>
      </c>
      <c r="L35" s="512">
        <f t="shared" si="1"/>
        <v>4600000</v>
      </c>
      <c r="M35" s="515"/>
      <c r="N35" s="514">
        <v>2600000</v>
      </c>
      <c r="O35" s="515">
        <v>2000000</v>
      </c>
      <c r="P35" s="516"/>
      <c r="Q35" s="517"/>
    </row>
    <row r="36" spans="1:17" s="472" customFormat="1" x14ac:dyDescent="0.25">
      <c r="A36" s="500"/>
      <c r="B36" s="519" t="s">
        <v>301</v>
      </c>
      <c r="C36" s="495">
        <f t="shared" si="13"/>
        <v>0</v>
      </c>
      <c r="D36" s="475">
        <v>0</v>
      </c>
      <c r="E36" s="476">
        <f t="shared" si="7"/>
        <v>0</v>
      </c>
      <c r="F36" s="477">
        <v>0</v>
      </c>
      <c r="G36" s="477">
        <v>0</v>
      </c>
      <c r="H36" s="478">
        <v>0</v>
      </c>
      <c r="I36" s="478">
        <v>0</v>
      </c>
      <c r="J36" s="478">
        <v>0</v>
      </c>
      <c r="K36" s="479">
        <v>0</v>
      </c>
      <c r="L36" s="476">
        <f t="shared" si="1"/>
        <v>0</v>
      </c>
      <c r="M36" s="480"/>
      <c r="N36" s="478">
        <v>0</v>
      </c>
      <c r="O36" s="480">
        <v>0</v>
      </c>
      <c r="P36" s="479">
        <v>0</v>
      </c>
      <c r="Q36" s="496"/>
    </row>
    <row r="37" spans="1:17" s="472" customFormat="1" x14ac:dyDescent="0.25">
      <c r="A37" s="500"/>
      <c r="B37" s="519" t="s">
        <v>302</v>
      </c>
      <c r="C37" s="495">
        <f t="shared" si="13"/>
        <v>0</v>
      </c>
      <c r="D37" s="475">
        <v>0</v>
      </c>
      <c r="E37" s="476">
        <f t="shared" si="7"/>
        <v>0</v>
      </c>
      <c r="F37" s="477">
        <v>0</v>
      </c>
      <c r="G37" s="477">
        <v>0</v>
      </c>
      <c r="H37" s="478">
        <v>0</v>
      </c>
      <c r="I37" s="478">
        <v>0</v>
      </c>
      <c r="J37" s="478">
        <v>0</v>
      </c>
      <c r="K37" s="479">
        <v>0</v>
      </c>
      <c r="L37" s="476">
        <f t="shared" si="1"/>
        <v>0</v>
      </c>
      <c r="M37" s="480"/>
      <c r="N37" s="478">
        <v>0</v>
      </c>
      <c r="O37" s="480">
        <v>0</v>
      </c>
      <c r="P37" s="479">
        <v>0</v>
      </c>
      <c r="Q37" s="496"/>
    </row>
    <row r="38" spans="1:17" s="472" customFormat="1" x14ac:dyDescent="0.25">
      <c r="A38" s="500"/>
      <c r="B38" s="519" t="s">
        <v>303</v>
      </c>
      <c r="C38" s="495">
        <f>SUM(C39:C46)</f>
        <v>639000</v>
      </c>
      <c r="D38" s="475">
        <f t="shared" ref="D38:P38" si="14">SUM(D39:D46)</f>
        <v>65000</v>
      </c>
      <c r="E38" s="476">
        <f t="shared" si="11"/>
        <v>524000</v>
      </c>
      <c r="F38" s="477">
        <f t="shared" si="14"/>
        <v>130000</v>
      </c>
      <c r="G38" s="477">
        <f t="shared" si="14"/>
        <v>0</v>
      </c>
      <c r="H38" s="478">
        <f t="shared" si="14"/>
        <v>250000</v>
      </c>
      <c r="I38" s="478">
        <f t="shared" si="14"/>
        <v>0</v>
      </c>
      <c r="J38" s="478">
        <f t="shared" si="14"/>
        <v>0</v>
      </c>
      <c r="K38" s="479">
        <f t="shared" si="14"/>
        <v>144000</v>
      </c>
      <c r="L38" s="476">
        <f t="shared" si="14"/>
        <v>50000</v>
      </c>
      <c r="M38" s="480">
        <f t="shared" si="14"/>
        <v>0</v>
      </c>
      <c r="N38" s="478">
        <f t="shared" si="14"/>
        <v>50000</v>
      </c>
      <c r="O38" s="480">
        <f t="shared" si="14"/>
        <v>0</v>
      </c>
      <c r="P38" s="479">
        <f t="shared" si="14"/>
        <v>0</v>
      </c>
      <c r="Q38" s="496"/>
    </row>
    <row r="39" spans="1:17" outlineLevel="1" x14ac:dyDescent="0.25">
      <c r="A39" s="502"/>
      <c r="B39" s="503" t="s">
        <v>1540</v>
      </c>
      <c r="C39" s="484">
        <f>+E39+L39+D39</f>
        <v>64000</v>
      </c>
      <c r="D39" s="485">
        <v>0</v>
      </c>
      <c r="E39" s="486">
        <f t="shared" si="7"/>
        <v>64000</v>
      </c>
      <c r="F39" s="487">
        <v>0</v>
      </c>
      <c r="G39" s="487">
        <v>0</v>
      </c>
      <c r="H39" s="488">
        <v>0</v>
      </c>
      <c r="I39" s="489"/>
      <c r="J39" s="488"/>
      <c r="K39" s="491">
        <v>64000</v>
      </c>
      <c r="L39" s="486">
        <f t="shared" si="1"/>
        <v>0</v>
      </c>
      <c r="M39" s="489"/>
      <c r="N39" s="488">
        <v>0</v>
      </c>
      <c r="O39" s="489">
        <v>0</v>
      </c>
      <c r="P39" s="491">
        <v>0</v>
      </c>
      <c r="Q39" s="447"/>
    </row>
    <row r="40" spans="1:17" outlineLevel="1" x14ac:dyDescent="0.25">
      <c r="A40" s="502"/>
      <c r="B40" s="503" t="s">
        <v>1541</v>
      </c>
      <c r="C40" s="484">
        <f t="shared" ref="C40:C43" si="15">+E40+L40+D40</f>
        <v>65000</v>
      </c>
      <c r="D40" s="485">
        <v>65000</v>
      </c>
      <c r="E40" s="486">
        <f t="shared" si="7"/>
        <v>0</v>
      </c>
      <c r="F40" s="487"/>
      <c r="G40" s="487"/>
      <c r="H40" s="488"/>
      <c r="I40" s="489"/>
      <c r="J40" s="488"/>
      <c r="K40" s="491"/>
      <c r="L40" s="486"/>
      <c r="M40" s="489"/>
      <c r="N40" s="488"/>
      <c r="O40" s="489"/>
      <c r="P40" s="491"/>
      <c r="Q40" s="447"/>
    </row>
    <row r="41" spans="1:17" outlineLevel="1" x14ac:dyDescent="0.25">
      <c r="A41" s="502"/>
      <c r="B41" s="503" t="s">
        <v>1542</v>
      </c>
      <c r="C41" s="484">
        <f t="shared" si="15"/>
        <v>130000</v>
      </c>
      <c r="D41" s="485"/>
      <c r="E41" s="486">
        <f t="shared" si="7"/>
        <v>130000</v>
      </c>
      <c r="F41" s="487">
        <v>130000</v>
      </c>
      <c r="G41" s="487"/>
      <c r="H41" s="488"/>
      <c r="I41" s="489"/>
      <c r="J41" s="488"/>
      <c r="K41" s="491"/>
      <c r="L41" s="486"/>
      <c r="M41" s="489"/>
      <c r="N41" s="488"/>
      <c r="O41" s="489"/>
      <c r="P41" s="491"/>
      <c r="Q41" s="447"/>
    </row>
    <row r="42" spans="1:17" outlineLevel="1" x14ac:dyDescent="0.25">
      <c r="A42" s="502"/>
      <c r="B42" s="503" t="s">
        <v>1543</v>
      </c>
      <c r="C42" s="484">
        <f t="shared" si="15"/>
        <v>30000</v>
      </c>
      <c r="D42" s="485"/>
      <c r="E42" s="486">
        <f t="shared" si="7"/>
        <v>30000</v>
      </c>
      <c r="F42" s="487"/>
      <c r="G42" s="487"/>
      <c r="H42" s="488"/>
      <c r="I42" s="489"/>
      <c r="J42" s="488"/>
      <c r="K42" s="491">
        <v>30000</v>
      </c>
      <c r="L42" s="486"/>
      <c r="M42" s="489"/>
      <c r="N42" s="488"/>
      <c r="O42" s="489"/>
      <c r="P42" s="491"/>
      <c r="Q42" s="447"/>
    </row>
    <row r="43" spans="1:17" outlineLevel="1" x14ac:dyDescent="0.25">
      <c r="A43" s="502"/>
      <c r="B43" s="503" t="s">
        <v>1544</v>
      </c>
      <c r="C43" s="484">
        <f t="shared" si="15"/>
        <v>20000</v>
      </c>
      <c r="D43" s="485"/>
      <c r="E43" s="486">
        <f t="shared" si="7"/>
        <v>20000</v>
      </c>
      <c r="F43" s="487"/>
      <c r="G43" s="487"/>
      <c r="H43" s="488"/>
      <c r="I43" s="489"/>
      <c r="J43" s="488"/>
      <c r="K43" s="491">
        <v>20000</v>
      </c>
      <c r="L43" s="486"/>
      <c r="M43" s="489"/>
      <c r="N43" s="488"/>
      <c r="O43" s="489"/>
      <c r="P43" s="491"/>
      <c r="Q43" s="447"/>
    </row>
    <row r="44" spans="1:17" outlineLevel="1" x14ac:dyDescent="0.25">
      <c r="A44" s="502"/>
      <c r="B44" s="503" t="s">
        <v>584</v>
      </c>
      <c r="C44" s="484">
        <f>+E44+L44+D44</f>
        <v>50000</v>
      </c>
      <c r="D44" s="485">
        <v>0</v>
      </c>
      <c r="E44" s="486">
        <f t="shared" si="7"/>
        <v>0</v>
      </c>
      <c r="F44" s="487">
        <v>0</v>
      </c>
      <c r="G44" s="487">
        <v>0</v>
      </c>
      <c r="H44" s="488">
        <v>0</v>
      </c>
      <c r="I44" s="489"/>
      <c r="J44" s="488"/>
      <c r="K44" s="491">
        <v>0</v>
      </c>
      <c r="L44" s="486">
        <f t="shared" si="1"/>
        <v>50000</v>
      </c>
      <c r="M44" s="489"/>
      <c r="N44" s="488">
        <v>50000</v>
      </c>
      <c r="O44" s="489"/>
      <c r="P44" s="491">
        <v>0</v>
      </c>
      <c r="Q44" s="447"/>
    </row>
    <row r="45" spans="1:17" outlineLevel="1" x14ac:dyDescent="0.25">
      <c r="A45" s="502"/>
      <c r="B45" s="503" t="s">
        <v>1545</v>
      </c>
      <c r="C45" s="484">
        <f>+E45+L45+D45</f>
        <v>250000</v>
      </c>
      <c r="D45" s="485">
        <v>0</v>
      </c>
      <c r="E45" s="486">
        <f t="shared" si="7"/>
        <v>250000</v>
      </c>
      <c r="F45" s="487"/>
      <c r="G45" s="487">
        <v>0</v>
      </c>
      <c r="H45" s="488">
        <v>250000</v>
      </c>
      <c r="I45" s="489"/>
      <c r="J45" s="488"/>
      <c r="K45" s="491">
        <v>0</v>
      </c>
      <c r="L45" s="486">
        <f t="shared" si="1"/>
        <v>0</v>
      </c>
      <c r="M45" s="489"/>
      <c r="N45" s="488">
        <v>0</v>
      </c>
      <c r="O45" s="489">
        <v>0</v>
      </c>
      <c r="P45" s="491">
        <v>0</v>
      </c>
      <c r="Q45" s="447"/>
    </row>
    <row r="46" spans="1:17" outlineLevel="1" x14ac:dyDescent="0.25">
      <c r="A46" s="502"/>
      <c r="B46" s="503" t="s">
        <v>408</v>
      </c>
      <c r="C46" s="484">
        <f>+E46+L46+D46</f>
        <v>30000</v>
      </c>
      <c r="D46" s="485">
        <v>0</v>
      </c>
      <c r="E46" s="486">
        <f t="shared" si="7"/>
        <v>30000</v>
      </c>
      <c r="F46" s="487">
        <v>0</v>
      </c>
      <c r="G46" s="487">
        <v>0</v>
      </c>
      <c r="H46" s="488">
        <v>0</v>
      </c>
      <c r="I46" s="489"/>
      <c r="J46" s="488"/>
      <c r="K46" s="491">
        <v>30000</v>
      </c>
      <c r="L46" s="486">
        <f t="shared" si="1"/>
        <v>0</v>
      </c>
      <c r="M46" s="489"/>
      <c r="N46" s="488"/>
      <c r="O46" s="489">
        <v>0</v>
      </c>
      <c r="P46" s="491">
        <v>0</v>
      </c>
      <c r="Q46" s="447"/>
    </row>
    <row r="47" spans="1:17" ht="14.25" thickBot="1" x14ac:dyDescent="0.3">
      <c r="A47" s="2219" t="s">
        <v>276</v>
      </c>
      <c r="B47" s="2220"/>
      <c r="C47" s="520">
        <f>C5+C29+C31+C36+C37+C38</f>
        <v>77950008.680000007</v>
      </c>
      <c r="D47" s="520">
        <f t="shared" ref="D47:P47" si="16">D5+D29+D31+D36+D37+D38</f>
        <v>2086639.25</v>
      </c>
      <c r="E47" s="521">
        <f>E5+E29+E31+E36+E37+E38</f>
        <v>26770681.899999999</v>
      </c>
      <c r="F47" s="522">
        <f t="shared" si="16"/>
        <v>1357636.6</v>
      </c>
      <c r="G47" s="520">
        <f t="shared" si="16"/>
        <v>531457.6</v>
      </c>
      <c r="H47" s="520">
        <f t="shared" si="16"/>
        <v>11425863.9</v>
      </c>
      <c r="I47" s="520">
        <f t="shared" si="16"/>
        <v>0</v>
      </c>
      <c r="J47" s="520">
        <f t="shared" si="16"/>
        <v>1410524</v>
      </c>
      <c r="K47" s="523">
        <f t="shared" si="16"/>
        <v>12045199.800000001</v>
      </c>
      <c r="L47" s="521">
        <f t="shared" si="16"/>
        <v>49092687.530000001</v>
      </c>
      <c r="M47" s="522">
        <f t="shared" si="16"/>
        <v>36779.129999999997</v>
      </c>
      <c r="N47" s="524">
        <f t="shared" si="16"/>
        <v>15926598</v>
      </c>
      <c r="O47" s="522">
        <f t="shared" si="16"/>
        <v>15124156</v>
      </c>
      <c r="P47" s="523">
        <f t="shared" si="16"/>
        <v>18005154.399999999</v>
      </c>
      <c r="Q47" s="525">
        <f>+D47+E47+L47</f>
        <v>77950008.680000007</v>
      </c>
    </row>
    <row r="48" spans="1:17" ht="14.25" thickBot="1" x14ac:dyDescent="0.3">
      <c r="A48" s="526" t="s">
        <v>391</v>
      </c>
      <c r="B48" s="446"/>
      <c r="C48" s="527"/>
      <c r="D48" s="527"/>
      <c r="E48" s="527"/>
      <c r="F48" s="528"/>
      <c r="G48" s="529"/>
      <c r="H48" s="527"/>
      <c r="I48" s="527"/>
      <c r="J48" s="527"/>
      <c r="K48" s="527"/>
      <c r="L48" s="527"/>
      <c r="M48" s="527"/>
      <c r="N48" s="527"/>
      <c r="O48" s="530"/>
      <c r="P48" s="530"/>
      <c r="Q48" s="447"/>
    </row>
    <row r="49" spans="1:17" s="541" customFormat="1" x14ac:dyDescent="0.25">
      <c r="A49" s="462">
        <v>5011</v>
      </c>
      <c r="B49" s="531" t="s">
        <v>91</v>
      </c>
      <c r="C49" s="532">
        <f>+E49+L49+D49</f>
        <v>16400289.460000001</v>
      </c>
      <c r="D49" s="1750">
        <v>2488375</v>
      </c>
      <c r="E49" s="533">
        <f>SUM(F49:K49)</f>
        <v>10822330</v>
      </c>
      <c r="F49" s="534">
        <v>921220</v>
      </c>
      <c r="G49" s="534">
        <v>381920</v>
      </c>
      <c r="H49" s="535">
        <v>1862130</v>
      </c>
      <c r="I49" s="536"/>
      <c r="J49" s="535">
        <v>1350800</v>
      </c>
      <c r="K49" s="537">
        <v>6306260</v>
      </c>
      <c r="L49" s="533">
        <f t="shared" ref="L49:L57" si="17">SUM(M49:P49)</f>
        <v>3089584.46</v>
      </c>
      <c r="M49" s="538">
        <v>1225971</v>
      </c>
      <c r="N49" s="2198">
        <v>886600</v>
      </c>
      <c r="O49" s="2199">
        <v>805200</v>
      </c>
      <c r="P49" s="1471">
        <v>171813.46</v>
      </c>
      <c r="Q49" s="447"/>
    </row>
    <row r="50" spans="1:17" s="541" customFormat="1" x14ac:dyDescent="0.25">
      <c r="A50" s="500">
        <v>5021</v>
      </c>
      <c r="B50" s="542" t="s">
        <v>92</v>
      </c>
      <c r="C50" s="504">
        <f t="shared" ref="C50:C57" si="18">+E50+L50+D50</f>
        <v>1434600</v>
      </c>
      <c r="D50" s="1751">
        <v>455000</v>
      </c>
      <c r="E50" s="506">
        <f t="shared" ref="E50:E57" si="19">SUM(F50:K50)</f>
        <v>600000</v>
      </c>
      <c r="F50" s="544">
        <v>0</v>
      </c>
      <c r="G50" s="544">
        <v>0</v>
      </c>
      <c r="H50" s="492">
        <v>0</v>
      </c>
      <c r="I50" s="545">
        <v>0</v>
      </c>
      <c r="J50" s="492">
        <v>0</v>
      </c>
      <c r="K50" s="546">
        <v>600000</v>
      </c>
      <c r="L50" s="506">
        <f t="shared" si="17"/>
        <v>379600</v>
      </c>
      <c r="M50" s="547"/>
      <c r="N50" s="2197">
        <v>379600</v>
      </c>
      <c r="O50" s="2200"/>
      <c r="P50" s="1441"/>
      <c r="Q50" s="447"/>
    </row>
    <row r="51" spans="1:17" s="541" customFormat="1" x14ac:dyDescent="0.25">
      <c r="A51" s="500">
        <v>5024</v>
      </c>
      <c r="B51" s="542" t="s">
        <v>300</v>
      </c>
      <c r="C51" s="504">
        <f t="shared" si="18"/>
        <v>0</v>
      </c>
      <c r="D51" s="1751">
        <v>0</v>
      </c>
      <c r="E51" s="506">
        <f t="shared" si="19"/>
        <v>0</v>
      </c>
      <c r="F51" s="544">
        <v>0</v>
      </c>
      <c r="G51" s="544">
        <v>0</v>
      </c>
      <c r="H51" s="492">
        <v>0</v>
      </c>
      <c r="I51" s="545"/>
      <c r="J51" s="492"/>
      <c r="K51" s="546">
        <v>0</v>
      </c>
      <c r="L51" s="506">
        <f t="shared" si="17"/>
        <v>0</v>
      </c>
      <c r="M51" s="547"/>
      <c r="N51" s="2197">
        <v>0</v>
      </c>
      <c r="O51" s="2200">
        <v>0</v>
      </c>
      <c r="P51" s="1441">
        <v>0</v>
      </c>
      <c r="Q51" s="447"/>
    </row>
    <row r="52" spans="1:17" s="541" customFormat="1" x14ac:dyDescent="0.25">
      <c r="A52" s="500">
        <v>5027</v>
      </c>
      <c r="B52" s="542" t="s">
        <v>949</v>
      </c>
      <c r="C52" s="504">
        <f>+E52+L52+D52</f>
        <v>621225</v>
      </c>
      <c r="D52" s="1751">
        <v>66264</v>
      </c>
      <c r="E52" s="506">
        <f t="shared" si="19"/>
        <v>438999</v>
      </c>
      <c r="F52" s="544">
        <v>33132</v>
      </c>
      <c r="G52" s="544">
        <v>16566</v>
      </c>
      <c r="H52" s="492">
        <v>91113</v>
      </c>
      <c r="I52" s="545"/>
      <c r="J52" s="492">
        <v>33132</v>
      </c>
      <c r="K52" s="546">
        <v>265056</v>
      </c>
      <c r="L52" s="506">
        <f t="shared" si="17"/>
        <v>115962</v>
      </c>
      <c r="M52" s="547">
        <v>49698</v>
      </c>
      <c r="N52" s="2197">
        <v>33132</v>
      </c>
      <c r="O52" s="2200">
        <v>33132</v>
      </c>
      <c r="P52" s="1441">
        <v>0</v>
      </c>
      <c r="Q52" s="447"/>
    </row>
    <row r="53" spans="1:17" s="541" customFormat="1" x14ac:dyDescent="0.25">
      <c r="A53" s="500">
        <v>5029</v>
      </c>
      <c r="B53" s="542" t="s">
        <v>95</v>
      </c>
      <c r="C53" s="504">
        <f t="shared" si="18"/>
        <v>0</v>
      </c>
      <c r="D53" s="1751">
        <v>0</v>
      </c>
      <c r="E53" s="506">
        <f t="shared" si="19"/>
        <v>0</v>
      </c>
      <c r="F53" s="544"/>
      <c r="G53" s="544"/>
      <c r="H53" s="492"/>
      <c r="I53" s="545"/>
      <c r="J53" s="492"/>
      <c r="K53" s="546"/>
      <c r="L53" s="506">
        <f t="shared" si="17"/>
        <v>0</v>
      </c>
      <c r="M53" s="547"/>
      <c r="N53" s="2197">
        <v>0</v>
      </c>
      <c r="O53" s="2200">
        <v>0</v>
      </c>
      <c r="P53" s="1441">
        <v>0</v>
      </c>
      <c r="Q53" s="447"/>
    </row>
    <row r="54" spans="1:17" s="541" customFormat="1" x14ac:dyDescent="0.25">
      <c r="A54" s="500">
        <v>5031</v>
      </c>
      <c r="B54" s="542" t="s">
        <v>96</v>
      </c>
      <c r="C54" s="504">
        <f t="shared" si="18"/>
        <v>4094159.8650000002</v>
      </c>
      <c r="D54" s="1751">
        <v>622093.75</v>
      </c>
      <c r="E54" s="506">
        <f t="shared" si="19"/>
        <v>2699670</v>
      </c>
      <c r="F54" s="544">
        <v>230305</v>
      </c>
      <c r="G54" s="544">
        <v>95480</v>
      </c>
      <c r="H54" s="492">
        <v>459620</v>
      </c>
      <c r="I54" s="545">
        <v>0</v>
      </c>
      <c r="J54" s="492">
        <v>337700</v>
      </c>
      <c r="K54" s="546">
        <v>1576565</v>
      </c>
      <c r="L54" s="506">
        <f t="shared" si="17"/>
        <v>772396.11499999999</v>
      </c>
      <c r="M54" s="547">
        <v>306492.75</v>
      </c>
      <c r="N54" s="2197">
        <v>221650</v>
      </c>
      <c r="O54" s="2200">
        <v>201300</v>
      </c>
      <c r="P54" s="1441">
        <v>42953.365000000005</v>
      </c>
      <c r="Q54" s="447"/>
    </row>
    <row r="55" spans="1:17" s="541" customFormat="1" x14ac:dyDescent="0.25">
      <c r="A55" s="500">
        <v>5032</v>
      </c>
      <c r="B55" s="542" t="s">
        <v>97</v>
      </c>
      <c r="C55" s="504">
        <f t="shared" si="18"/>
        <v>1473897.5514000002</v>
      </c>
      <c r="D55" s="1751">
        <v>223953.75</v>
      </c>
      <c r="E55" s="506">
        <f t="shared" si="19"/>
        <v>971881.20000000007</v>
      </c>
      <c r="F55" s="544">
        <v>82909.8</v>
      </c>
      <c r="G55" s="544">
        <v>34372.799999999996</v>
      </c>
      <c r="H55" s="492">
        <v>165463.20000000001</v>
      </c>
      <c r="I55" s="545">
        <v>0</v>
      </c>
      <c r="J55" s="492">
        <v>121572</v>
      </c>
      <c r="K55" s="546">
        <v>567563.4</v>
      </c>
      <c r="L55" s="506">
        <f t="shared" si="17"/>
        <v>278062.60140000004</v>
      </c>
      <c r="M55" s="547">
        <v>110337.39</v>
      </c>
      <c r="N55" s="2197">
        <v>79794</v>
      </c>
      <c r="O55" s="2200">
        <v>72468</v>
      </c>
      <c r="P55" s="1441">
        <v>15463.211400000002</v>
      </c>
      <c r="Q55" s="447"/>
    </row>
    <row r="56" spans="1:17" s="518" customFormat="1" x14ac:dyDescent="0.25">
      <c r="A56" s="1776"/>
      <c r="B56" s="934" t="s">
        <v>1698</v>
      </c>
      <c r="C56" s="510">
        <f t="shared" si="18"/>
        <v>492008.68000000005</v>
      </c>
      <c r="D56" s="1777">
        <v>74651.25</v>
      </c>
      <c r="E56" s="512">
        <f t="shared" si="19"/>
        <v>324669.90000000002</v>
      </c>
      <c r="F56" s="1778">
        <v>27636.6</v>
      </c>
      <c r="G56" s="1778">
        <v>11457.6</v>
      </c>
      <c r="H56" s="916">
        <v>55863.9</v>
      </c>
      <c r="I56" s="916">
        <f t="shared" ref="I56" si="20">+(I49+I50+I54+I55)*0.03</f>
        <v>0</v>
      </c>
      <c r="J56" s="916">
        <v>40524</v>
      </c>
      <c r="K56" s="916">
        <v>189187.8</v>
      </c>
      <c r="L56" s="512">
        <f t="shared" si="17"/>
        <v>92687.53</v>
      </c>
      <c r="M56" s="1780">
        <v>36779.129999999997</v>
      </c>
      <c r="N56" s="578">
        <v>26598</v>
      </c>
      <c r="O56" s="578">
        <v>24156</v>
      </c>
      <c r="P56" s="578">
        <v>5154.3999999999996</v>
      </c>
      <c r="Q56" s="517"/>
    </row>
    <row r="57" spans="1:17" s="541" customFormat="1" x14ac:dyDescent="0.25">
      <c r="A57" s="500">
        <v>5038</v>
      </c>
      <c r="B57" s="542" t="s">
        <v>98</v>
      </c>
      <c r="C57" s="504">
        <f t="shared" si="18"/>
        <v>68881.218999999997</v>
      </c>
      <c r="D57" s="1751">
        <v>10451.174999999999</v>
      </c>
      <c r="E57" s="506">
        <f t="shared" si="19"/>
        <v>45453.784</v>
      </c>
      <c r="F57" s="1440">
        <v>3869.1239999999998</v>
      </c>
      <c r="G57" s="1440">
        <v>1604.0639999999999</v>
      </c>
      <c r="H57" s="858">
        <v>7820.9459999999999</v>
      </c>
      <c r="I57" s="545"/>
      <c r="J57" s="858">
        <v>5673.36</v>
      </c>
      <c r="K57" s="2197">
        <v>26486.29</v>
      </c>
      <c r="L57" s="506">
        <f t="shared" si="17"/>
        <v>12976.26</v>
      </c>
      <c r="M57" s="547">
        <v>5149.08</v>
      </c>
      <c r="N57" s="546">
        <v>3723.72</v>
      </c>
      <c r="O57" s="548">
        <v>3381.84</v>
      </c>
      <c r="P57" s="549">
        <v>721.62</v>
      </c>
      <c r="Q57" s="447"/>
    </row>
    <row r="58" spans="1:17" ht="14.25" thickBot="1" x14ac:dyDescent="0.3">
      <c r="A58" s="550" t="s">
        <v>99</v>
      </c>
      <c r="B58" s="551" t="s">
        <v>151</v>
      </c>
      <c r="C58" s="520">
        <f>SUM(C49:C57)</f>
        <v>24585061.775400002</v>
      </c>
      <c r="D58" s="552">
        <f>SUM(D49:D57)</f>
        <v>3940788.9249999998</v>
      </c>
      <c r="E58" s="521">
        <f t="shared" ref="E58:P58" si="21">SUM(E49:E57)</f>
        <v>15903003.884</v>
      </c>
      <c r="F58" s="553">
        <f t="shared" si="21"/>
        <v>1299072.5240000002</v>
      </c>
      <c r="G58" s="553">
        <f t="shared" si="21"/>
        <v>541400.46400000004</v>
      </c>
      <c r="H58" s="554">
        <f t="shared" si="21"/>
        <v>2642011.0460000001</v>
      </c>
      <c r="I58" s="554">
        <f t="shared" si="21"/>
        <v>0</v>
      </c>
      <c r="J58" s="554">
        <f t="shared" si="21"/>
        <v>1889401.36</v>
      </c>
      <c r="K58" s="555">
        <f t="shared" si="21"/>
        <v>9531118.4900000002</v>
      </c>
      <c r="L58" s="521">
        <f t="shared" si="21"/>
        <v>4741268.9664000003</v>
      </c>
      <c r="M58" s="556">
        <f t="shared" si="21"/>
        <v>1734427.3499999999</v>
      </c>
      <c r="N58" s="555">
        <f t="shared" si="21"/>
        <v>1631097.72</v>
      </c>
      <c r="O58" s="557">
        <f t="shared" si="21"/>
        <v>1139637.8400000001</v>
      </c>
      <c r="P58" s="558">
        <f t="shared" si="21"/>
        <v>236106.0564</v>
      </c>
      <c r="Q58" s="525"/>
    </row>
    <row r="59" spans="1:17" x14ac:dyDescent="0.25">
      <c r="A59" s="559">
        <v>5178</v>
      </c>
      <c r="B59" s="542" t="s">
        <v>687</v>
      </c>
      <c r="C59" s="560">
        <f t="shared" ref="C59:K59" si="22">SUM(C60:C66)</f>
        <v>5580000</v>
      </c>
      <c r="D59" s="561">
        <f t="shared" si="22"/>
        <v>0</v>
      </c>
      <c r="E59" s="562">
        <f>SUM(E60:E66)</f>
        <v>4780000</v>
      </c>
      <c r="F59" s="563">
        <f t="shared" si="22"/>
        <v>0</v>
      </c>
      <c r="G59" s="563">
        <f t="shared" si="22"/>
        <v>0</v>
      </c>
      <c r="H59" s="564">
        <f t="shared" si="22"/>
        <v>2800000</v>
      </c>
      <c r="I59" s="564">
        <f t="shared" si="22"/>
        <v>0</v>
      </c>
      <c r="J59" s="564">
        <f t="shared" si="22"/>
        <v>770000</v>
      </c>
      <c r="K59" s="565">
        <f t="shared" si="22"/>
        <v>1210000</v>
      </c>
      <c r="L59" s="562">
        <f>SUM(N59:P59)</f>
        <v>800000</v>
      </c>
      <c r="M59" s="566">
        <f>SUM(M60:M66)</f>
        <v>0</v>
      </c>
      <c r="N59" s="565">
        <f>SUM(N60:N66)</f>
        <v>0</v>
      </c>
      <c r="O59" s="567">
        <f>SUM(O60:O66)</f>
        <v>800000</v>
      </c>
      <c r="P59" s="568">
        <f>SUM(P60:P66)</f>
        <v>0</v>
      </c>
      <c r="Q59" s="447"/>
    </row>
    <row r="60" spans="1:17" outlineLevel="1" x14ac:dyDescent="0.25">
      <c r="A60" s="569"/>
      <c r="B60" s="570" t="s">
        <v>1613</v>
      </c>
      <c r="C60" s="504">
        <f t="shared" ref="C60:C70" si="23">+E60+L60+D60</f>
        <v>770000</v>
      </c>
      <c r="D60" s="543"/>
      <c r="E60" s="506">
        <f t="shared" ref="E60:E70" si="24">SUM(F60:K60)</f>
        <v>770000</v>
      </c>
      <c r="F60" s="544">
        <v>0</v>
      </c>
      <c r="G60" s="544">
        <v>0</v>
      </c>
      <c r="H60" s="544">
        <v>0</v>
      </c>
      <c r="I60" s="544">
        <v>0</v>
      </c>
      <c r="J60" s="544">
        <v>770000</v>
      </c>
      <c r="K60" s="544">
        <v>0</v>
      </c>
      <c r="L60" s="506">
        <f t="shared" ref="L60:L108" si="25">SUM(N60:P60)</f>
        <v>0</v>
      </c>
      <c r="M60" s="571"/>
      <c r="N60" s="546"/>
      <c r="O60" s="548"/>
      <c r="P60" s="549"/>
      <c r="Q60" s="447"/>
    </row>
    <row r="61" spans="1:17" outlineLevel="1" x14ac:dyDescent="0.25">
      <c r="A61" s="569"/>
      <c r="B61" s="570" t="s">
        <v>318</v>
      </c>
      <c r="C61" s="504">
        <f t="shared" si="23"/>
        <v>950000</v>
      </c>
      <c r="D61" s="543"/>
      <c r="E61" s="506">
        <f t="shared" si="24"/>
        <v>950000</v>
      </c>
      <c r="F61" s="544">
        <v>0</v>
      </c>
      <c r="G61" s="544">
        <v>0</v>
      </c>
      <c r="H61" s="492">
        <v>950000</v>
      </c>
      <c r="I61" s="492">
        <v>0</v>
      </c>
      <c r="J61" s="492">
        <v>0</v>
      </c>
      <c r="K61" s="546">
        <v>0</v>
      </c>
      <c r="L61" s="506">
        <f t="shared" si="25"/>
        <v>0</v>
      </c>
      <c r="M61" s="571"/>
      <c r="N61" s="546"/>
      <c r="O61" s="548"/>
      <c r="P61" s="549"/>
      <c r="Q61" s="447"/>
    </row>
    <row r="62" spans="1:17" outlineLevel="1" x14ac:dyDescent="0.25">
      <c r="A62" s="569"/>
      <c r="B62" s="570" t="s">
        <v>1696</v>
      </c>
      <c r="C62" s="504">
        <f t="shared" si="23"/>
        <v>1850000</v>
      </c>
      <c r="D62" s="543"/>
      <c r="E62" s="506">
        <f t="shared" si="24"/>
        <v>1850000</v>
      </c>
      <c r="F62" s="544">
        <v>0</v>
      </c>
      <c r="G62" s="544">
        <v>0</v>
      </c>
      <c r="H62" s="492">
        <f>H10</f>
        <v>1850000</v>
      </c>
      <c r="I62" s="492">
        <v>0</v>
      </c>
      <c r="J62" s="492">
        <v>0</v>
      </c>
      <c r="K62" s="546">
        <v>0</v>
      </c>
      <c r="L62" s="506">
        <f t="shared" si="25"/>
        <v>0</v>
      </c>
      <c r="M62" s="571"/>
      <c r="N62" s="546"/>
      <c r="O62" s="548"/>
      <c r="P62" s="549"/>
      <c r="Q62" s="447"/>
    </row>
    <row r="63" spans="1:17" outlineLevel="1" x14ac:dyDescent="0.25">
      <c r="A63" s="569"/>
      <c r="B63" s="570" t="s">
        <v>1388</v>
      </c>
      <c r="C63" s="504">
        <f t="shared" si="23"/>
        <v>400000</v>
      </c>
      <c r="D63" s="543"/>
      <c r="E63" s="506">
        <f t="shared" si="24"/>
        <v>400000</v>
      </c>
      <c r="F63" s="544">
        <v>0</v>
      </c>
      <c r="G63" s="544">
        <v>0</v>
      </c>
      <c r="H63" s="492">
        <v>0</v>
      </c>
      <c r="I63" s="492">
        <v>0</v>
      </c>
      <c r="J63" s="492">
        <v>0</v>
      </c>
      <c r="K63" s="546">
        <v>400000</v>
      </c>
      <c r="L63" s="506">
        <f t="shared" si="25"/>
        <v>0</v>
      </c>
      <c r="M63" s="571"/>
      <c r="N63" s="546"/>
      <c r="O63" s="548"/>
      <c r="P63" s="549"/>
      <c r="Q63" s="447"/>
    </row>
    <row r="64" spans="1:17" outlineLevel="1" x14ac:dyDescent="0.25">
      <c r="A64" s="569"/>
      <c r="B64" s="570" t="s">
        <v>1615</v>
      </c>
      <c r="C64" s="504">
        <f t="shared" si="23"/>
        <v>0</v>
      </c>
      <c r="D64" s="543"/>
      <c r="E64" s="506">
        <f t="shared" si="24"/>
        <v>0</v>
      </c>
      <c r="F64" s="544">
        <v>0</v>
      </c>
      <c r="G64" s="544">
        <v>0</v>
      </c>
      <c r="H64" s="492">
        <v>0</v>
      </c>
      <c r="I64" s="492"/>
      <c r="J64" s="492"/>
      <c r="K64" s="546">
        <v>0</v>
      </c>
      <c r="L64" s="506">
        <f t="shared" si="25"/>
        <v>0</v>
      </c>
      <c r="M64" s="571"/>
      <c r="N64" s="546"/>
      <c r="O64" s="548"/>
      <c r="P64" s="549"/>
      <c r="Q64" s="447"/>
    </row>
    <row r="65" spans="1:17" outlineLevel="1" x14ac:dyDescent="0.25">
      <c r="A65" s="569"/>
      <c r="B65" s="570" t="s">
        <v>2044</v>
      </c>
      <c r="C65" s="504">
        <f t="shared" si="23"/>
        <v>800000</v>
      </c>
      <c r="D65" s="543"/>
      <c r="E65" s="506"/>
      <c r="F65" s="544"/>
      <c r="G65" s="544"/>
      <c r="H65" s="492"/>
      <c r="I65" s="492"/>
      <c r="J65" s="492"/>
      <c r="K65" s="546"/>
      <c r="L65" s="506">
        <f t="shared" si="25"/>
        <v>800000</v>
      </c>
      <c r="M65" s="571"/>
      <c r="N65" s="546"/>
      <c r="O65" s="548">
        <v>800000</v>
      </c>
      <c r="P65" s="549"/>
      <c r="Q65" s="447"/>
    </row>
    <row r="66" spans="1:17" outlineLevel="1" x14ac:dyDescent="0.25">
      <c r="A66" s="569"/>
      <c r="B66" s="570" t="s">
        <v>1389</v>
      </c>
      <c r="C66" s="504">
        <f t="shared" si="23"/>
        <v>810000</v>
      </c>
      <c r="D66" s="543"/>
      <c r="E66" s="506">
        <f t="shared" si="24"/>
        <v>810000</v>
      </c>
      <c r="F66" s="544">
        <v>0</v>
      </c>
      <c r="G66" s="544">
        <v>0</v>
      </c>
      <c r="H66" s="492">
        <v>0</v>
      </c>
      <c r="I66" s="492">
        <v>0</v>
      </c>
      <c r="J66" s="492">
        <v>0</v>
      </c>
      <c r="K66" s="546">
        <v>810000</v>
      </c>
      <c r="L66" s="506">
        <f t="shared" si="25"/>
        <v>0</v>
      </c>
      <c r="M66" s="571"/>
      <c r="N66" s="546"/>
      <c r="O66" s="548"/>
      <c r="P66" s="549"/>
      <c r="Q66" s="447"/>
    </row>
    <row r="67" spans="1:17" x14ac:dyDescent="0.25">
      <c r="A67" s="559">
        <v>5132</v>
      </c>
      <c r="B67" s="542" t="s">
        <v>101</v>
      </c>
      <c r="C67" s="560">
        <f t="shared" si="23"/>
        <v>74000</v>
      </c>
      <c r="D67" s="561">
        <v>1000</v>
      </c>
      <c r="E67" s="562">
        <f t="shared" si="24"/>
        <v>61000</v>
      </c>
      <c r="F67" s="563">
        <v>4000</v>
      </c>
      <c r="G67" s="572">
        <v>7000</v>
      </c>
      <c r="H67" s="564">
        <v>12000</v>
      </c>
      <c r="I67" s="564"/>
      <c r="J67" s="564">
        <v>4000</v>
      </c>
      <c r="K67" s="565">
        <v>34000</v>
      </c>
      <c r="L67" s="562">
        <f t="shared" si="25"/>
        <v>12000</v>
      </c>
      <c r="M67" s="566"/>
      <c r="N67" s="565">
        <v>9000</v>
      </c>
      <c r="O67" s="567">
        <v>3000</v>
      </c>
      <c r="P67" s="568">
        <v>0</v>
      </c>
      <c r="Q67" s="447"/>
    </row>
    <row r="68" spans="1:17" x14ac:dyDescent="0.25">
      <c r="A68" s="559">
        <v>5134</v>
      </c>
      <c r="B68" s="542" t="s">
        <v>102</v>
      </c>
      <c r="C68" s="560">
        <f t="shared" si="23"/>
        <v>217000</v>
      </c>
      <c r="D68" s="561">
        <v>2000</v>
      </c>
      <c r="E68" s="562">
        <f t="shared" si="24"/>
        <v>194000</v>
      </c>
      <c r="F68" s="563">
        <v>14000</v>
      </c>
      <c r="G68" s="563">
        <v>5000</v>
      </c>
      <c r="H68" s="564">
        <v>42000</v>
      </c>
      <c r="I68" s="573"/>
      <c r="J68" s="564">
        <v>14000</v>
      </c>
      <c r="K68" s="565">
        <v>119000</v>
      </c>
      <c r="L68" s="562">
        <f t="shared" si="25"/>
        <v>21000</v>
      </c>
      <c r="M68" s="566"/>
      <c r="N68" s="565">
        <v>14000</v>
      </c>
      <c r="O68" s="567">
        <v>7000</v>
      </c>
      <c r="P68" s="568">
        <v>0</v>
      </c>
      <c r="Q68" s="447"/>
    </row>
    <row r="69" spans="1:17" x14ac:dyDescent="0.25">
      <c r="A69" s="559">
        <v>5136</v>
      </c>
      <c r="B69" s="542" t="s">
        <v>103</v>
      </c>
      <c r="C69" s="560">
        <f t="shared" si="23"/>
        <v>5000</v>
      </c>
      <c r="D69" s="561">
        <v>5000</v>
      </c>
      <c r="E69" s="562">
        <f t="shared" si="24"/>
        <v>0</v>
      </c>
      <c r="F69" s="563"/>
      <c r="G69" s="563"/>
      <c r="H69" s="564"/>
      <c r="I69" s="564"/>
      <c r="J69" s="564"/>
      <c r="K69" s="565"/>
      <c r="L69" s="562">
        <f t="shared" si="25"/>
        <v>0</v>
      </c>
      <c r="M69" s="566"/>
      <c r="N69" s="565">
        <v>0</v>
      </c>
      <c r="O69" s="567">
        <v>0</v>
      </c>
      <c r="P69" s="568">
        <v>0</v>
      </c>
      <c r="Q69" s="447"/>
    </row>
    <row r="70" spans="1:17" x14ac:dyDescent="0.25">
      <c r="A70" s="559">
        <v>5137</v>
      </c>
      <c r="B70" s="542" t="s">
        <v>104</v>
      </c>
      <c r="C70" s="560">
        <f t="shared" si="23"/>
        <v>760000</v>
      </c>
      <c r="D70" s="561">
        <v>60000</v>
      </c>
      <c r="E70" s="562">
        <f t="shared" si="24"/>
        <v>530000</v>
      </c>
      <c r="F70" s="563">
        <v>30000</v>
      </c>
      <c r="G70" s="563"/>
      <c r="H70" s="564">
        <v>50000</v>
      </c>
      <c r="I70" s="564"/>
      <c r="J70" s="564">
        <v>250000</v>
      </c>
      <c r="K70" s="565">
        <v>200000</v>
      </c>
      <c r="L70" s="562">
        <f t="shared" si="25"/>
        <v>170000</v>
      </c>
      <c r="M70" s="566"/>
      <c r="N70" s="565">
        <v>150000</v>
      </c>
      <c r="O70" s="567">
        <v>20000</v>
      </c>
      <c r="P70" s="568">
        <v>0</v>
      </c>
      <c r="Q70" s="447"/>
    </row>
    <row r="71" spans="1:17" s="472" customFormat="1" x14ac:dyDescent="0.25">
      <c r="A71" s="575">
        <v>5139</v>
      </c>
      <c r="B71" s="519" t="s">
        <v>105</v>
      </c>
      <c r="C71" s="495">
        <f t="shared" ref="C71:K71" si="26">SUM(C72:C94)</f>
        <v>2907547</v>
      </c>
      <c r="D71" s="475">
        <f t="shared" si="26"/>
        <v>85000</v>
      </c>
      <c r="E71" s="476">
        <f>SUM(E72:E94)</f>
        <v>911047</v>
      </c>
      <c r="F71" s="477">
        <f t="shared" si="26"/>
        <v>163000</v>
      </c>
      <c r="G71" s="477">
        <f t="shared" si="26"/>
        <v>20000</v>
      </c>
      <c r="H71" s="478">
        <f t="shared" si="26"/>
        <v>147000</v>
      </c>
      <c r="I71" s="478">
        <f t="shared" si="26"/>
        <v>0</v>
      </c>
      <c r="J71" s="478">
        <f t="shared" si="26"/>
        <v>48000</v>
      </c>
      <c r="K71" s="480">
        <f t="shared" si="26"/>
        <v>533047</v>
      </c>
      <c r="L71" s="476">
        <f t="shared" si="25"/>
        <v>1911500</v>
      </c>
      <c r="M71" s="576">
        <f>SUM(M72:M94)</f>
        <v>0</v>
      </c>
      <c r="N71" s="480">
        <f>SUM(N72:N94)</f>
        <v>1484000</v>
      </c>
      <c r="O71" s="577">
        <f>SUM(O72:O94)</f>
        <v>407500</v>
      </c>
      <c r="P71" s="479">
        <f>SUM(P72:P94)</f>
        <v>20000</v>
      </c>
      <c r="Q71" s="496"/>
    </row>
    <row r="72" spans="1:17" outlineLevel="1" x14ac:dyDescent="0.25">
      <c r="A72" s="569"/>
      <c r="B72" s="570" t="s">
        <v>394</v>
      </c>
      <c r="C72" s="504">
        <f t="shared" ref="C72:C106" si="27">+E72+L72+D72</f>
        <v>45500</v>
      </c>
      <c r="D72" s="543">
        <v>15000</v>
      </c>
      <c r="E72" s="506">
        <f t="shared" ref="E72:E106" si="28">SUM(F72:K72)</f>
        <v>26000</v>
      </c>
      <c r="F72" s="544">
        <v>3000</v>
      </c>
      <c r="G72" s="544">
        <v>2000</v>
      </c>
      <c r="H72" s="492">
        <v>3000</v>
      </c>
      <c r="I72" s="492"/>
      <c r="J72" s="492">
        <v>5000</v>
      </c>
      <c r="K72" s="546">
        <v>13000</v>
      </c>
      <c r="L72" s="506">
        <f t="shared" si="25"/>
        <v>4500</v>
      </c>
      <c r="M72" s="571"/>
      <c r="N72" s="546">
        <v>3000</v>
      </c>
      <c r="O72" s="548">
        <v>1500</v>
      </c>
      <c r="P72" s="549">
        <v>0</v>
      </c>
      <c r="Q72" s="447"/>
    </row>
    <row r="73" spans="1:17" outlineLevel="1" x14ac:dyDescent="0.25">
      <c r="A73" s="569"/>
      <c r="B73" s="570" t="s">
        <v>395</v>
      </c>
      <c r="C73" s="504">
        <f t="shared" si="27"/>
        <v>140000</v>
      </c>
      <c r="D73" s="543">
        <v>0</v>
      </c>
      <c r="E73" s="506">
        <f t="shared" si="28"/>
        <v>0</v>
      </c>
      <c r="F73" s="544"/>
      <c r="G73" s="544"/>
      <c r="H73" s="492"/>
      <c r="I73" s="492"/>
      <c r="J73" s="492"/>
      <c r="K73" s="546"/>
      <c r="L73" s="506">
        <f t="shared" si="25"/>
        <v>140000</v>
      </c>
      <c r="M73" s="571"/>
      <c r="N73" s="546">
        <v>0</v>
      </c>
      <c r="O73" s="548">
        <v>140000</v>
      </c>
      <c r="P73" s="549">
        <v>0</v>
      </c>
      <c r="Q73" s="447"/>
    </row>
    <row r="74" spans="1:17" outlineLevel="1" x14ac:dyDescent="0.25">
      <c r="A74" s="569"/>
      <c r="B74" s="570" t="s">
        <v>1626</v>
      </c>
      <c r="C74" s="504">
        <f t="shared" si="27"/>
        <v>40000</v>
      </c>
      <c r="D74" s="543">
        <v>0</v>
      </c>
      <c r="E74" s="506">
        <f t="shared" si="28"/>
        <v>0</v>
      </c>
      <c r="F74" s="544"/>
      <c r="G74" s="544"/>
      <c r="H74" s="492"/>
      <c r="I74" s="492"/>
      <c r="J74" s="492"/>
      <c r="K74" s="546"/>
      <c r="L74" s="506">
        <f t="shared" si="25"/>
        <v>40000</v>
      </c>
      <c r="M74" s="571"/>
      <c r="N74" s="546">
        <v>0</v>
      </c>
      <c r="O74" s="548">
        <v>40000</v>
      </c>
      <c r="P74" s="549">
        <v>0</v>
      </c>
      <c r="Q74" s="447"/>
    </row>
    <row r="75" spans="1:17" outlineLevel="1" x14ac:dyDescent="0.25">
      <c r="A75" s="569"/>
      <c r="B75" s="570" t="s">
        <v>396</v>
      </c>
      <c r="C75" s="504">
        <f t="shared" si="27"/>
        <v>20000</v>
      </c>
      <c r="D75" s="543">
        <v>0</v>
      </c>
      <c r="E75" s="506">
        <f t="shared" si="28"/>
        <v>0</v>
      </c>
      <c r="F75" s="544"/>
      <c r="G75" s="544"/>
      <c r="H75" s="492"/>
      <c r="I75" s="492"/>
      <c r="J75" s="492"/>
      <c r="K75" s="546"/>
      <c r="L75" s="506">
        <f t="shared" si="25"/>
        <v>20000</v>
      </c>
      <c r="M75" s="571"/>
      <c r="N75" s="546">
        <v>20000</v>
      </c>
      <c r="O75" s="548">
        <v>0</v>
      </c>
      <c r="P75" s="549">
        <v>0</v>
      </c>
      <c r="Q75" s="447"/>
    </row>
    <row r="76" spans="1:17" ht="12.75" customHeight="1" outlineLevel="1" x14ac:dyDescent="0.25">
      <c r="A76" s="569"/>
      <c r="B76" s="570" t="s">
        <v>397</v>
      </c>
      <c r="C76" s="504">
        <f t="shared" si="27"/>
        <v>700000</v>
      </c>
      <c r="D76" s="543">
        <v>0</v>
      </c>
      <c r="E76" s="506">
        <f t="shared" si="28"/>
        <v>0</v>
      </c>
      <c r="F76" s="544"/>
      <c r="G76" s="544"/>
      <c r="H76" s="492"/>
      <c r="I76" s="492"/>
      <c r="J76" s="492"/>
      <c r="K76" s="546"/>
      <c r="L76" s="506">
        <f t="shared" si="25"/>
        <v>700000</v>
      </c>
      <c r="M76" s="571"/>
      <c r="N76" s="546">
        <v>700000</v>
      </c>
      <c r="O76" s="548">
        <v>0</v>
      </c>
      <c r="P76" s="549">
        <v>0</v>
      </c>
      <c r="Q76" s="447"/>
    </row>
    <row r="77" spans="1:17" outlineLevel="1" x14ac:dyDescent="0.25">
      <c r="A77" s="569"/>
      <c r="B77" s="570" t="s">
        <v>587</v>
      </c>
      <c r="C77" s="504">
        <f t="shared" si="27"/>
        <v>87000</v>
      </c>
      <c r="D77" s="543">
        <v>45000</v>
      </c>
      <c r="E77" s="506">
        <f t="shared" si="28"/>
        <v>20000</v>
      </c>
      <c r="F77" s="544">
        <v>3000</v>
      </c>
      <c r="G77" s="544">
        <v>0</v>
      </c>
      <c r="H77" s="492">
        <v>2000</v>
      </c>
      <c r="I77" s="492"/>
      <c r="J77" s="492">
        <v>5000</v>
      </c>
      <c r="K77" s="546">
        <v>10000</v>
      </c>
      <c r="L77" s="506">
        <f t="shared" si="25"/>
        <v>22000</v>
      </c>
      <c r="M77" s="571"/>
      <c r="N77" s="546">
        <v>16000</v>
      </c>
      <c r="O77" s="548">
        <v>6000</v>
      </c>
      <c r="P77" s="549">
        <v>0</v>
      </c>
      <c r="Q77" s="447"/>
    </row>
    <row r="78" spans="1:17" outlineLevel="1" x14ac:dyDescent="0.25">
      <c r="A78" s="569"/>
      <c r="B78" s="570" t="s">
        <v>656</v>
      </c>
      <c r="C78" s="504">
        <f t="shared" si="27"/>
        <v>0</v>
      </c>
      <c r="D78" s="543">
        <v>0</v>
      </c>
      <c r="E78" s="506">
        <f t="shared" si="28"/>
        <v>0</v>
      </c>
      <c r="F78" s="544"/>
      <c r="G78" s="544"/>
      <c r="H78" s="492"/>
      <c r="I78" s="492"/>
      <c r="J78" s="492">
        <v>0</v>
      </c>
      <c r="K78" s="546">
        <v>0</v>
      </c>
      <c r="L78" s="506">
        <f t="shared" si="25"/>
        <v>0</v>
      </c>
      <c r="M78" s="571"/>
      <c r="N78" s="546">
        <v>0</v>
      </c>
      <c r="O78" s="548">
        <v>0</v>
      </c>
      <c r="P78" s="549">
        <v>0</v>
      </c>
      <c r="Q78" s="447"/>
    </row>
    <row r="79" spans="1:17" outlineLevel="1" x14ac:dyDescent="0.25">
      <c r="A79" s="569"/>
      <c r="B79" s="570" t="s">
        <v>398</v>
      </c>
      <c r="C79" s="504">
        <f t="shared" si="27"/>
        <v>176000</v>
      </c>
      <c r="D79" s="543">
        <v>0</v>
      </c>
      <c r="E79" s="506">
        <f t="shared" si="28"/>
        <v>176000</v>
      </c>
      <c r="F79" s="544">
        <v>20000</v>
      </c>
      <c r="G79" s="544">
        <v>6000</v>
      </c>
      <c r="H79" s="492"/>
      <c r="I79" s="492"/>
      <c r="J79" s="492"/>
      <c r="K79" s="546">
        <v>150000</v>
      </c>
      <c r="L79" s="506">
        <f t="shared" si="25"/>
        <v>0</v>
      </c>
      <c r="M79" s="571"/>
      <c r="N79" s="546">
        <v>0</v>
      </c>
      <c r="O79" s="548">
        <v>0</v>
      </c>
      <c r="P79" s="549">
        <v>0</v>
      </c>
      <c r="Q79" s="447"/>
    </row>
    <row r="80" spans="1:17" outlineLevel="1" x14ac:dyDescent="0.25">
      <c r="A80" s="569"/>
      <c r="B80" s="570" t="s">
        <v>657</v>
      </c>
      <c r="C80" s="504">
        <f t="shared" si="27"/>
        <v>5047</v>
      </c>
      <c r="D80" s="543">
        <v>0</v>
      </c>
      <c r="E80" s="506">
        <f t="shared" si="28"/>
        <v>5047</v>
      </c>
      <c r="F80" s="544"/>
      <c r="G80" s="544"/>
      <c r="H80" s="492"/>
      <c r="I80" s="492"/>
      <c r="J80" s="492"/>
      <c r="K80" s="546">
        <v>5047</v>
      </c>
      <c r="L80" s="506">
        <f t="shared" si="25"/>
        <v>0</v>
      </c>
      <c r="M80" s="571"/>
      <c r="N80" s="546">
        <v>0</v>
      </c>
      <c r="O80" s="548">
        <v>0</v>
      </c>
      <c r="P80" s="549">
        <v>0</v>
      </c>
      <c r="Q80" s="447"/>
    </row>
    <row r="81" spans="1:17" outlineLevel="1" x14ac:dyDescent="0.25">
      <c r="A81" s="569"/>
      <c r="B81" s="570" t="s">
        <v>658</v>
      </c>
      <c r="C81" s="504">
        <f t="shared" si="27"/>
        <v>0</v>
      </c>
      <c r="D81" s="543">
        <v>0</v>
      </c>
      <c r="E81" s="506">
        <f t="shared" si="28"/>
        <v>0</v>
      </c>
      <c r="F81" s="544"/>
      <c r="G81" s="544"/>
      <c r="H81" s="492"/>
      <c r="I81" s="492"/>
      <c r="J81" s="492"/>
      <c r="K81" s="546"/>
      <c r="L81" s="506">
        <f t="shared" si="25"/>
        <v>0</v>
      </c>
      <c r="M81" s="571"/>
      <c r="N81" s="546">
        <v>0</v>
      </c>
      <c r="O81" s="548">
        <v>0</v>
      </c>
      <c r="P81" s="549">
        <v>0</v>
      </c>
      <c r="Q81" s="447"/>
    </row>
    <row r="82" spans="1:17" outlineLevel="1" x14ac:dyDescent="0.25">
      <c r="A82" s="569"/>
      <c r="B82" s="570" t="s">
        <v>659</v>
      </c>
      <c r="C82" s="504">
        <f t="shared" si="27"/>
        <v>0</v>
      </c>
      <c r="D82" s="543">
        <v>0</v>
      </c>
      <c r="E82" s="506">
        <f t="shared" si="28"/>
        <v>0</v>
      </c>
      <c r="F82" s="544"/>
      <c r="G82" s="544"/>
      <c r="H82" s="492"/>
      <c r="I82" s="492"/>
      <c r="J82" s="492"/>
      <c r="K82" s="546"/>
      <c r="L82" s="506">
        <f t="shared" si="25"/>
        <v>0</v>
      </c>
      <c r="M82" s="571"/>
      <c r="N82" s="546">
        <v>0</v>
      </c>
      <c r="O82" s="548">
        <v>0</v>
      </c>
      <c r="P82" s="549">
        <v>0</v>
      </c>
      <c r="Q82" s="447"/>
    </row>
    <row r="83" spans="1:17" outlineLevel="1" x14ac:dyDescent="0.25">
      <c r="A83" s="569"/>
      <c r="B83" s="570" t="s">
        <v>1418</v>
      </c>
      <c r="C83" s="504">
        <f t="shared" si="27"/>
        <v>106000</v>
      </c>
      <c r="D83" s="543">
        <v>2000</v>
      </c>
      <c r="E83" s="506">
        <f t="shared" si="28"/>
        <v>89000</v>
      </c>
      <c r="F83" s="544">
        <v>50000</v>
      </c>
      <c r="G83" s="544">
        <v>2000</v>
      </c>
      <c r="H83" s="492">
        <v>2000</v>
      </c>
      <c r="I83" s="492">
        <v>0</v>
      </c>
      <c r="J83" s="492">
        <v>5000</v>
      </c>
      <c r="K83" s="546">
        <v>30000</v>
      </c>
      <c r="L83" s="506">
        <f t="shared" si="25"/>
        <v>15000</v>
      </c>
      <c r="M83" s="571"/>
      <c r="N83" s="546">
        <v>10000</v>
      </c>
      <c r="O83" s="548">
        <v>5000</v>
      </c>
      <c r="P83" s="549"/>
      <c r="Q83" s="447"/>
    </row>
    <row r="84" spans="1:17" outlineLevel="1" x14ac:dyDescent="0.25">
      <c r="A84" s="569"/>
      <c r="B84" s="570" t="s">
        <v>1420</v>
      </c>
      <c r="C84" s="504">
        <f t="shared" si="27"/>
        <v>72000</v>
      </c>
      <c r="D84" s="543"/>
      <c r="E84" s="506">
        <f t="shared" si="28"/>
        <v>32000</v>
      </c>
      <c r="F84" s="544">
        <v>2000</v>
      </c>
      <c r="G84" s="544"/>
      <c r="H84" s="492"/>
      <c r="I84" s="492"/>
      <c r="J84" s="492">
        <v>5000</v>
      </c>
      <c r="K84" s="546">
        <v>25000</v>
      </c>
      <c r="L84" s="506">
        <f t="shared" si="25"/>
        <v>40000</v>
      </c>
      <c r="M84" s="571"/>
      <c r="N84" s="546">
        <v>30000</v>
      </c>
      <c r="O84" s="548">
        <v>10000</v>
      </c>
      <c r="P84" s="549"/>
      <c r="Q84" s="447"/>
    </row>
    <row r="85" spans="1:17" outlineLevel="1" x14ac:dyDescent="0.25">
      <c r="A85" s="569"/>
      <c r="B85" s="570" t="s">
        <v>1422</v>
      </c>
      <c r="C85" s="504">
        <f t="shared" si="27"/>
        <v>165000</v>
      </c>
      <c r="D85" s="543">
        <v>5000</v>
      </c>
      <c r="E85" s="506">
        <f t="shared" si="28"/>
        <v>65000</v>
      </c>
      <c r="F85" s="544">
        <v>10000</v>
      </c>
      <c r="G85" s="544">
        <v>5000</v>
      </c>
      <c r="H85" s="492">
        <v>5000</v>
      </c>
      <c r="I85" s="492"/>
      <c r="J85" s="492">
        <v>5000</v>
      </c>
      <c r="K85" s="546">
        <v>40000</v>
      </c>
      <c r="L85" s="506">
        <f t="shared" si="25"/>
        <v>95000</v>
      </c>
      <c r="M85" s="571"/>
      <c r="N85" s="546">
        <v>40000</v>
      </c>
      <c r="O85" s="548">
        <v>40000</v>
      </c>
      <c r="P85" s="549">
        <v>15000</v>
      </c>
      <c r="Q85" s="447"/>
    </row>
    <row r="86" spans="1:17" outlineLevel="1" x14ac:dyDescent="0.25">
      <c r="A86" s="569"/>
      <c r="B86" s="570" t="s">
        <v>1424</v>
      </c>
      <c r="C86" s="504">
        <f t="shared" si="27"/>
        <v>90000</v>
      </c>
      <c r="D86" s="543"/>
      <c r="E86" s="506">
        <f t="shared" si="28"/>
        <v>90000</v>
      </c>
      <c r="F86" s="544"/>
      <c r="G86" s="544"/>
      <c r="H86" s="492">
        <v>80000</v>
      </c>
      <c r="I86" s="492"/>
      <c r="J86" s="492">
        <v>10000</v>
      </c>
      <c r="K86" s="546"/>
      <c r="L86" s="506">
        <f t="shared" si="25"/>
        <v>0</v>
      </c>
      <c r="M86" s="571"/>
      <c r="N86" s="546"/>
      <c r="O86" s="548"/>
      <c r="P86" s="549"/>
      <c r="Q86" s="447"/>
    </row>
    <row r="87" spans="1:17" outlineLevel="1" x14ac:dyDescent="0.25">
      <c r="A87" s="569"/>
      <c r="B87" s="570" t="s">
        <v>1426</v>
      </c>
      <c r="C87" s="504">
        <f t="shared" si="27"/>
        <v>50000</v>
      </c>
      <c r="D87" s="543">
        <v>2000</v>
      </c>
      <c r="E87" s="506">
        <f t="shared" si="28"/>
        <v>38000</v>
      </c>
      <c r="F87" s="544">
        <v>5000</v>
      </c>
      <c r="G87" s="544">
        <v>5000</v>
      </c>
      <c r="H87" s="492">
        <v>5000</v>
      </c>
      <c r="I87" s="492"/>
      <c r="J87" s="492">
        <v>3000</v>
      </c>
      <c r="K87" s="546">
        <v>20000</v>
      </c>
      <c r="L87" s="506">
        <f t="shared" si="25"/>
        <v>10000</v>
      </c>
      <c r="M87" s="571"/>
      <c r="N87" s="546">
        <v>5000</v>
      </c>
      <c r="O87" s="548">
        <v>5000</v>
      </c>
      <c r="P87" s="549"/>
      <c r="Q87" s="447"/>
    </row>
    <row r="88" spans="1:17" outlineLevel="1" x14ac:dyDescent="0.25">
      <c r="A88" s="569"/>
      <c r="B88" s="570" t="s">
        <v>1428</v>
      </c>
      <c r="C88" s="504">
        <f t="shared" si="27"/>
        <v>110000</v>
      </c>
      <c r="D88" s="543">
        <v>15000</v>
      </c>
      <c r="E88" s="506">
        <f t="shared" si="28"/>
        <v>75000</v>
      </c>
      <c r="F88" s="544">
        <v>20000</v>
      </c>
      <c r="G88" s="544"/>
      <c r="H88" s="492">
        <v>10000</v>
      </c>
      <c r="I88" s="492"/>
      <c r="J88" s="492">
        <v>10000</v>
      </c>
      <c r="K88" s="546">
        <v>35000</v>
      </c>
      <c r="L88" s="506">
        <f t="shared" si="25"/>
        <v>20000</v>
      </c>
      <c r="M88" s="571"/>
      <c r="N88" s="546">
        <v>10000</v>
      </c>
      <c r="O88" s="548">
        <v>10000</v>
      </c>
      <c r="P88" s="549"/>
      <c r="Q88" s="447"/>
    </row>
    <row r="89" spans="1:17" outlineLevel="1" x14ac:dyDescent="0.25">
      <c r="A89" s="569"/>
      <c r="B89" s="570" t="s">
        <v>1430</v>
      </c>
      <c r="C89" s="504">
        <f t="shared" si="27"/>
        <v>855000</v>
      </c>
      <c r="D89" s="543"/>
      <c r="E89" s="506">
        <f t="shared" si="28"/>
        <v>50000</v>
      </c>
      <c r="F89" s="544"/>
      <c r="G89" s="544"/>
      <c r="H89" s="492"/>
      <c r="I89" s="492"/>
      <c r="J89" s="492"/>
      <c r="K89" s="546">
        <v>50000</v>
      </c>
      <c r="L89" s="506">
        <f t="shared" si="25"/>
        <v>805000</v>
      </c>
      <c r="M89" s="571"/>
      <c r="N89" s="546">
        <v>650000</v>
      </c>
      <c r="O89" s="548">
        <v>150000</v>
      </c>
      <c r="P89" s="549">
        <v>5000</v>
      </c>
      <c r="Q89" s="447"/>
    </row>
    <row r="90" spans="1:17" outlineLevel="1" x14ac:dyDescent="0.25">
      <c r="A90" s="569"/>
      <c r="B90" s="570" t="s">
        <v>1432</v>
      </c>
      <c r="C90" s="504">
        <f t="shared" si="27"/>
        <v>71000</v>
      </c>
      <c r="D90" s="543">
        <v>1000</v>
      </c>
      <c r="E90" s="506">
        <f t="shared" si="28"/>
        <v>70000</v>
      </c>
      <c r="F90" s="544">
        <v>20000</v>
      </c>
      <c r="G90" s="544"/>
      <c r="H90" s="492"/>
      <c r="I90" s="492"/>
      <c r="J90" s="492"/>
      <c r="K90" s="546">
        <v>50000</v>
      </c>
      <c r="L90" s="506">
        <f t="shared" si="25"/>
        <v>0</v>
      </c>
      <c r="M90" s="571"/>
      <c r="N90" s="546"/>
      <c r="O90" s="548"/>
      <c r="P90" s="549"/>
      <c r="Q90" s="447"/>
    </row>
    <row r="91" spans="1:17" outlineLevel="1" x14ac:dyDescent="0.25">
      <c r="A91" s="569"/>
      <c r="B91" s="570" t="s">
        <v>1434</v>
      </c>
      <c r="C91" s="504">
        <f t="shared" si="27"/>
        <v>70000</v>
      </c>
      <c r="D91" s="543"/>
      <c r="E91" s="506">
        <f t="shared" si="28"/>
        <v>70000</v>
      </c>
      <c r="F91" s="544"/>
      <c r="G91" s="544"/>
      <c r="H91" s="492">
        <v>40000</v>
      </c>
      <c r="I91" s="492"/>
      <c r="J91" s="492"/>
      <c r="K91" s="546">
        <v>30000</v>
      </c>
      <c r="L91" s="506">
        <f t="shared" si="25"/>
        <v>0</v>
      </c>
      <c r="M91" s="571"/>
      <c r="N91" s="546"/>
      <c r="O91" s="548"/>
      <c r="P91" s="549"/>
      <c r="Q91" s="447"/>
    </row>
    <row r="92" spans="1:17" outlineLevel="1" x14ac:dyDescent="0.25">
      <c r="A92" s="569"/>
      <c r="B92" s="570" t="s">
        <v>1436</v>
      </c>
      <c r="C92" s="504">
        <f t="shared" si="27"/>
        <v>80000</v>
      </c>
      <c r="D92" s="543"/>
      <c r="E92" s="506">
        <f t="shared" si="28"/>
        <v>80000</v>
      </c>
      <c r="F92" s="544">
        <v>30000</v>
      </c>
      <c r="G92" s="544"/>
      <c r="H92" s="492"/>
      <c r="I92" s="492"/>
      <c r="J92" s="492"/>
      <c r="K92" s="546">
        <v>50000</v>
      </c>
      <c r="L92" s="506">
        <f t="shared" si="25"/>
        <v>0</v>
      </c>
      <c r="M92" s="571"/>
      <c r="N92" s="546"/>
      <c r="O92" s="548"/>
      <c r="P92" s="549"/>
      <c r="Q92" s="447"/>
    </row>
    <row r="93" spans="1:17" outlineLevel="1" x14ac:dyDescent="0.25">
      <c r="A93" s="569"/>
      <c r="B93" s="570" t="s">
        <v>1438</v>
      </c>
      <c r="C93" s="504">
        <f t="shared" si="27"/>
        <v>25000</v>
      </c>
      <c r="D93" s="543"/>
      <c r="E93" s="506">
        <f t="shared" si="28"/>
        <v>25000</v>
      </c>
      <c r="F93" s="544"/>
      <c r="G93" s="544"/>
      <c r="H93" s="492"/>
      <c r="I93" s="492"/>
      <c r="J93" s="492"/>
      <c r="K93" s="546">
        <v>25000</v>
      </c>
      <c r="L93" s="506">
        <f t="shared" si="25"/>
        <v>0</v>
      </c>
      <c r="M93" s="571"/>
      <c r="N93" s="546"/>
      <c r="O93" s="548"/>
      <c r="P93" s="549"/>
      <c r="Q93" s="447"/>
    </row>
    <row r="94" spans="1:17" ht="12" customHeight="1" outlineLevel="1" x14ac:dyDescent="0.25">
      <c r="A94" s="569"/>
      <c r="B94" s="570"/>
      <c r="C94" s="504">
        <f t="shared" si="27"/>
        <v>0</v>
      </c>
      <c r="D94" s="543"/>
      <c r="E94" s="506">
        <f t="shared" si="28"/>
        <v>0</v>
      </c>
      <c r="F94" s="544"/>
      <c r="G94" s="544"/>
      <c r="H94" s="492"/>
      <c r="I94" s="492"/>
      <c r="J94" s="492"/>
      <c r="K94" s="546"/>
      <c r="L94" s="506">
        <f t="shared" si="25"/>
        <v>0</v>
      </c>
      <c r="M94" s="571"/>
      <c r="N94" s="546"/>
      <c r="O94" s="548"/>
      <c r="P94" s="549"/>
      <c r="Q94" s="447"/>
    </row>
    <row r="95" spans="1:17" x14ac:dyDescent="0.25">
      <c r="A95" s="559">
        <v>5151</v>
      </c>
      <c r="B95" s="542" t="s">
        <v>1440</v>
      </c>
      <c r="C95" s="560">
        <f t="shared" si="27"/>
        <v>12000</v>
      </c>
      <c r="D95" s="561">
        <v>5000</v>
      </c>
      <c r="E95" s="562">
        <f t="shared" si="28"/>
        <v>7000</v>
      </c>
      <c r="F95" s="563">
        <v>0</v>
      </c>
      <c r="G95" s="563">
        <v>0</v>
      </c>
      <c r="H95" s="564">
        <v>0</v>
      </c>
      <c r="I95" s="564"/>
      <c r="J95" s="564">
        <v>2000</v>
      </c>
      <c r="K95" s="565">
        <v>5000</v>
      </c>
      <c r="L95" s="562">
        <f t="shared" si="25"/>
        <v>0</v>
      </c>
      <c r="M95" s="566"/>
      <c r="N95" s="565">
        <v>0</v>
      </c>
      <c r="O95" s="567">
        <v>0</v>
      </c>
      <c r="P95" s="568">
        <v>0</v>
      </c>
      <c r="Q95" s="447"/>
    </row>
    <row r="96" spans="1:17" x14ac:dyDescent="0.25">
      <c r="A96" s="559">
        <v>5151</v>
      </c>
      <c r="B96" s="542" t="s">
        <v>1441</v>
      </c>
      <c r="C96" s="560">
        <f t="shared" si="27"/>
        <v>18250000</v>
      </c>
      <c r="D96" s="561"/>
      <c r="E96" s="562">
        <f t="shared" si="28"/>
        <v>0</v>
      </c>
      <c r="F96" s="563"/>
      <c r="G96" s="563"/>
      <c r="H96" s="564"/>
      <c r="I96" s="564"/>
      <c r="J96" s="564"/>
      <c r="K96" s="565"/>
      <c r="L96" s="562">
        <f t="shared" si="25"/>
        <v>18250000</v>
      </c>
      <c r="M96" s="566"/>
      <c r="N96" s="565">
        <v>7500000</v>
      </c>
      <c r="O96" s="567"/>
      <c r="P96" s="568">
        <v>10750000</v>
      </c>
      <c r="Q96" s="447"/>
    </row>
    <row r="97" spans="1:17" x14ac:dyDescent="0.25">
      <c r="A97" s="559">
        <v>5153</v>
      </c>
      <c r="B97" s="542" t="s">
        <v>107</v>
      </c>
      <c r="C97" s="560">
        <f t="shared" si="27"/>
        <v>530000</v>
      </c>
      <c r="D97" s="561">
        <v>160000</v>
      </c>
      <c r="E97" s="562">
        <f t="shared" si="28"/>
        <v>90000</v>
      </c>
      <c r="F97" s="563"/>
      <c r="G97" s="563"/>
      <c r="H97" s="564"/>
      <c r="I97" s="564"/>
      <c r="J97" s="564"/>
      <c r="K97" s="565">
        <v>90000</v>
      </c>
      <c r="L97" s="562">
        <f t="shared" si="25"/>
        <v>280000</v>
      </c>
      <c r="M97" s="566"/>
      <c r="N97" s="565"/>
      <c r="O97" s="567">
        <v>280000</v>
      </c>
      <c r="P97" s="568"/>
      <c r="Q97" s="447"/>
    </row>
    <row r="98" spans="1:17" x14ac:dyDescent="0.25">
      <c r="A98" s="559">
        <v>5154</v>
      </c>
      <c r="B98" s="542" t="s">
        <v>108</v>
      </c>
      <c r="C98" s="560">
        <f t="shared" si="27"/>
        <v>1980000</v>
      </c>
      <c r="D98" s="561">
        <v>80000</v>
      </c>
      <c r="E98" s="562">
        <f t="shared" si="28"/>
        <v>80000</v>
      </c>
      <c r="F98" s="563"/>
      <c r="G98" s="563"/>
      <c r="H98" s="564"/>
      <c r="I98" s="564"/>
      <c r="J98" s="564">
        <v>50000</v>
      </c>
      <c r="K98" s="565">
        <v>30000</v>
      </c>
      <c r="L98" s="562">
        <f t="shared" si="25"/>
        <v>1820000</v>
      </c>
      <c r="M98" s="566"/>
      <c r="N98" s="565">
        <v>270000</v>
      </c>
      <c r="O98" s="567">
        <v>950000</v>
      </c>
      <c r="P98" s="568">
        <v>600000</v>
      </c>
      <c r="Q98" s="447"/>
    </row>
    <row r="99" spans="1:17" x14ac:dyDescent="0.25">
      <c r="A99" s="559">
        <v>5156</v>
      </c>
      <c r="B99" s="542" t="s">
        <v>1447</v>
      </c>
      <c r="C99" s="560">
        <f t="shared" si="27"/>
        <v>890000</v>
      </c>
      <c r="D99" s="561">
        <v>20000</v>
      </c>
      <c r="E99" s="562">
        <f t="shared" si="28"/>
        <v>740000</v>
      </c>
      <c r="F99" s="563">
        <v>45000</v>
      </c>
      <c r="G99" s="563"/>
      <c r="H99" s="564">
        <v>400000</v>
      </c>
      <c r="I99" s="564"/>
      <c r="J99" s="564">
        <v>75000</v>
      </c>
      <c r="K99" s="565">
        <v>220000</v>
      </c>
      <c r="L99" s="562">
        <f t="shared" si="25"/>
        <v>130000</v>
      </c>
      <c r="M99" s="566"/>
      <c r="N99" s="565">
        <v>110000</v>
      </c>
      <c r="O99" s="567"/>
      <c r="P99" s="568">
        <v>20000</v>
      </c>
      <c r="Q99" s="447"/>
    </row>
    <row r="100" spans="1:17" x14ac:dyDescent="0.25">
      <c r="A100" s="559">
        <v>5161</v>
      </c>
      <c r="B100" s="542" t="s">
        <v>110</v>
      </c>
      <c r="C100" s="560">
        <f t="shared" si="27"/>
        <v>55000</v>
      </c>
      <c r="D100" s="561">
        <v>7000</v>
      </c>
      <c r="E100" s="562">
        <f t="shared" si="28"/>
        <v>3000</v>
      </c>
      <c r="F100" s="563"/>
      <c r="G100" s="563"/>
      <c r="H100" s="564"/>
      <c r="I100" s="564"/>
      <c r="J100" s="564"/>
      <c r="K100" s="565">
        <v>3000</v>
      </c>
      <c r="L100" s="562">
        <f t="shared" si="25"/>
        <v>45000</v>
      </c>
      <c r="M100" s="566"/>
      <c r="N100" s="565">
        <v>45000</v>
      </c>
      <c r="O100" s="567"/>
      <c r="P100" s="568"/>
      <c r="Q100" s="447"/>
    </row>
    <row r="101" spans="1:17" x14ac:dyDescent="0.25">
      <c r="A101" s="559">
        <v>5162</v>
      </c>
      <c r="B101" s="542" t="s">
        <v>111</v>
      </c>
      <c r="C101" s="560">
        <f t="shared" si="27"/>
        <v>113800</v>
      </c>
      <c r="D101" s="561">
        <v>17000</v>
      </c>
      <c r="E101" s="562">
        <f t="shared" si="28"/>
        <v>70800</v>
      </c>
      <c r="F101" s="563">
        <v>3000</v>
      </c>
      <c r="G101" s="563">
        <v>1800</v>
      </c>
      <c r="H101" s="564">
        <v>13000</v>
      </c>
      <c r="I101" s="564"/>
      <c r="J101" s="564">
        <v>9000</v>
      </c>
      <c r="K101" s="565">
        <v>44000</v>
      </c>
      <c r="L101" s="562">
        <f t="shared" si="25"/>
        <v>26000</v>
      </c>
      <c r="M101" s="566"/>
      <c r="N101" s="565">
        <v>14000</v>
      </c>
      <c r="O101" s="567">
        <v>10000</v>
      </c>
      <c r="P101" s="568">
        <v>2000</v>
      </c>
      <c r="Q101" s="447"/>
    </row>
    <row r="102" spans="1:17" x14ac:dyDescent="0.25">
      <c r="A102" s="559">
        <v>5163</v>
      </c>
      <c r="B102" s="542" t="s">
        <v>1453</v>
      </c>
      <c r="C102" s="560">
        <f t="shared" si="27"/>
        <v>290000</v>
      </c>
      <c r="D102" s="561">
        <v>35000</v>
      </c>
      <c r="E102" s="562">
        <f t="shared" si="28"/>
        <v>255000</v>
      </c>
      <c r="F102" s="563">
        <v>20000</v>
      </c>
      <c r="G102" s="563"/>
      <c r="H102" s="564">
        <v>160000</v>
      </c>
      <c r="I102" s="564"/>
      <c r="J102" s="564">
        <v>25000</v>
      </c>
      <c r="K102" s="565">
        <v>50000</v>
      </c>
      <c r="L102" s="562">
        <f t="shared" si="25"/>
        <v>0</v>
      </c>
      <c r="M102" s="566">
        <v>6000</v>
      </c>
      <c r="N102" s="565"/>
      <c r="O102" s="567"/>
      <c r="P102" s="568"/>
      <c r="Q102" s="447"/>
    </row>
    <row r="103" spans="1:17" x14ac:dyDescent="0.25">
      <c r="A103" s="559">
        <v>5164</v>
      </c>
      <c r="B103" s="542" t="s">
        <v>113</v>
      </c>
      <c r="C103" s="560">
        <f t="shared" si="27"/>
        <v>10399000</v>
      </c>
      <c r="D103" s="561"/>
      <c r="E103" s="562">
        <f t="shared" si="28"/>
        <v>100000</v>
      </c>
      <c r="F103" s="563">
        <v>40000</v>
      </c>
      <c r="G103" s="563"/>
      <c r="H103" s="564">
        <v>30000</v>
      </c>
      <c r="I103" s="564"/>
      <c r="J103" s="564">
        <v>30000</v>
      </c>
      <c r="K103" s="565"/>
      <c r="L103" s="579">
        <f t="shared" si="25"/>
        <v>10299000</v>
      </c>
      <c r="M103" s="580"/>
      <c r="N103" s="581">
        <f>'Příjmy kapitol celkem'!M38/1.21</f>
        <v>3512000</v>
      </c>
      <c r="O103" s="574">
        <f>'Příjmy kapitol celkem'!M39/1.21</f>
        <v>6567000</v>
      </c>
      <c r="P103" s="582">
        <v>220000</v>
      </c>
      <c r="Q103" s="517" t="s">
        <v>2041</v>
      </c>
    </row>
    <row r="104" spans="1:17" x14ac:dyDescent="0.25">
      <c r="A104" s="559">
        <v>5166</v>
      </c>
      <c r="B104" s="542" t="s">
        <v>114</v>
      </c>
      <c r="C104" s="560">
        <f t="shared" si="27"/>
        <v>200000</v>
      </c>
      <c r="D104" s="561">
        <v>80000</v>
      </c>
      <c r="E104" s="562">
        <f t="shared" si="28"/>
        <v>0</v>
      </c>
      <c r="F104" s="563"/>
      <c r="G104" s="563"/>
      <c r="H104" s="564">
        <v>0</v>
      </c>
      <c r="I104" s="564"/>
      <c r="J104" s="564">
        <v>0</v>
      </c>
      <c r="K104" s="565">
        <v>0</v>
      </c>
      <c r="L104" s="562">
        <f t="shared" si="25"/>
        <v>120000</v>
      </c>
      <c r="M104" s="566"/>
      <c r="N104" s="565">
        <v>50000</v>
      </c>
      <c r="O104" s="567">
        <v>50000</v>
      </c>
      <c r="P104" s="568">
        <v>20000</v>
      </c>
      <c r="Q104" s="447"/>
    </row>
    <row r="105" spans="1:17" x14ac:dyDescent="0.25">
      <c r="A105" s="559">
        <v>5167</v>
      </c>
      <c r="B105" s="542" t="s">
        <v>115</v>
      </c>
      <c r="C105" s="560">
        <f t="shared" si="27"/>
        <v>90000</v>
      </c>
      <c r="D105" s="561">
        <v>20000</v>
      </c>
      <c r="E105" s="562">
        <f t="shared" si="28"/>
        <v>55000</v>
      </c>
      <c r="F105" s="563">
        <v>5000</v>
      </c>
      <c r="G105" s="563"/>
      <c r="H105" s="564">
        <v>10000</v>
      </c>
      <c r="I105" s="564"/>
      <c r="J105" s="564">
        <v>10000</v>
      </c>
      <c r="K105" s="565">
        <v>30000</v>
      </c>
      <c r="L105" s="562">
        <f t="shared" si="25"/>
        <v>15000</v>
      </c>
      <c r="M105" s="566"/>
      <c r="N105" s="565">
        <v>10000</v>
      </c>
      <c r="O105" s="567">
        <v>5000</v>
      </c>
      <c r="P105" s="568"/>
      <c r="Q105" s="447"/>
    </row>
    <row r="106" spans="1:17" x14ac:dyDescent="0.25">
      <c r="A106" s="559">
        <v>5168</v>
      </c>
      <c r="B106" s="542" t="s">
        <v>1678</v>
      </c>
      <c r="C106" s="560">
        <f t="shared" si="27"/>
        <v>255000</v>
      </c>
      <c r="D106" s="561">
        <v>50000</v>
      </c>
      <c r="E106" s="562">
        <f t="shared" si="28"/>
        <v>95000</v>
      </c>
      <c r="F106" s="563"/>
      <c r="G106" s="563"/>
      <c r="H106" s="564">
        <v>45000</v>
      </c>
      <c r="I106" s="564"/>
      <c r="J106" s="564">
        <v>0</v>
      </c>
      <c r="K106" s="565">
        <v>50000</v>
      </c>
      <c r="L106" s="562">
        <f t="shared" si="25"/>
        <v>110000</v>
      </c>
      <c r="M106" s="566"/>
      <c r="N106" s="565">
        <v>50000</v>
      </c>
      <c r="O106" s="567">
        <v>10000</v>
      </c>
      <c r="P106" s="568">
        <v>50000</v>
      </c>
      <c r="Q106" s="447"/>
    </row>
    <row r="107" spans="1:17" s="472" customFormat="1" x14ac:dyDescent="0.25">
      <c r="A107" s="575">
        <v>5169</v>
      </c>
      <c r="B107" s="519" t="s">
        <v>117</v>
      </c>
      <c r="C107" s="495">
        <f t="shared" ref="C107:K107" si="29">SUM(C108:C124)</f>
        <v>5841600</v>
      </c>
      <c r="D107" s="475">
        <f t="shared" si="29"/>
        <v>174000</v>
      </c>
      <c r="E107" s="476">
        <f>SUM(E108:E124)</f>
        <v>3128100</v>
      </c>
      <c r="F107" s="477">
        <f t="shared" si="29"/>
        <v>60000</v>
      </c>
      <c r="G107" s="477">
        <f t="shared" si="29"/>
        <v>12500</v>
      </c>
      <c r="H107" s="478">
        <f t="shared" si="29"/>
        <v>1601600</v>
      </c>
      <c r="I107" s="478">
        <f t="shared" si="29"/>
        <v>0</v>
      </c>
      <c r="J107" s="478">
        <f t="shared" si="29"/>
        <v>43000</v>
      </c>
      <c r="K107" s="480">
        <f t="shared" si="29"/>
        <v>1411000</v>
      </c>
      <c r="L107" s="476">
        <f t="shared" si="25"/>
        <v>2539500</v>
      </c>
      <c r="M107" s="576">
        <f>SUM(M108:M124)</f>
        <v>150000</v>
      </c>
      <c r="N107" s="480">
        <f>SUM(N108:N124)</f>
        <v>236000</v>
      </c>
      <c r="O107" s="577">
        <f>SUM(O108:O124)</f>
        <v>2283500</v>
      </c>
      <c r="P107" s="479">
        <f>SUM(P108:P124)</f>
        <v>20000</v>
      </c>
      <c r="Q107" s="496"/>
    </row>
    <row r="108" spans="1:17" outlineLevel="1" x14ac:dyDescent="0.25">
      <c r="A108" s="569"/>
      <c r="B108" s="570" t="s">
        <v>1464</v>
      </c>
      <c r="C108" s="504">
        <f t="shared" ref="C108:C124" si="30">+E108+L108+D108</f>
        <v>500000</v>
      </c>
      <c r="D108" s="543">
        <f>List1!K91</f>
        <v>0</v>
      </c>
      <c r="E108" s="506">
        <f t="shared" ref="E108:E124" si="31">SUM(F108:K108)</f>
        <v>0</v>
      </c>
      <c r="F108" s="544">
        <f>List1!Q91</f>
        <v>0</v>
      </c>
      <c r="G108" s="544">
        <f>+List1!W91</f>
        <v>0</v>
      </c>
      <c r="H108" s="492">
        <f>+List1!T91</f>
        <v>0</v>
      </c>
      <c r="I108" s="492"/>
      <c r="J108" s="492">
        <f>+List1!Z91</f>
        <v>0</v>
      </c>
      <c r="K108" s="546">
        <f>+List1!AF91</f>
        <v>0</v>
      </c>
      <c r="L108" s="506">
        <f t="shared" si="25"/>
        <v>500000</v>
      </c>
      <c r="M108" s="571">
        <f>+List1!AL91</f>
        <v>0</v>
      </c>
      <c r="N108" s="546">
        <f>+List1!AO91</f>
        <v>0</v>
      </c>
      <c r="O108" s="548">
        <f>+List1!AR91</f>
        <v>500000</v>
      </c>
      <c r="P108" s="549">
        <f>+List1!AU91</f>
        <v>0</v>
      </c>
      <c r="Q108" s="447"/>
    </row>
    <row r="109" spans="1:17" ht="27" outlineLevel="1" x14ac:dyDescent="0.25">
      <c r="A109" s="569"/>
      <c r="B109" s="570" t="s">
        <v>2045</v>
      </c>
      <c r="C109" s="504">
        <f t="shared" si="30"/>
        <v>1490000</v>
      </c>
      <c r="D109" s="543">
        <f>List1!K92</f>
        <v>0</v>
      </c>
      <c r="E109" s="506">
        <f t="shared" si="31"/>
        <v>150000</v>
      </c>
      <c r="F109" s="544">
        <f>List1!Q92</f>
        <v>0</v>
      </c>
      <c r="G109" s="544">
        <f>+List1!W92</f>
        <v>0</v>
      </c>
      <c r="H109" s="492">
        <f>+List1!T92</f>
        <v>0</v>
      </c>
      <c r="I109" s="492">
        <f>+List1!AC92</f>
        <v>0</v>
      </c>
      <c r="J109" s="492">
        <f>+List1!Z92</f>
        <v>0</v>
      </c>
      <c r="K109" s="546">
        <f>+List1!AF92</f>
        <v>150000</v>
      </c>
      <c r="L109" s="506">
        <f t="shared" ref="L109:L124" si="32">SUM(N109:P109)</f>
        <v>1340000</v>
      </c>
      <c r="M109" s="571">
        <v>150000</v>
      </c>
      <c r="N109" s="546">
        <f>+List1!AO92</f>
        <v>40000</v>
      </c>
      <c r="O109" s="548">
        <f>+List1!AR92</f>
        <v>1300000</v>
      </c>
      <c r="P109" s="549">
        <f>+List1!AU92</f>
        <v>0</v>
      </c>
      <c r="Q109" s="447"/>
    </row>
    <row r="110" spans="1:17" ht="14.25" customHeight="1" outlineLevel="1" x14ac:dyDescent="0.25">
      <c r="A110" s="569"/>
      <c r="B110" s="570" t="s">
        <v>1468</v>
      </c>
      <c r="C110" s="504">
        <f t="shared" si="30"/>
        <v>204000</v>
      </c>
      <c r="D110" s="543">
        <f>List1!K93</f>
        <v>50000</v>
      </c>
      <c r="E110" s="506">
        <f t="shared" si="31"/>
        <v>94000</v>
      </c>
      <c r="F110" s="544">
        <v>8000</v>
      </c>
      <c r="G110" s="544">
        <v>2000</v>
      </c>
      <c r="H110" s="492">
        <v>10000</v>
      </c>
      <c r="I110" s="492"/>
      <c r="J110" s="492">
        <v>4000</v>
      </c>
      <c r="K110" s="546">
        <v>70000</v>
      </c>
      <c r="L110" s="506">
        <f t="shared" si="32"/>
        <v>60000</v>
      </c>
      <c r="M110" s="583">
        <f>+List1!AL93</f>
        <v>0</v>
      </c>
      <c r="N110" s="498">
        <f>+List1!AO93</f>
        <v>20000</v>
      </c>
      <c r="O110" s="584">
        <f>+List1!AR93</f>
        <v>20000</v>
      </c>
      <c r="P110" s="499">
        <f>+List1!AU93</f>
        <v>20000</v>
      </c>
      <c r="Q110" s="447"/>
    </row>
    <row r="111" spans="1:17" outlineLevel="1" x14ac:dyDescent="0.25">
      <c r="A111" s="569"/>
      <c r="B111" s="570" t="s">
        <v>1470</v>
      </c>
      <c r="C111" s="504">
        <f t="shared" si="30"/>
        <v>170000</v>
      </c>
      <c r="D111" s="543">
        <f>List1!K94</f>
        <v>0</v>
      </c>
      <c r="E111" s="506">
        <f t="shared" si="31"/>
        <v>0</v>
      </c>
      <c r="F111" s="544">
        <f>List1!Q94</f>
        <v>0</v>
      </c>
      <c r="G111" s="544">
        <f>+List1!W94</f>
        <v>0</v>
      </c>
      <c r="H111" s="492">
        <f>+List1!T94</f>
        <v>0</v>
      </c>
      <c r="I111" s="492"/>
      <c r="J111" s="492">
        <f>+List1!Z94</f>
        <v>0</v>
      </c>
      <c r="K111" s="546">
        <f>+List1!AF94</f>
        <v>0</v>
      </c>
      <c r="L111" s="506">
        <f t="shared" si="32"/>
        <v>170000</v>
      </c>
      <c r="M111" s="571">
        <f>+List1!AL94</f>
        <v>0</v>
      </c>
      <c r="N111" s="546">
        <f>+List1!AO94</f>
        <v>80000</v>
      </c>
      <c r="O111" s="548">
        <f>+List1!AR94</f>
        <v>90000</v>
      </c>
      <c r="P111" s="549">
        <f>+List1!AU94</f>
        <v>0</v>
      </c>
      <c r="Q111" s="447"/>
    </row>
    <row r="112" spans="1:17" outlineLevel="1" x14ac:dyDescent="0.25">
      <c r="A112" s="569"/>
      <c r="B112" s="570" t="s">
        <v>1472</v>
      </c>
      <c r="C112" s="504">
        <f t="shared" si="30"/>
        <v>40000</v>
      </c>
      <c r="D112" s="543">
        <f>List1!K95</f>
        <v>0</v>
      </c>
      <c r="E112" s="506">
        <f t="shared" si="31"/>
        <v>0</v>
      </c>
      <c r="F112" s="544">
        <f>List1!Q95</f>
        <v>0</v>
      </c>
      <c r="G112" s="544">
        <f>+List1!W95</f>
        <v>0</v>
      </c>
      <c r="H112" s="492">
        <f>+List1!T95</f>
        <v>0</v>
      </c>
      <c r="I112" s="492">
        <f>+List1!AC95</f>
        <v>0</v>
      </c>
      <c r="J112" s="492">
        <f>+List1!Z95</f>
        <v>0</v>
      </c>
      <c r="K112" s="546">
        <f>+List1!AF95</f>
        <v>0</v>
      </c>
      <c r="L112" s="506">
        <f t="shared" si="32"/>
        <v>40000</v>
      </c>
      <c r="M112" s="571">
        <f>+List1!AL95</f>
        <v>0</v>
      </c>
      <c r="N112" s="546">
        <f>+List1!AO95</f>
        <v>0</v>
      </c>
      <c r="O112" s="548">
        <f>+List1!AR95</f>
        <v>40000</v>
      </c>
      <c r="P112" s="549">
        <f>+List1!AU95</f>
        <v>0</v>
      </c>
      <c r="Q112" s="447"/>
    </row>
    <row r="113" spans="1:17" ht="27" outlineLevel="1" x14ac:dyDescent="0.25">
      <c r="A113" s="569"/>
      <c r="B113" s="570" t="s">
        <v>1474</v>
      </c>
      <c r="C113" s="504">
        <f t="shared" si="30"/>
        <v>50500</v>
      </c>
      <c r="D113" s="543">
        <f>List1!K96</f>
        <v>2000</v>
      </c>
      <c r="E113" s="506">
        <f t="shared" si="31"/>
        <v>39500</v>
      </c>
      <c r="F113" s="544">
        <f>List1!Q96</f>
        <v>1000</v>
      </c>
      <c r="G113" s="544">
        <f>+List1!W96</f>
        <v>500</v>
      </c>
      <c r="H113" s="492">
        <f>+List1!T96</f>
        <v>12000</v>
      </c>
      <c r="I113" s="492"/>
      <c r="J113" s="492">
        <f>+List1!Z96</f>
        <v>5000</v>
      </c>
      <c r="K113" s="546">
        <f>+List1!AF96</f>
        <v>21000</v>
      </c>
      <c r="L113" s="506">
        <f t="shared" si="32"/>
        <v>9000</v>
      </c>
      <c r="M113" s="571">
        <f>+List1!AL96</f>
        <v>0</v>
      </c>
      <c r="N113" s="546">
        <f>+List1!AO96</f>
        <v>6000</v>
      </c>
      <c r="O113" s="548">
        <f>+List1!AR96</f>
        <v>3000</v>
      </c>
      <c r="P113" s="549">
        <f>+List1!AU96</f>
        <v>0</v>
      </c>
      <c r="Q113" s="447"/>
    </row>
    <row r="114" spans="1:17" outlineLevel="1" x14ac:dyDescent="0.25">
      <c r="A114" s="569"/>
      <c r="B114" s="570" t="s">
        <v>1476</v>
      </c>
      <c r="C114" s="504">
        <f t="shared" si="30"/>
        <v>0</v>
      </c>
      <c r="D114" s="543">
        <f>List1!K97</f>
        <v>0</v>
      </c>
      <c r="E114" s="506">
        <f t="shared" si="31"/>
        <v>0</v>
      </c>
      <c r="F114" s="544">
        <f>List1!Q97</f>
        <v>0</v>
      </c>
      <c r="G114" s="544">
        <f>+List1!W97</f>
        <v>0</v>
      </c>
      <c r="H114" s="492"/>
      <c r="I114" s="492">
        <f>+List1!AC97</f>
        <v>0</v>
      </c>
      <c r="J114" s="492">
        <f>+List1!Z97</f>
        <v>0</v>
      </c>
      <c r="K114" s="546"/>
      <c r="L114" s="506">
        <f t="shared" si="32"/>
        <v>0</v>
      </c>
      <c r="M114" s="571">
        <f>+List1!AL97</f>
        <v>0</v>
      </c>
      <c r="N114" s="546">
        <f>+List1!AO97</f>
        <v>0</v>
      </c>
      <c r="O114" s="548"/>
      <c r="P114" s="549">
        <f>+List1!AU97</f>
        <v>0</v>
      </c>
      <c r="Q114" s="447"/>
    </row>
    <row r="115" spans="1:17" outlineLevel="1" x14ac:dyDescent="0.25">
      <c r="A115" s="569"/>
      <c r="B115" s="570" t="s">
        <v>1478</v>
      </c>
      <c r="C115" s="504">
        <f t="shared" si="30"/>
        <v>0</v>
      </c>
      <c r="D115" s="543">
        <f>List1!K98</f>
        <v>0</v>
      </c>
      <c r="E115" s="506">
        <f t="shared" si="31"/>
        <v>0</v>
      </c>
      <c r="F115" s="544">
        <f>List1!Q98</f>
        <v>0</v>
      </c>
      <c r="G115" s="544">
        <f>+List1!W98</f>
        <v>0</v>
      </c>
      <c r="H115" s="492">
        <f>+List1!T98</f>
        <v>0</v>
      </c>
      <c r="I115" s="492">
        <f>+List1!AC98</f>
        <v>0</v>
      </c>
      <c r="J115" s="492">
        <f>+List1!Z98</f>
        <v>0</v>
      </c>
      <c r="K115" s="546">
        <v>0</v>
      </c>
      <c r="L115" s="506">
        <f t="shared" si="32"/>
        <v>0</v>
      </c>
      <c r="M115" s="571">
        <f>+List1!AL98</f>
        <v>0</v>
      </c>
      <c r="N115" s="546">
        <f>+List1!AO98</f>
        <v>0</v>
      </c>
      <c r="O115" s="548">
        <f>+List1!AR98</f>
        <v>0</v>
      </c>
      <c r="P115" s="549">
        <f>+List1!AU98</f>
        <v>0</v>
      </c>
      <c r="Q115" s="447"/>
    </row>
    <row r="116" spans="1:17" outlineLevel="1" x14ac:dyDescent="0.25">
      <c r="A116" s="569"/>
      <c r="B116" s="570" t="s">
        <v>1480</v>
      </c>
      <c r="C116" s="504">
        <f t="shared" si="30"/>
        <v>1375000</v>
      </c>
      <c r="D116" s="543">
        <f>List1!K99</f>
        <v>0</v>
      </c>
      <c r="E116" s="506">
        <f t="shared" si="31"/>
        <v>1375000</v>
      </c>
      <c r="F116" s="544">
        <v>0</v>
      </c>
      <c r="G116" s="544">
        <v>0</v>
      </c>
      <c r="H116" s="492">
        <v>1375000</v>
      </c>
      <c r="I116" s="492">
        <v>0</v>
      </c>
      <c r="J116" s="492">
        <v>0</v>
      </c>
      <c r="K116" s="546">
        <v>0</v>
      </c>
      <c r="L116" s="506">
        <f t="shared" si="32"/>
        <v>0</v>
      </c>
      <c r="M116" s="571">
        <f>+List1!AL99</f>
        <v>0</v>
      </c>
      <c r="N116" s="546">
        <f>+List1!AO99</f>
        <v>0</v>
      </c>
      <c r="O116" s="548">
        <f>+List1!AR99</f>
        <v>0</v>
      </c>
      <c r="P116" s="549">
        <f>+List1!AU99</f>
        <v>0</v>
      </c>
      <c r="Q116" s="447"/>
    </row>
    <row r="117" spans="1:17" outlineLevel="1" x14ac:dyDescent="0.25">
      <c r="A117" s="569"/>
      <c r="B117" s="570" t="s">
        <v>1482</v>
      </c>
      <c r="C117" s="504">
        <f t="shared" si="30"/>
        <v>187600</v>
      </c>
      <c r="D117" s="543">
        <f>List1!K100</f>
        <v>0</v>
      </c>
      <c r="E117" s="506">
        <f t="shared" si="31"/>
        <v>187600</v>
      </c>
      <c r="F117" s="544">
        <f>List1!Q100</f>
        <v>0</v>
      </c>
      <c r="G117" s="544">
        <f>+List1!W100</f>
        <v>0</v>
      </c>
      <c r="H117" s="492">
        <f>+List1!T100</f>
        <v>187600</v>
      </c>
      <c r="I117" s="492">
        <f>+List1!AC100</f>
        <v>0</v>
      </c>
      <c r="J117" s="492">
        <f>+List1!Z100</f>
        <v>0</v>
      </c>
      <c r="K117" s="546">
        <f>+List1!AF100</f>
        <v>0</v>
      </c>
      <c r="L117" s="506">
        <f t="shared" si="32"/>
        <v>0</v>
      </c>
      <c r="M117" s="571">
        <f>+List1!AL100</f>
        <v>0</v>
      </c>
      <c r="N117" s="546">
        <f>+List1!AO100</f>
        <v>0</v>
      </c>
      <c r="O117" s="548">
        <f>+List1!AR100</f>
        <v>0</v>
      </c>
      <c r="P117" s="549">
        <f>+List1!AU100</f>
        <v>0</v>
      </c>
      <c r="Q117" s="447"/>
    </row>
    <row r="118" spans="1:17" outlineLevel="1" x14ac:dyDescent="0.25">
      <c r="A118" s="569"/>
      <c r="B118" s="570" t="s">
        <v>1484</v>
      </c>
      <c r="C118" s="504">
        <f t="shared" si="30"/>
        <v>150000</v>
      </c>
      <c r="D118" s="543">
        <f>List1!K101</f>
        <v>0</v>
      </c>
      <c r="E118" s="506">
        <f t="shared" si="31"/>
        <v>150000</v>
      </c>
      <c r="F118" s="544">
        <v>0</v>
      </c>
      <c r="G118" s="544">
        <v>0</v>
      </c>
      <c r="H118" s="492">
        <v>0</v>
      </c>
      <c r="I118" s="492">
        <v>0</v>
      </c>
      <c r="J118" s="492">
        <v>0</v>
      </c>
      <c r="K118" s="546">
        <v>150000</v>
      </c>
      <c r="L118" s="506">
        <f t="shared" si="32"/>
        <v>0</v>
      </c>
      <c r="M118" s="571">
        <f>+List1!AL101</f>
        <v>0</v>
      </c>
      <c r="N118" s="546">
        <f>+List1!AO101</f>
        <v>0</v>
      </c>
      <c r="O118" s="548">
        <f>+List1!AR101</f>
        <v>0</v>
      </c>
      <c r="P118" s="549">
        <f>+List1!AU101</f>
        <v>0</v>
      </c>
      <c r="Q118" s="447"/>
    </row>
    <row r="119" spans="1:17" ht="27" outlineLevel="1" x14ac:dyDescent="0.25">
      <c r="A119" s="569"/>
      <c r="B119" s="570" t="s">
        <v>1486</v>
      </c>
      <c r="C119" s="504">
        <f t="shared" si="30"/>
        <v>18500</v>
      </c>
      <c r="D119" s="543">
        <f>List1!K102</f>
        <v>10000</v>
      </c>
      <c r="E119" s="506">
        <f t="shared" si="31"/>
        <v>8000</v>
      </c>
      <c r="F119" s="544">
        <f>List1!Q102</f>
        <v>1000</v>
      </c>
      <c r="G119" s="544">
        <f>+List1!W102</f>
        <v>0</v>
      </c>
      <c r="H119" s="492">
        <f>+List1!T102</f>
        <v>2000</v>
      </c>
      <c r="I119" s="492">
        <f>+List1!AC102</f>
        <v>0</v>
      </c>
      <c r="J119" s="492">
        <f>+List1!Z102</f>
        <v>0</v>
      </c>
      <c r="K119" s="546">
        <f>+List1!AF102</f>
        <v>5000</v>
      </c>
      <c r="L119" s="506">
        <f t="shared" si="32"/>
        <v>500</v>
      </c>
      <c r="M119" s="571">
        <f>+List1!AL102</f>
        <v>0</v>
      </c>
      <c r="N119" s="546">
        <f>+List1!AO102</f>
        <v>0</v>
      </c>
      <c r="O119" s="548">
        <f>+List1!AR102</f>
        <v>500</v>
      </c>
      <c r="P119" s="549">
        <f>+List1!AU102</f>
        <v>0</v>
      </c>
      <c r="Q119" s="447"/>
    </row>
    <row r="120" spans="1:17" ht="27" outlineLevel="1" x14ac:dyDescent="0.25">
      <c r="A120" s="569"/>
      <c r="B120" s="570" t="s">
        <v>1488</v>
      </c>
      <c r="C120" s="504">
        <f t="shared" si="30"/>
        <v>8000</v>
      </c>
      <c r="D120" s="543">
        <v>8000</v>
      </c>
      <c r="E120" s="506">
        <f t="shared" si="31"/>
        <v>0</v>
      </c>
      <c r="F120" s="544">
        <f>List1!Q103</f>
        <v>0</v>
      </c>
      <c r="G120" s="544">
        <f>+List1!W103</f>
        <v>0</v>
      </c>
      <c r="H120" s="492">
        <f>+List1!T103</f>
        <v>0</v>
      </c>
      <c r="I120" s="492">
        <f>+List1!AC103</f>
        <v>0</v>
      </c>
      <c r="J120" s="492">
        <f>+List1!Z103</f>
        <v>0</v>
      </c>
      <c r="K120" s="546">
        <f>+List1!AF103</f>
        <v>0</v>
      </c>
      <c r="L120" s="506">
        <f t="shared" si="32"/>
        <v>0</v>
      </c>
      <c r="M120" s="571">
        <f>+List1!AL103</f>
        <v>0</v>
      </c>
      <c r="N120" s="546">
        <f>+List1!AO103</f>
        <v>0</v>
      </c>
      <c r="O120" s="548">
        <f>+List1!AR103</f>
        <v>0</v>
      </c>
      <c r="P120" s="549">
        <f>+List1!AU103</f>
        <v>0</v>
      </c>
      <c r="Q120" s="447"/>
    </row>
    <row r="121" spans="1:17" outlineLevel="1" x14ac:dyDescent="0.25">
      <c r="A121" s="569"/>
      <c r="B121" s="570" t="s">
        <v>1490</v>
      </c>
      <c r="C121" s="504">
        <f t="shared" si="30"/>
        <v>720000</v>
      </c>
      <c r="D121" s="543">
        <v>90000</v>
      </c>
      <c r="E121" s="506">
        <f t="shared" si="31"/>
        <v>300000</v>
      </c>
      <c r="F121" s="544">
        <v>50000</v>
      </c>
      <c r="G121" s="544">
        <v>10000</v>
      </c>
      <c r="H121" s="492">
        <v>15000</v>
      </c>
      <c r="I121" s="492"/>
      <c r="J121" s="492">
        <v>25000</v>
      </c>
      <c r="K121" s="546">
        <v>200000</v>
      </c>
      <c r="L121" s="506">
        <f t="shared" si="32"/>
        <v>330000</v>
      </c>
      <c r="M121" s="571">
        <f>+List1!AL104</f>
        <v>0</v>
      </c>
      <c r="N121" s="546">
        <f>+List1!AO104</f>
        <v>60000</v>
      </c>
      <c r="O121" s="548">
        <v>270000</v>
      </c>
      <c r="P121" s="549">
        <f>+List1!AU104</f>
        <v>0</v>
      </c>
      <c r="Q121" s="447"/>
    </row>
    <row r="122" spans="1:17" outlineLevel="1" x14ac:dyDescent="0.25">
      <c r="A122" s="569"/>
      <c r="B122" s="570" t="s">
        <v>1492</v>
      </c>
      <c r="C122" s="504">
        <f t="shared" si="30"/>
        <v>75000</v>
      </c>
      <c r="D122" s="543">
        <f>List1!K105</f>
        <v>0</v>
      </c>
      <c r="E122" s="506">
        <f t="shared" si="31"/>
        <v>0</v>
      </c>
      <c r="F122" s="544">
        <f>List1!Q105</f>
        <v>0</v>
      </c>
      <c r="G122" s="544">
        <f>+List1!W105</f>
        <v>0</v>
      </c>
      <c r="H122" s="492">
        <f>+List1!T105</f>
        <v>0</v>
      </c>
      <c r="I122" s="492">
        <f>+List1!AC105</f>
        <v>0</v>
      </c>
      <c r="J122" s="492">
        <f>+List1!Z105</f>
        <v>0</v>
      </c>
      <c r="K122" s="546">
        <f>+List1!AF105</f>
        <v>0</v>
      </c>
      <c r="L122" s="506">
        <f t="shared" si="32"/>
        <v>75000</v>
      </c>
      <c r="M122" s="571">
        <f>+List1!AL105</f>
        <v>0</v>
      </c>
      <c r="N122" s="546">
        <f>+List1!AO105</f>
        <v>25000</v>
      </c>
      <c r="O122" s="548">
        <f>+List1!AR105</f>
        <v>50000</v>
      </c>
      <c r="P122" s="549">
        <f>+List1!AU105</f>
        <v>0</v>
      </c>
      <c r="Q122" s="447"/>
    </row>
    <row r="123" spans="1:17" outlineLevel="1" x14ac:dyDescent="0.25">
      <c r="A123" s="569"/>
      <c r="B123" s="570" t="s">
        <v>1494</v>
      </c>
      <c r="C123" s="504">
        <f t="shared" si="30"/>
        <v>53000</v>
      </c>
      <c r="D123" s="543">
        <f>List1!K106</f>
        <v>14000</v>
      </c>
      <c r="E123" s="506">
        <f t="shared" si="31"/>
        <v>24000</v>
      </c>
      <c r="F123" s="544">
        <f>List1!Q106</f>
        <v>0</v>
      </c>
      <c r="G123" s="544">
        <f>+List1!W106</f>
        <v>0</v>
      </c>
      <c r="H123" s="492">
        <f>+List1!T106</f>
        <v>0</v>
      </c>
      <c r="I123" s="492">
        <f>+List1!AC106</f>
        <v>0</v>
      </c>
      <c r="J123" s="492">
        <f>+List1!Z106</f>
        <v>9000</v>
      </c>
      <c r="K123" s="546">
        <f>+List1!AF106</f>
        <v>15000</v>
      </c>
      <c r="L123" s="506">
        <f t="shared" si="32"/>
        <v>15000</v>
      </c>
      <c r="M123" s="571">
        <f>+List1!AL106</f>
        <v>0</v>
      </c>
      <c r="N123" s="546">
        <f>+List1!AO106</f>
        <v>5000</v>
      </c>
      <c r="O123" s="548">
        <f>+List1!AR106</f>
        <v>10000</v>
      </c>
      <c r="P123" s="549">
        <f>+List1!AU106</f>
        <v>0</v>
      </c>
      <c r="Q123" s="447"/>
    </row>
    <row r="124" spans="1:17" outlineLevel="1" x14ac:dyDescent="0.25">
      <c r="A124" s="569"/>
      <c r="B124" s="570" t="s">
        <v>1496</v>
      </c>
      <c r="C124" s="504">
        <f t="shared" si="30"/>
        <v>800000</v>
      </c>
      <c r="D124" s="543">
        <f>List1!K107</f>
        <v>0</v>
      </c>
      <c r="E124" s="506">
        <f t="shared" si="31"/>
        <v>800000</v>
      </c>
      <c r="F124" s="544">
        <f>List1!Q107</f>
        <v>0</v>
      </c>
      <c r="G124" s="544">
        <f>+List1!W107</f>
        <v>0</v>
      </c>
      <c r="H124" s="492">
        <f>+List1!T107</f>
        <v>0</v>
      </c>
      <c r="I124" s="492">
        <f>+List1!AC107</f>
        <v>0</v>
      </c>
      <c r="J124" s="492">
        <f>+List1!Z107</f>
        <v>0</v>
      </c>
      <c r="K124" s="546">
        <v>800000</v>
      </c>
      <c r="L124" s="506">
        <f t="shared" si="32"/>
        <v>0</v>
      </c>
      <c r="M124" s="571">
        <f>+List1!AL107</f>
        <v>0</v>
      </c>
      <c r="N124" s="546">
        <f>+List1!AO107</f>
        <v>0</v>
      </c>
      <c r="O124" s="548">
        <f>+List1!AR107</f>
        <v>0</v>
      </c>
      <c r="P124" s="549">
        <f>+List1!AU107</f>
        <v>0</v>
      </c>
      <c r="Q124" s="447"/>
    </row>
    <row r="125" spans="1:17" s="472" customFormat="1" x14ac:dyDescent="0.25">
      <c r="A125" s="575">
        <v>5171</v>
      </c>
      <c r="B125" s="519" t="s">
        <v>118</v>
      </c>
      <c r="C125" s="495">
        <f>SUM(C126:C129)</f>
        <v>3158000</v>
      </c>
      <c r="D125" s="475">
        <f t="shared" ref="D125:K125" si="33">SUM(D126:D129)</f>
        <v>70000</v>
      </c>
      <c r="E125" s="476">
        <f>SUM(E126:E129)</f>
        <v>555000</v>
      </c>
      <c r="F125" s="477">
        <f t="shared" si="33"/>
        <v>42500</v>
      </c>
      <c r="G125" s="477">
        <f t="shared" si="33"/>
        <v>0</v>
      </c>
      <c r="H125" s="478">
        <f t="shared" si="33"/>
        <v>102500</v>
      </c>
      <c r="I125" s="478">
        <f t="shared" si="33"/>
        <v>0</v>
      </c>
      <c r="J125" s="478">
        <f t="shared" si="33"/>
        <v>70000</v>
      </c>
      <c r="K125" s="480">
        <f t="shared" si="33"/>
        <v>340000</v>
      </c>
      <c r="L125" s="476">
        <f t="shared" ref="L125:L140" si="34">SUM(N125:P125)</f>
        <v>2533000</v>
      </c>
      <c r="M125" s="576">
        <f>SUM(M126:M129)</f>
        <v>0</v>
      </c>
      <c r="N125" s="480">
        <f>SUM(N126:N129)</f>
        <v>1488000</v>
      </c>
      <c r="O125" s="577">
        <f>SUM(O126:O129)</f>
        <v>700000</v>
      </c>
      <c r="P125" s="479">
        <f>SUM(P126:P129)</f>
        <v>345000</v>
      </c>
      <c r="Q125" s="496"/>
    </row>
    <row r="126" spans="1:17" outlineLevel="1" x14ac:dyDescent="0.25">
      <c r="A126" s="569"/>
      <c r="B126" s="570" t="s">
        <v>1499</v>
      </c>
      <c r="C126" s="504">
        <f t="shared" ref="C126:C138" si="35">+E126+L126+D126</f>
        <v>575000</v>
      </c>
      <c r="D126" s="543">
        <f>List1!K109</f>
        <v>10000</v>
      </c>
      <c r="E126" s="506">
        <f t="shared" ref="E126:E138" si="36">SUM(F126:K126)</f>
        <v>390000</v>
      </c>
      <c r="F126" s="544">
        <v>40000</v>
      </c>
      <c r="G126" s="544">
        <v>0</v>
      </c>
      <c r="H126" s="492">
        <v>100000</v>
      </c>
      <c r="I126" s="492"/>
      <c r="J126" s="492">
        <v>50000</v>
      </c>
      <c r="K126" s="546">
        <v>200000</v>
      </c>
      <c r="L126" s="506">
        <f t="shared" si="34"/>
        <v>175000</v>
      </c>
      <c r="M126" s="583">
        <f>List1!AL109</f>
        <v>0</v>
      </c>
      <c r="N126" s="498">
        <f>List1!AO109</f>
        <v>75000</v>
      </c>
      <c r="O126" s="584">
        <f>List1!AR109</f>
        <v>0</v>
      </c>
      <c r="P126" s="499">
        <f>List1!AU109</f>
        <v>100000</v>
      </c>
      <c r="Q126" s="447"/>
    </row>
    <row r="127" spans="1:17" outlineLevel="1" x14ac:dyDescent="0.25">
      <c r="A127" s="569"/>
      <c r="B127" s="570" t="s">
        <v>1501</v>
      </c>
      <c r="C127" s="504">
        <f t="shared" si="35"/>
        <v>410000</v>
      </c>
      <c r="D127" s="543">
        <f>List1!K110</f>
        <v>10000</v>
      </c>
      <c r="E127" s="506">
        <f t="shared" si="36"/>
        <v>95000</v>
      </c>
      <c r="F127" s="544">
        <v>2500</v>
      </c>
      <c r="G127" s="544">
        <v>0</v>
      </c>
      <c r="H127" s="492">
        <v>2500</v>
      </c>
      <c r="I127" s="492"/>
      <c r="J127" s="492">
        <v>20000</v>
      </c>
      <c r="K127" s="546">
        <v>70000</v>
      </c>
      <c r="L127" s="506">
        <f t="shared" ref="L127:L129" si="37">SUM(N127:P127)</f>
        <v>305000</v>
      </c>
      <c r="M127" s="571">
        <f>List1!AL110</f>
        <v>0</v>
      </c>
      <c r="N127" s="546">
        <f>List1!AO110</f>
        <v>35000</v>
      </c>
      <c r="O127" s="548">
        <f>List1!AR110</f>
        <v>100000</v>
      </c>
      <c r="P127" s="549">
        <f>List1!AU110</f>
        <v>170000</v>
      </c>
      <c r="Q127" s="447"/>
    </row>
    <row r="128" spans="1:17" outlineLevel="1" x14ac:dyDescent="0.25">
      <c r="A128" s="569"/>
      <c r="B128" s="570" t="s">
        <v>1503</v>
      </c>
      <c r="C128" s="504">
        <f t="shared" si="35"/>
        <v>695000</v>
      </c>
      <c r="D128" s="543">
        <f>List1!K111</f>
        <v>50000</v>
      </c>
      <c r="E128" s="506">
        <f t="shared" si="36"/>
        <v>70000</v>
      </c>
      <c r="F128" s="544">
        <v>0</v>
      </c>
      <c r="G128" s="544">
        <v>0</v>
      </c>
      <c r="H128" s="492">
        <v>0</v>
      </c>
      <c r="I128" s="492">
        <v>0</v>
      </c>
      <c r="J128" s="492">
        <v>0</v>
      </c>
      <c r="K128" s="546">
        <v>70000</v>
      </c>
      <c r="L128" s="506">
        <f t="shared" si="37"/>
        <v>575000</v>
      </c>
      <c r="M128" s="571">
        <f>List1!AL111</f>
        <v>0</v>
      </c>
      <c r="N128" s="546">
        <f>List1!AO111</f>
        <v>200000</v>
      </c>
      <c r="O128" s="548">
        <v>300000</v>
      </c>
      <c r="P128" s="549">
        <v>75000</v>
      </c>
      <c r="Q128" s="447"/>
    </row>
    <row r="129" spans="1:17" outlineLevel="1" x14ac:dyDescent="0.25">
      <c r="A129" s="569"/>
      <c r="B129" s="570" t="s">
        <v>1505</v>
      </c>
      <c r="C129" s="504">
        <f t="shared" si="35"/>
        <v>1478000</v>
      </c>
      <c r="D129" s="543">
        <f>List1!K112</f>
        <v>0</v>
      </c>
      <c r="E129" s="506">
        <f t="shared" si="36"/>
        <v>0</v>
      </c>
      <c r="F129" s="544">
        <f>List1!Q112</f>
        <v>0</v>
      </c>
      <c r="G129" s="544">
        <f>+List1!W112</f>
        <v>0</v>
      </c>
      <c r="H129" s="492">
        <f>+List1!T112</f>
        <v>0</v>
      </c>
      <c r="I129" s="492">
        <f>+List1!AC112</f>
        <v>0</v>
      </c>
      <c r="J129" s="492">
        <f>+List1!Z112</f>
        <v>0</v>
      </c>
      <c r="K129" s="546">
        <f>+List1!AF112</f>
        <v>0</v>
      </c>
      <c r="L129" s="506">
        <f t="shared" si="37"/>
        <v>1478000</v>
      </c>
      <c r="M129" s="571">
        <f>List1!AL112</f>
        <v>0</v>
      </c>
      <c r="N129" s="546">
        <v>1178000</v>
      </c>
      <c r="O129" s="548">
        <v>300000</v>
      </c>
      <c r="P129" s="549">
        <f>List1!AU112</f>
        <v>0</v>
      </c>
      <c r="Q129" s="447"/>
    </row>
    <row r="130" spans="1:17" x14ac:dyDescent="0.25">
      <c r="A130" s="559" t="s">
        <v>1506</v>
      </c>
      <c r="B130" s="542" t="s">
        <v>120</v>
      </c>
      <c r="C130" s="560">
        <f t="shared" si="35"/>
        <v>20000</v>
      </c>
      <c r="D130" s="561">
        <f>List1!K113</f>
        <v>20000</v>
      </c>
      <c r="E130" s="562">
        <f t="shared" si="36"/>
        <v>0</v>
      </c>
      <c r="F130" s="563">
        <f>List1!Q113</f>
        <v>0</v>
      </c>
      <c r="G130" s="563">
        <f>List1!W113</f>
        <v>0</v>
      </c>
      <c r="H130" s="564">
        <f>List1!T113</f>
        <v>0</v>
      </c>
      <c r="I130" s="564">
        <f>List1!AC113</f>
        <v>0</v>
      </c>
      <c r="J130" s="564">
        <f>+List1!Z113</f>
        <v>0</v>
      </c>
      <c r="K130" s="565">
        <f>List1!AF113</f>
        <v>0</v>
      </c>
      <c r="L130" s="562">
        <f t="shared" si="34"/>
        <v>0</v>
      </c>
      <c r="M130" s="566">
        <f>+List1!AL113</f>
        <v>0</v>
      </c>
      <c r="N130" s="565">
        <f>+List1!AO113</f>
        <v>0</v>
      </c>
      <c r="O130" s="567">
        <f>+List1!AR113</f>
        <v>0</v>
      </c>
      <c r="P130" s="568">
        <f>+List1!AU113</f>
        <v>0</v>
      </c>
      <c r="Q130" s="447"/>
    </row>
    <row r="131" spans="1:17" x14ac:dyDescent="0.25">
      <c r="A131" s="559" t="s">
        <v>1507</v>
      </c>
      <c r="B131" s="542" t="s">
        <v>1508</v>
      </c>
      <c r="C131" s="560">
        <f t="shared" si="35"/>
        <v>20000</v>
      </c>
      <c r="D131" s="561">
        <f>List1!K114</f>
        <v>20000</v>
      </c>
      <c r="E131" s="562">
        <f t="shared" si="36"/>
        <v>0</v>
      </c>
      <c r="F131" s="563">
        <f>List1!Q114</f>
        <v>0</v>
      </c>
      <c r="G131" s="563">
        <f>List1!W114</f>
        <v>0</v>
      </c>
      <c r="H131" s="564">
        <f>List1!T114</f>
        <v>0</v>
      </c>
      <c r="I131" s="564">
        <f>List1!AC114</f>
        <v>0</v>
      </c>
      <c r="J131" s="564">
        <f>+List1!Z114</f>
        <v>0</v>
      </c>
      <c r="K131" s="565">
        <f>List1!AF114</f>
        <v>0</v>
      </c>
      <c r="L131" s="562">
        <f t="shared" ref="L131:L137" si="38">SUM(N131:P131)</f>
        <v>0</v>
      </c>
      <c r="M131" s="566">
        <f>+List1!AL114</f>
        <v>0</v>
      </c>
      <c r="N131" s="565">
        <f>+List1!AO114</f>
        <v>0</v>
      </c>
      <c r="O131" s="567">
        <f>+List1!AR114</f>
        <v>0</v>
      </c>
      <c r="P131" s="568">
        <f>+List1!AU114</f>
        <v>0</v>
      </c>
      <c r="Q131" s="447"/>
    </row>
    <row r="132" spans="1:17" x14ac:dyDescent="0.25">
      <c r="A132" s="559" t="s">
        <v>1509</v>
      </c>
      <c r="B132" s="542" t="s">
        <v>1510</v>
      </c>
      <c r="C132" s="560">
        <f t="shared" si="35"/>
        <v>0</v>
      </c>
      <c r="D132" s="561">
        <f>List1!K115</f>
        <v>0</v>
      </c>
      <c r="E132" s="562">
        <f t="shared" si="36"/>
        <v>0</v>
      </c>
      <c r="F132" s="563">
        <f>List1!Q115</f>
        <v>0</v>
      </c>
      <c r="G132" s="563">
        <f>List1!W115</f>
        <v>0</v>
      </c>
      <c r="H132" s="564">
        <f>List1!T115</f>
        <v>0</v>
      </c>
      <c r="I132" s="564">
        <f>List1!AC115</f>
        <v>0</v>
      </c>
      <c r="J132" s="564">
        <f>+List1!Z115</f>
        <v>0</v>
      </c>
      <c r="K132" s="565">
        <f>List1!AF115</f>
        <v>0</v>
      </c>
      <c r="L132" s="562">
        <f t="shared" si="38"/>
        <v>0</v>
      </c>
      <c r="M132" s="566">
        <f>+List1!AL115</f>
        <v>0</v>
      </c>
      <c r="N132" s="565">
        <f>+List1!AO115</f>
        <v>0</v>
      </c>
      <c r="O132" s="567">
        <f>+List1!AR115</f>
        <v>0</v>
      </c>
      <c r="P132" s="568">
        <f>+List1!AU115</f>
        <v>0</v>
      </c>
      <c r="Q132" s="447"/>
    </row>
    <row r="133" spans="1:17" x14ac:dyDescent="0.25">
      <c r="A133" s="559" t="s">
        <v>1511</v>
      </c>
      <c r="B133" s="542" t="s">
        <v>1512</v>
      </c>
      <c r="C133" s="560">
        <f t="shared" si="35"/>
        <v>1397000</v>
      </c>
      <c r="D133" s="561">
        <v>80000</v>
      </c>
      <c r="E133" s="562">
        <f t="shared" si="36"/>
        <v>1167000</v>
      </c>
      <c r="F133" s="563">
        <v>125000</v>
      </c>
      <c r="G133" s="563">
        <v>0</v>
      </c>
      <c r="H133" s="564">
        <v>700000</v>
      </c>
      <c r="I133" s="564"/>
      <c r="J133" s="564">
        <v>70000</v>
      </c>
      <c r="K133" s="565">
        <v>272000</v>
      </c>
      <c r="L133" s="562">
        <f t="shared" si="38"/>
        <v>150000</v>
      </c>
      <c r="M133" s="566">
        <f>+List1!AL116</f>
        <v>0</v>
      </c>
      <c r="N133" s="565">
        <v>75000</v>
      </c>
      <c r="O133" s="567">
        <v>75000</v>
      </c>
      <c r="P133" s="568">
        <f>+List1!AU116</f>
        <v>0</v>
      </c>
      <c r="Q133" s="447"/>
    </row>
    <row r="134" spans="1:17" x14ac:dyDescent="0.25">
      <c r="A134" s="559" t="s">
        <v>1513</v>
      </c>
      <c r="B134" s="542" t="s">
        <v>1514</v>
      </c>
      <c r="C134" s="560">
        <f t="shared" si="35"/>
        <v>0</v>
      </c>
      <c r="D134" s="561">
        <f>List1!K117</f>
        <v>0</v>
      </c>
      <c r="E134" s="562">
        <f t="shared" si="36"/>
        <v>0</v>
      </c>
      <c r="F134" s="563">
        <f>List1!Q117</f>
        <v>0</v>
      </c>
      <c r="G134" s="563">
        <f>List1!W117</f>
        <v>0</v>
      </c>
      <c r="H134" s="564">
        <f>List1!T117</f>
        <v>0</v>
      </c>
      <c r="I134" s="564">
        <f>List1!AC117</f>
        <v>0</v>
      </c>
      <c r="J134" s="564">
        <f>+List1!Z117</f>
        <v>0</v>
      </c>
      <c r="K134" s="565">
        <f>List1!AF117</f>
        <v>0</v>
      </c>
      <c r="L134" s="562">
        <f t="shared" si="38"/>
        <v>0</v>
      </c>
      <c r="M134" s="566">
        <f>+List1!AL117</f>
        <v>0</v>
      </c>
      <c r="N134" s="565">
        <f>+List1!AO117</f>
        <v>0</v>
      </c>
      <c r="O134" s="567">
        <f>+List1!AR117</f>
        <v>0</v>
      </c>
      <c r="P134" s="568">
        <f>+List1!AU117</f>
        <v>0</v>
      </c>
      <c r="Q134" s="447"/>
    </row>
    <row r="135" spans="1:17" x14ac:dyDescent="0.25">
      <c r="A135" s="559" t="s">
        <v>1515</v>
      </c>
      <c r="B135" s="542" t="s">
        <v>1516</v>
      </c>
      <c r="C135" s="560">
        <f t="shared" si="35"/>
        <v>71000</v>
      </c>
      <c r="D135" s="561">
        <f>List1!K118</f>
        <v>4000</v>
      </c>
      <c r="E135" s="562">
        <f t="shared" si="36"/>
        <v>42000</v>
      </c>
      <c r="F135" s="563">
        <f>List1!Q118</f>
        <v>10000</v>
      </c>
      <c r="G135" s="563">
        <f>List1!W118</f>
        <v>0</v>
      </c>
      <c r="H135" s="564">
        <f>List1!T118</f>
        <v>12000</v>
      </c>
      <c r="I135" s="564">
        <f>List1!AC118</f>
        <v>0</v>
      </c>
      <c r="J135" s="564">
        <f>+List1!Z118</f>
        <v>10000</v>
      </c>
      <c r="K135" s="565">
        <f>List1!AF118</f>
        <v>10000</v>
      </c>
      <c r="L135" s="562">
        <f t="shared" si="38"/>
        <v>25000</v>
      </c>
      <c r="M135" s="566">
        <f>+List1!AL118</f>
        <v>0</v>
      </c>
      <c r="N135" s="565">
        <f>+List1!AO118</f>
        <v>25000</v>
      </c>
      <c r="O135" s="567">
        <f>+List1!AR118</f>
        <v>0</v>
      </c>
      <c r="P135" s="568">
        <f>+List1!AU118</f>
        <v>0</v>
      </c>
      <c r="Q135" s="447"/>
    </row>
    <row r="136" spans="1:17" x14ac:dyDescent="0.25">
      <c r="A136" s="559" t="s">
        <v>1517</v>
      </c>
      <c r="B136" s="542" t="s">
        <v>1518</v>
      </c>
      <c r="C136" s="560">
        <f t="shared" si="35"/>
        <v>75000</v>
      </c>
      <c r="D136" s="561">
        <f>List1!K119</f>
        <v>0</v>
      </c>
      <c r="E136" s="562">
        <f t="shared" si="36"/>
        <v>0</v>
      </c>
      <c r="F136" s="563">
        <f>List1!Q119</f>
        <v>0</v>
      </c>
      <c r="G136" s="563">
        <f>List1!W119</f>
        <v>0</v>
      </c>
      <c r="H136" s="564">
        <f>List1!T119</f>
        <v>0</v>
      </c>
      <c r="I136" s="564">
        <f>List1!AC119</f>
        <v>0</v>
      </c>
      <c r="J136" s="564">
        <f>+List1!Z119</f>
        <v>0</v>
      </c>
      <c r="K136" s="565">
        <f>List1!AF119</f>
        <v>0</v>
      </c>
      <c r="L136" s="562">
        <f t="shared" si="38"/>
        <v>75000</v>
      </c>
      <c r="M136" s="566">
        <f>+List1!AL119</f>
        <v>0</v>
      </c>
      <c r="N136" s="565">
        <f>+List1!AO119</f>
        <v>0</v>
      </c>
      <c r="O136" s="567">
        <v>75000</v>
      </c>
      <c r="P136" s="568">
        <f>+List1!AU119</f>
        <v>0</v>
      </c>
      <c r="Q136" s="447"/>
    </row>
    <row r="137" spans="1:17" x14ac:dyDescent="0.25">
      <c r="A137" s="559" t="s">
        <v>1519</v>
      </c>
      <c r="B137" s="542" t="s">
        <v>1520</v>
      </c>
      <c r="C137" s="560">
        <f t="shared" si="35"/>
        <v>0</v>
      </c>
      <c r="D137" s="561">
        <f>List1!K120</f>
        <v>0</v>
      </c>
      <c r="E137" s="562">
        <f t="shared" si="36"/>
        <v>0</v>
      </c>
      <c r="F137" s="563">
        <f>List1!Q120</f>
        <v>0</v>
      </c>
      <c r="G137" s="563">
        <f>List1!W120</f>
        <v>0</v>
      </c>
      <c r="H137" s="564">
        <f>List1!T120</f>
        <v>0</v>
      </c>
      <c r="I137" s="564">
        <f>List1!AC120</f>
        <v>0</v>
      </c>
      <c r="J137" s="564">
        <f>+List1!Z120</f>
        <v>0</v>
      </c>
      <c r="K137" s="565">
        <f>List1!AF120</f>
        <v>0</v>
      </c>
      <c r="L137" s="562">
        <f t="shared" si="38"/>
        <v>0</v>
      </c>
      <c r="M137" s="566">
        <f>+List1!AL120</f>
        <v>0</v>
      </c>
      <c r="N137" s="565">
        <f>+List1!AO120</f>
        <v>0</v>
      </c>
      <c r="O137" s="567">
        <f>+List1!AR120</f>
        <v>0</v>
      </c>
      <c r="P137" s="568">
        <f>+List1!AU120</f>
        <v>0</v>
      </c>
      <c r="Q137" s="447"/>
    </row>
    <row r="138" spans="1:17" x14ac:dyDescent="0.25">
      <c r="A138" s="559" t="s">
        <v>1522</v>
      </c>
      <c r="B138" s="542" t="s">
        <v>1523</v>
      </c>
      <c r="C138" s="560">
        <f t="shared" si="35"/>
        <v>60000</v>
      </c>
      <c r="D138" s="561">
        <v>60000</v>
      </c>
      <c r="E138" s="562">
        <f t="shared" si="36"/>
        <v>0</v>
      </c>
      <c r="F138" s="563"/>
      <c r="G138" s="563"/>
      <c r="H138" s="564"/>
      <c r="I138" s="564"/>
      <c r="J138" s="564"/>
      <c r="K138" s="565"/>
      <c r="L138" s="562">
        <f t="shared" ref="L138" si="39">SUM(N138:P138)</f>
        <v>0</v>
      </c>
      <c r="M138" s="566"/>
      <c r="N138" s="565"/>
      <c r="O138" s="567"/>
      <c r="P138" s="568"/>
      <c r="Q138" s="447"/>
    </row>
    <row r="139" spans="1:17" ht="14.25" thickBot="1" x14ac:dyDescent="0.3">
      <c r="A139" s="2174" t="s">
        <v>401</v>
      </c>
      <c r="B139" s="551"/>
      <c r="C139" s="520">
        <f>SUM(C130:C138)+C125+C107+SUM(C95:C106)+C71+SUM(C67:C70)+C59</f>
        <v>53250947</v>
      </c>
      <c r="D139" s="552">
        <f t="shared" ref="D139:K139" si="40">SUM(D130:D138)+D125+D107+SUM(D95:D106)+D71+SUM(D67:D70)+D59</f>
        <v>1055000</v>
      </c>
      <c r="E139" s="521">
        <f t="shared" si="40"/>
        <v>12863947</v>
      </c>
      <c r="F139" s="553">
        <f t="shared" si="40"/>
        <v>561500</v>
      </c>
      <c r="G139" s="553">
        <f t="shared" si="40"/>
        <v>46300</v>
      </c>
      <c r="H139" s="554">
        <f t="shared" si="40"/>
        <v>6125100</v>
      </c>
      <c r="I139" s="554">
        <f t="shared" si="40"/>
        <v>0</v>
      </c>
      <c r="J139" s="554">
        <f t="shared" si="40"/>
        <v>1480000</v>
      </c>
      <c r="K139" s="555">
        <f t="shared" si="40"/>
        <v>4651047</v>
      </c>
      <c r="L139" s="521">
        <f t="shared" ref="L139:P139" si="41">SUM(L130:L138)+L125+L107+SUM(L95:L106)+L71+SUM(L67:L70)+L59</f>
        <v>39332000</v>
      </c>
      <c r="M139" s="556">
        <f t="shared" si="41"/>
        <v>156000</v>
      </c>
      <c r="N139" s="555">
        <f t="shared" si="41"/>
        <v>15042000</v>
      </c>
      <c r="O139" s="557">
        <f t="shared" si="41"/>
        <v>12243000</v>
      </c>
      <c r="P139" s="558">
        <f t="shared" si="41"/>
        <v>12047000</v>
      </c>
      <c r="Q139" s="447"/>
    </row>
    <row r="140" spans="1:17" x14ac:dyDescent="0.25">
      <c r="A140" s="559">
        <v>5141</v>
      </c>
      <c r="B140" s="542" t="s">
        <v>7</v>
      </c>
      <c r="C140" s="585">
        <f>+E140+L140+D140</f>
        <v>100000</v>
      </c>
      <c r="D140" s="586">
        <f>List1!K121</f>
        <v>0</v>
      </c>
      <c r="E140" s="587">
        <f t="shared" ref="E140" si="42">SUM(F140:K140)</f>
        <v>100000</v>
      </c>
      <c r="F140" s="588"/>
      <c r="G140" s="588"/>
      <c r="H140" s="589"/>
      <c r="I140" s="535"/>
      <c r="J140" s="535"/>
      <c r="K140" s="589">
        <v>100000</v>
      </c>
      <c r="L140" s="590">
        <f t="shared" si="34"/>
        <v>0</v>
      </c>
      <c r="M140" s="591"/>
      <c r="N140" s="589"/>
      <c r="O140" s="592"/>
      <c r="P140" s="593"/>
      <c r="Q140" s="447"/>
    </row>
    <row r="141" spans="1:17" ht="14.25" thickBot="1" x14ac:dyDescent="0.3">
      <c r="A141" s="550" t="s">
        <v>133</v>
      </c>
      <c r="B141" s="551" t="s">
        <v>134</v>
      </c>
      <c r="C141" s="520">
        <f>+C139+C140+C58</f>
        <v>77936008.775399998</v>
      </c>
      <c r="D141" s="552">
        <f t="shared" ref="D141:K141" si="43">+D139+D140+D58</f>
        <v>4995788.9249999998</v>
      </c>
      <c r="E141" s="521">
        <f t="shared" si="43"/>
        <v>28866950.884</v>
      </c>
      <c r="F141" s="553">
        <f t="shared" si="43"/>
        <v>1860572.5240000002</v>
      </c>
      <c r="G141" s="553">
        <f t="shared" si="43"/>
        <v>587700.46400000004</v>
      </c>
      <c r="H141" s="554">
        <f t="shared" si="43"/>
        <v>8767111.0460000001</v>
      </c>
      <c r="I141" s="554">
        <f t="shared" si="43"/>
        <v>0</v>
      </c>
      <c r="J141" s="554">
        <f t="shared" si="43"/>
        <v>3369401.3600000003</v>
      </c>
      <c r="K141" s="555">
        <f t="shared" si="43"/>
        <v>14282165.49</v>
      </c>
      <c r="L141" s="521">
        <f t="shared" ref="L141:P141" si="44">+L139+L140+L58</f>
        <v>44073268.966399997</v>
      </c>
      <c r="M141" s="556">
        <f t="shared" si="44"/>
        <v>1890427.3499999999</v>
      </c>
      <c r="N141" s="555">
        <f t="shared" si="44"/>
        <v>16673097.720000001</v>
      </c>
      <c r="O141" s="557">
        <f t="shared" si="44"/>
        <v>13382637.84</v>
      </c>
      <c r="P141" s="558">
        <f t="shared" si="44"/>
        <v>12283106.056399999</v>
      </c>
      <c r="Q141" s="447"/>
    </row>
    <row r="142" spans="1:17" ht="14.25" thickBot="1" x14ac:dyDescent="0.3">
      <c r="A142" s="559"/>
      <c r="B142" s="542"/>
      <c r="C142" s="594"/>
      <c r="D142" s="595"/>
      <c r="E142" s="595"/>
      <c r="F142" s="595"/>
      <c r="G142" s="595"/>
      <c r="H142" s="595"/>
      <c r="I142" s="595"/>
      <c r="J142" s="595"/>
      <c r="K142" s="595"/>
      <c r="L142" s="595"/>
      <c r="M142" s="595"/>
      <c r="N142" s="595"/>
      <c r="O142" s="595"/>
      <c r="P142" s="595"/>
      <c r="Q142" s="447"/>
    </row>
    <row r="143" spans="1:17" ht="14.25" thickBot="1" x14ac:dyDescent="0.3">
      <c r="A143" s="2208" t="s">
        <v>690</v>
      </c>
      <c r="B143" s="2209"/>
      <c r="C143" s="596">
        <f>+C141</f>
        <v>77936008.775399998</v>
      </c>
      <c r="D143" s="597">
        <f t="shared" ref="D143:P143" si="45">+D141</f>
        <v>4995788.9249999998</v>
      </c>
      <c r="E143" s="598">
        <f t="shared" si="45"/>
        <v>28866950.884</v>
      </c>
      <c r="F143" s="599">
        <f t="shared" si="45"/>
        <v>1860572.5240000002</v>
      </c>
      <c r="G143" s="599">
        <f t="shared" si="45"/>
        <v>587700.46400000004</v>
      </c>
      <c r="H143" s="600">
        <f t="shared" si="45"/>
        <v>8767111.0460000001</v>
      </c>
      <c r="I143" s="600">
        <f t="shared" si="45"/>
        <v>0</v>
      </c>
      <c r="J143" s="600">
        <f t="shared" si="45"/>
        <v>3369401.3600000003</v>
      </c>
      <c r="K143" s="601">
        <f t="shared" si="45"/>
        <v>14282165.49</v>
      </c>
      <c r="L143" s="598">
        <f t="shared" si="45"/>
        <v>44073268.966399997</v>
      </c>
      <c r="M143" s="602">
        <f t="shared" si="45"/>
        <v>1890427.3499999999</v>
      </c>
      <c r="N143" s="601">
        <f t="shared" si="45"/>
        <v>16673097.720000001</v>
      </c>
      <c r="O143" s="603">
        <f t="shared" si="45"/>
        <v>13382637.84</v>
      </c>
      <c r="P143" s="604">
        <f t="shared" si="45"/>
        <v>12283106.056399999</v>
      </c>
      <c r="Q143" s="447"/>
    </row>
    <row r="144" spans="1:17" ht="14.25" thickBot="1" x14ac:dyDescent="0.3">
      <c r="A144" s="2208" t="s">
        <v>159</v>
      </c>
      <c r="B144" s="2209"/>
      <c r="C144" s="596">
        <f>C47-C143</f>
        <v>13999.904600009322</v>
      </c>
      <c r="D144" s="597">
        <f t="shared" ref="D144:P144" si="46">D47-D143</f>
        <v>-2909149.6749999998</v>
      </c>
      <c r="E144" s="598">
        <f t="shared" si="46"/>
        <v>-2096268.9840000011</v>
      </c>
      <c r="F144" s="599">
        <f t="shared" si="46"/>
        <v>-502935.92400000012</v>
      </c>
      <c r="G144" s="599">
        <f t="shared" si="46"/>
        <v>-56242.86400000006</v>
      </c>
      <c r="H144" s="600">
        <f t="shared" si="46"/>
        <v>2658752.8540000003</v>
      </c>
      <c r="I144" s="600">
        <f t="shared" si="46"/>
        <v>0</v>
      </c>
      <c r="J144" s="600">
        <f t="shared" si="46"/>
        <v>-1958877.3600000003</v>
      </c>
      <c r="K144" s="601">
        <f t="shared" si="46"/>
        <v>-2236965.6899999995</v>
      </c>
      <c r="L144" s="598">
        <f t="shared" si="46"/>
        <v>5019418.5636000037</v>
      </c>
      <c r="M144" s="602">
        <f t="shared" si="46"/>
        <v>-1853648.22</v>
      </c>
      <c r="N144" s="601">
        <f t="shared" si="46"/>
        <v>-746499.72000000067</v>
      </c>
      <c r="O144" s="603">
        <f t="shared" si="46"/>
        <v>1741518.1600000001</v>
      </c>
      <c r="P144" s="604">
        <f t="shared" si="46"/>
        <v>5722048.3435999993</v>
      </c>
      <c r="Q144" s="447"/>
    </row>
    <row r="145" spans="1:17" x14ac:dyDescent="0.25">
      <c r="A145" s="605"/>
      <c r="B145" s="446"/>
      <c r="C145" s="527"/>
      <c r="D145" s="446"/>
      <c r="E145" s="527"/>
      <c r="F145" s="446"/>
      <c r="G145" s="446"/>
      <c r="H145" s="446"/>
      <c r="I145" s="446"/>
      <c r="J145" s="446"/>
      <c r="K145" s="527"/>
      <c r="L145" s="446"/>
      <c r="M145" s="446"/>
      <c r="N145" s="446"/>
      <c r="O145" s="446"/>
      <c r="P145" s="446"/>
      <c r="Q145" s="447"/>
    </row>
    <row r="146" spans="1:17" x14ac:dyDescent="0.25">
      <c r="K146" s="481"/>
    </row>
    <row r="147" spans="1:17" x14ac:dyDescent="0.25">
      <c r="A147" s="605" t="s">
        <v>650</v>
      </c>
      <c r="B147" s="446"/>
    </row>
  </sheetData>
  <sheetProtection algorithmName="SHA-512" hashValue="k72g8Ijk44nHIYDzGi3hiNH4ha7qntJHewlyxXpc64qxNNMvHKL2kobKcfgLUTtTMhiRy5wj6u3yHNmhzgw1+w==" saltValue="Ib1fNz/oK6WM7Kwph5HTRA==" spinCount="100000" sheet="1" objects="1" scenarios="1"/>
  <mergeCells count="4">
    <mergeCell ref="A6:A28"/>
    <mergeCell ref="A143:B143"/>
    <mergeCell ref="A144:B144"/>
    <mergeCell ref="A47:B47"/>
  </mergeCells>
  <pageMargins left="0.31496062992125984" right="0.31496062992125984" top="0.19685039370078741" bottom="0.19685039370078741" header="0.31496062992125984" footer="0.31496062992125984"/>
  <pageSetup paperSize="8" scale="81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33</vt:i4>
      </vt:variant>
      <vt:variant>
        <vt:lpstr>Pojmenované oblasti</vt:lpstr>
      </vt:variant>
      <vt:variant>
        <vt:i4>3</vt:i4>
      </vt:variant>
    </vt:vector>
  </HeadingPairs>
  <TitlesOfParts>
    <vt:vector size="36" baseType="lpstr">
      <vt:lpstr>Souhrn příjmů a výdajů 2021</vt:lpstr>
      <vt:lpstr>počet zaměstnanců</vt:lpstr>
      <vt:lpstr>Graf_analýza nákladovost na RUD</vt:lpstr>
      <vt:lpstr>graf Tab.mzdy</vt:lpstr>
      <vt:lpstr>Graf P-V 2020</vt:lpstr>
      <vt:lpstr>Příjmy kapitol celkem</vt:lpstr>
      <vt:lpstr>List3</vt:lpstr>
      <vt:lpstr>Výdaje kapitol celkem</vt:lpstr>
      <vt:lpstr>TSÚ</vt:lpstr>
      <vt:lpstr>TSÚ úpr</vt:lpstr>
      <vt:lpstr>RUD</vt:lpstr>
      <vt:lpstr>Odhad RUD koronavirus</vt:lpstr>
      <vt:lpstr>Provozní Cash flow</vt:lpstr>
      <vt:lpstr>List1</vt:lpstr>
      <vt:lpstr>List2</vt:lpstr>
      <vt:lpstr>Nákup a prodej vody</vt:lpstr>
      <vt:lpstr>Investice celkem  2021</vt:lpstr>
      <vt:lpstr>5137-DHIM</vt:lpstr>
      <vt:lpstr>5139-Materiál</vt:lpstr>
      <vt:lpstr>5164-Nájemné</vt:lpstr>
      <vt:lpstr>5169_nákup služeb celkem</vt:lpstr>
      <vt:lpstr>Opravy a udrzování celkem</vt:lpstr>
      <vt:lpstr>5331-Neinv.přísp.org.</vt:lpstr>
      <vt:lpstr>Úvěry města</vt:lpstr>
      <vt:lpstr>srovnání </vt:lpstr>
      <vt:lpstr>voda-kalkulace</vt:lpstr>
      <vt:lpstr>Konsolidace </vt:lpstr>
      <vt:lpstr>Čerpání úvěru</vt:lpstr>
      <vt:lpstr>Podkladová tabulka -CF</vt:lpstr>
      <vt:lpstr>úroky a úvěr</vt:lpstr>
      <vt:lpstr>výhled 2020 - 2025</vt:lpstr>
      <vt:lpstr>Zásobník projektů 2016-2020</vt:lpstr>
      <vt:lpstr> Propočet úroků</vt:lpstr>
      <vt:lpstr>TSÚ!Názvy_tisku</vt:lpstr>
      <vt:lpstr>'Výdaje kapitol celkem'!Názvy_tisku</vt:lpstr>
      <vt:lpstr>'Příjmy kapitol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Dana Kyralová</cp:lastModifiedBy>
  <cp:lastPrinted>2020-12-03T10:38:29Z</cp:lastPrinted>
  <dcterms:created xsi:type="dcterms:W3CDTF">2014-09-16T07:52:57Z</dcterms:created>
  <dcterms:modified xsi:type="dcterms:W3CDTF">2021-05-11T07:20:52Z</dcterms:modified>
</cp:coreProperties>
</file>